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35" yWindow="-75" windowWidth="16155" windowHeight="12540"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R27" i="77"/>
  <c r="E14" i="77"/>
  <c r="B5" i="77"/>
  <c r="B4" i="77"/>
  <c r="L6" i="1" l="1"/>
  <c r="M28" i="1"/>
  <c r="M27" i="1"/>
  <c r="K26" i="1"/>
  <c r="K25" i="1"/>
  <c r="M26" i="1"/>
  <c r="M25" i="1"/>
  <c r="M29" i="1" l="1"/>
  <c r="L29" i="1" s="1"/>
  <c r="M24" i="1"/>
  <c r="K24" i="1"/>
  <c r="K28" i="1" l="1"/>
  <c r="K29" i="1"/>
  <c r="K27" i="1"/>
  <c r="L24" i="1"/>
  <c r="D33" i="43" l="1"/>
  <c r="Y6" i="1"/>
  <c r="N6" i="1"/>
  <c r="N20" i="1"/>
  <c r="N18" i="1"/>
  <c r="B21" i="1"/>
  <c r="G19" i="6" l="1"/>
  <c r="F19" i="6"/>
  <c r="K13" i="3"/>
  <c r="I13" i="3"/>
  <c r="C14" i="3"/>
  <c r="B14" i="3"/>
  <c r="B16" i="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D14" i="77"/>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5" i="77" l="1"/>
  <c r="D10" i="77"/>
  <c r="D17" i="77"/>
  <c r="D9" i="77"/>
  <c r="D18" i="77"/>
  <c r="C23" i="77"/>
  <c r="D16" i="77"/>
  <c r="E24" i="43"/>
  <c r="D23" i="77" l="1"/>
  <c r="C29" i="77"/>
  <c r="Q32" i="43"/>
  <c r="P32" i="43"/>
  <c r="O32" i="43"/>
  <c r="N32" i="43"/>
  <c r="M32" i="43"/>
  <c r="AH11" i="71"/>
  <c r="AG11" i="71"/>
  <c r="AE11" i="71"/>
  <c r="AF11" i="71" s="1"/>
  <c r="AD11" i="71"/>
  <c r="Q11" i="71"/>
  <c r="AB10" i="71" s="1"/>
  <c r="P11" i="71"/>
  <c r="AA10" i="71" s="1"/>
  <c r="O11" i="71"/>
  <c r="Y10" i="71" s="1"/>
  <c r="Z10" i="71" s="1"/>
  <c r="N11" i="71"/>
  <c r="X10" i="71" s="1"/>
  <c r="E23" i="77" l="1"/>
  <c r="D26" i="77"/>
  <c r="D29"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536" i="3"/>
  <c r="E244" i="3"/>
  <c r="E148" i="3"/>
  <c r="E140" i="3"/>
  <c r="E223" i="3"/>
  <c r="E212" i="3"/>
  <c r="E197" i="3"/>
  <c r="E116" i="3"/>
  <c r="E199" i="3"/>
  <c r="E173" i="3"/>
  <c r="E105" i="3"/>
  <c r="E286" i="3"/>
  <c r="E369" i="3"/>
  <c r="E393" i="3"/>
  <c r="E575" i="3"/>
  <c r="E525" i="3"/>
  <c r="E493" i="3"/>
  <c r="E499" i="3"/>
  <c r="E534" i="3"/>
  <c r="E564" i="3"/>
  <c r="R6" i="3"/>
  <c r="T6" i="3"/>
  <c r="E543" i="3"/>
  <c r="E502" i="3"/>
  <c r="E405" i="3"/>
  <c r="E427" i="3"/>
  <c r="E442" i="3"/>
  <c r="E456" i="3"/>
  <c r="E486" i="3"/>
  <c r="E466" i="3"/>
  <c r="E469" i="3"/>
  <c r="E507" i="3"/>
  <c r="E541" i="3"/>
  <c r="E512" i="3"/>
  <c r="E422" i="3"/>
  <c r="E430" i="3"/>
  <c r="E408" i="3"/>
  <c r="E440" i="3"/>
  <c r="E449" i="3"/>
  <c r="E451" i="3"/>
  <c r="E490" i="3"/>
  <c r="E255" i="3"/>
  <c r="E360" i="3"/>
  <c r="E376" i="3"/>
  <c r="I3" i="6"/>
  <c r="E556" i="3"/>
  <c r="AH6" i="3"/>
  <c r="AP6" i="3"/>
  <c r="E497" i="3"/>
  <c r="J6" i="3"/>
  <c r="E554" i="3"/>
  <c r="E13" i="3"/>
  <c r="E498" i="3"/>
  <c r="E517" i="3"/>
  <c r="E494" i="3"/>
  <c r="E419" i="3"/>
  <c r="E435" i="3"/>
  <c r="E452" i="3"/>
  <c r="E483" i="3"/>
  <c r="E491" i="3"/>
  <c r="E470" i="3"/>
  <c r="E401" i="3"/>
  <c r="E417" i="3"/>
  <c r="E420" i="3"/>
  <c r="E463" i="3"/>
  <c r="E479" i="3"/>
  <c r="E26" i="3"/>
  <c r="E40" i="3"/>
  <c r="E56" i="3"/>
  <c r="E104" i="3"/>
  <c r="E25" i="3"/>
  <c r="E37" i="3"/>
  <c r="E41" i="3"/>
  <c r="E108" i="3"/>
  <c r="E95" i="3"/>
  <c r="E115" i="3"/>
  <c r="E178" i="3"/>
  <c r="E152" i="3"/>
  <c r="E198" i="3"/>
  <c r="E119" i="3"/>
  <c r="E132" i="3"/>
  <c r="E139" i="3"/>
  <c r="E202" i="3"/>
  <c r="E192" i="3"/>
  <c r="E225" i="3"/>
  <c r="E242" i="3"/>
  <c r="E258" i="3"/>
  <c r="E281" i="3"/>
  <c r="E226" i="3"/>
  <c r="E241" i="3"/>
  <c r="E243" i="3"/>
  <c r="E276" i="3"/>
  <c r="E292" i="3"/>
  <c r="E332" i="3"/>
  <c r="E346" i="3"/>
  <c r="E363" i="3"/>
  <c r="E391" i="3"/>
  <c r="E333" i="3"/>
  <c r="E349" i="3"/>
  <c r="E356" i="3"/>
  <c r="E372" i="3"/>
  <c r="E389" i="3"/>
  <c r="AL6" i="3"/>
  <c r="L6" i="3"/>
  <c r="E544" i="3"/>
  <c r="E42" i="3"/>
  <c r="E60" i="3"/>
  <c r="E76" i="3"/>
  <c r="E94" i="3"/>
  <c r="E43" i="3"/>
  <c r="E59" i="3"/>
  <c r="E75" i="3"/>
  <c r="E540" i="3"/>
  <c r="E409" i="3"/>
  <c r="E428" i="3"/>
  <c r="E473" i="3"/>
  <c r="E484" i="3"/>
  <c r="E482" i="3"/>
  <c r="E15" i="3"/>
  <c r="E425" i="3"/>
  <c r="E412" i="3"/>
  <c r="E455" i="3"/>
  <c r="E467" i="3"/>
  <c r="E18" i="3"/>
  <c r="E79" i="3"/>
  <c r="E64" i="3"/>
  <c r="E96" i="3"/>
  <c r="E38" i="3"/>
  <c r="E46" i="3"/>
  <c r="E78" i="3"/>
  <c r="E100" i="3"/>
  <c r="E103" i="3"/>
  <c r="E129" i="3"/>
  <c r="E170" i="3"/>
  <c r="E160" i="3"/>
  <c r="E190" i="3"/>
  <c r="E137" i="3"/>
  <c r="E142" i="3"/>
  <c r="E174" i="3"/>
  <c r="E194" i="3"/>
  <c r="E200" i="3"/>
  <c r="E220" i="3"/>
  <c r="E234" i="3"/>
  <c r="E267" i="3"/>
  <c r="E275" i="3"/>
  <c r="E219" i="3"/>
  <c r="E249" i="3"/>
  <c r="E235" i="3"/>
  <c r="E299" i="3"/>
  <c r="E300" i="3"/>
  <c r="E324" i="3"/>
  <c r="E339" i="3"/>
  <c r="E371" i="3"/>
  <c r="E383" i="3"/>
  <c r="E325" i="3"/>
  <c r="E310" i="3"/>
  <c r="E342" i="3"/>
  <c r="E392" i="3"/>
  <c r="E492" i="3"/>
  <c r="E522" i="3"/>
  <c r="AQ6" i="3"/>
  <c r="E23" i="3"/>
  <c r="E35" i="3"/>
  <c r="E52" i="3"/>
  <c r="E84" i="3"/>
  <c r="E86" i="3"/>
  <c r="E36" i="3"/>
  <c r="E67" i="3"/>
  <c r="E34" i="3"/>
  <c r="E112" i="3"/>
  <c r="E33" i="3"/>
  <c r="E49" i="3"/>
  <c r="E123" i="3"/>
  <c r="E144" i="3"/>
  <c r="E206" i="3"/>
  <c r="E147" i="3"/>
  <c r="E184" i="3"/>
  <c r="E232" i="3"/>
  <c r="E289" i="3"/>
  <c r="E233" i="3"/>
  <c r="E251" i="3"/>
  <c r="E340" i="3"/>
  <c r="E355" i="3"/>
  <c r="E370" i="3"/>
  <c r="E364" i="3"/>
  <c r="E381" i="3"/>
  <c r="AF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4" i="73"/>
  <c r="F13" i="15"/>
  <c r="M28" i="15"/>
  <c r="F7" i="73"/>
  <c r="D7" i="73"/>
  <c r="F16" i="67"/>
  <c r="J15" i="67"/>
  <c r="F6" i="73"/>
  <c r="F5" i="73"/>
  <c r="M6" i="15"/>
  <c r="E11" i="76"/>
  <c r="L47" i="15"/>
  <c r="F20" i="31"/>
  <c r="M9" i="15"/>
  <c r="F36" i="15"/>
  <c r="M28" i="67"/>
  <c r="M24" i="15"/>
  <c r="F38" i="15"/>
  <c r="F6" i="15"/>
  <c r="J15" i="15"/>
  <c r="F3" i="73"/>
  <c r="C76" i="67"/>
  <c r="F37" i="67"/>
  <c r="E7" i="76"/>
  <c r="M6" i="67"/>
  <c r="F37" i="15"/>
  <c r="F38" i="67"/>
  <c r="D4" i="73"/>
  <c r="E12" i="76"/>
  <c r="M22" i="15"/>
  <c r="D3" i="73"/>
  <c r="B12" i="76"/>
  <c r="F40" i="15"/>
  <c r="M23" i="67"/>
  <c r="E2" i="68"/>
  <c r="B11" i="76"/>
  <c r="D6" i="73"/>
  <c r="C76" i="15"/>
  <c r="M23" i="15"/>
  <c r="E13" i="76"/>
  <c r="M29" i="67"/>
  <c r="F43" i="15"/>
  <c r="F7" i="67"/>
  <c r="M8" i="15"/>
  <c r="L48" i="15"/>
  <c r="B9" i="76"/>
  <c r="F42" i="67"/>
  <c r="F13" i="67"/>
  <c r="F40" i="67"/>
  <c r="M26" i="67"/>
  <c r="F6" i="67"/>
  <c r="B8" i="76"/>
  <c r="M9" i="67"/>
  <c r="F16" i="15"/>
  <c r="E8" i="76"/>
  <c r="E10" i="76"/>
  <c r="F36" i="67"/>
  <c r="F8" i="15"/>
  <c r="L48" i="67"/>
  <c r="E9" i="76"/>
  <c r="F9" i="15"/>
  <c r="F9" i="67"/>
  <c r="F26" i="67"/>
  <c r="F42" i="15"/>
  <c r="F43" i="67"/>
  <c r="M29" i="15"/>
  <c r="M22" i="67"/>
  <c r="AO13" i="1"/>
  <c r="M26" i="15"/>
  <c r="F26" i="15"/>
  <c r="B7" i="76"/>
  <c r="M8" i="67"/>
  <c r="M24" i="67"/>
  <c r="B13" i="76"/>
  <c r="C35" i="77" l="1"/>
  <c r="C34" i="77"/>
  <c r="C21" i="68"/>
  <c r="C40" i="69"/>
  <c r="AT6" i="3"/>
  <c r="G29" i="6"/>
  <c r="G28" i="6"/>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96" i="3"/>
  <c r="E539" i="3"/>
  <c r="E188" i="3"/>
  <c r="E16" i="3"/>
  <c r="E329" i="3"/>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G1" i="73"/>
  <c r="C16" i="67"/>
  <c r="C16" i="15"/>
  <c r="D34" i="77" l="1"/>
  <c r="D38" i="77" s="1"/>
  <c r="E34" i="77"/>
  <c r="E38" i="77" s="1"/>
  <c r="J7" i="36"/>
  <c r="N94" i="46"/>
  <c r="J26" i="43"/>
  <c r="N370" i="46"/>
  <c r="F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36" i="7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F36" i="77" l="1"/>
  <c r="D39" i="77"/>
  <c r="E39" i="77"/>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E11" i="77" l="1"/>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7" i="1"/>
  <c r="AO8" i="1"/>
  <c r="AO12" i="1"/>
  <c r="L46" i="15" l="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102" i="9" l="1"/>
  <c r="D21" i="9"/>
  <c r="G19" i="9"/>
  <c r="G21" i="9" s="1"/>
  <c r="D22" i="9"/>
  <c r="B3" i="77"/>
  <c r="B6" i="70"/>
  <c r="B2" i="70" s="1"/>
  <c r="B3" i="70" s="1"/>
  <c r="B3" i="15"/>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c r="D35" i="9"/>
  <c r="D34" i="9"/>
  <c r="H118" i="9" l="1"/>
  <c r="I118" i="9" l="1"/>
  <c r="I4" i="52" s="1"/>
  <c r="D14" i="74"/>
  <c r="C105" i="9"/>
  <c r="H102" i="9"/>
  <c r="D7" i="53" s="1"/>
  <c r="B21" i="72" s="1"/>
  <c r="H4" i="52"/>
  <c r="H119" i="9"/>
  <c r="H5" i="52" s="1"/>
  <c r="H101" i="9"/>
  <c r="C104" i="9"/>
  <c r="B5" i="74" l="1"/>
  <c r="D5" i="74" s="1"/>
  <c r="E14" i="74"/>
  <c r="F14" i="74"/>
  <c r="C5" i="74"/>
  <c r="H107" i="9"/>
  <c r="D5" i="53"/>
  <c r="M48" i="9"/>
  <c r="D45" i="9"/>
  <c r="D52" i="9" l="1"/>
  <c r="D55" i="9"/>
  <c r="M53" i="9" s="1"/>
  <c r="C85" i="9"/>
  <c r="C93" i="9"/>
  <c r="C86" i="9" s="1"/>
  <c r="C72" i="9"/>
  <c r="C64" i="9"/>
  <c r="C63" i="9" s="1"/>
  <c r="C67" i="9" s="1"/>
  <c r="D53" i="9"/>
  <c r="C78" i="9"/>
  <c r="C73" i="9" s="1"/>
  <c r="B20" i="72"/>
  <c r="D6" i="53"/>
  <c r="B22" i="72" s="1"/>
  <c r="H108" i="9"/>
  <c r="M49" i="9"/>
  <c r="D13" i="53"/>
  <c r="D122" i="9"/>
  <c r="G14" i="74" s="1"/>
  <c r="B6" i="74" s="1"/>
  <c r="D6" i="74" s="1"/>
  <c r="D15" i="53" l="1"/>
  <c r="B31" i="72" s="1"/>
  <c r="C6" i="74"/>
  <c r="C95" i="9"/>
  <c r="L67" i="9"/>
  <c r="M67" i="9" s="1"/>
  <c r="L65" i="9"/>
  <c r="M65" i="9" s="1"/>
  <c r="L68" i="9"/>
  <c r="M68" i="9" s="1"/>
  <c r="L63" i="9"/>
  <c r="M63" i="9" s="1"/>
  <c r="L64" i="9"/>
  <c r="M64" i="9" s="1"/>
  <c r="L66" i="9"/>
  <c r="M66" i="9" s="1"/>
  <c r="D123" i="9"/>
  <c r="D9" i="52" s="1"/>
  <c r="D8" i="52"/>
  <c r="D59" i="9"/>
  <c r="M55" i="9" s="1"/>
  <c r="C68" i="9"/>
  <c r="D54" i="9" s="1"/>
  <c r="B30" i="72"/>
  <c r="D14" i="53"/>
  <c r="B32" i="72" s="1"/>
  <c r="C79" i="9"/>
  <c r="M69" i="9" l="1"/>
  <c r="N69" i="9" s="1"/>
  <c r="C96" i="9"/>
  <c r="E96" i="9" s="1"/>
  <c r="E97" i="9" s="1"/>
  <c r="C80" i="9"/>
  <c r="E80" i="9" s="1"/>
  <c r="E81" i="9" s="1"/>
  <c r="C81" i="9" l="1"/>
  <c r="C97" i="9"/>
  <c r="D58" i="9" s="1"/>
  <c r="D56" i="9" s="1"/>
  <c r="M54" i="9" s="1"/>
  <c r="N57" i="9" s="1"/>
  <c r="N58" i="9" l="1"/>
  <c r="P57" i="9"/>
  <c r="N59" i="9"/>
  <c r="N61" i="9" l="1"/>
  <c r="N60" i="9"/>
  <c r="D118" i="9"/>
  <c r="D119" i="9" s="1"/>
  <c r="D5" i="52" s="1"/>
  <c r="B49" i="72" s="1"/>
  <c r="D4" i="52"/>
  <c r="B47" i="72" s="1"/>
  <c r="F118" i="9"/>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<sst xmlns="http://schemas.openxmlformats.org/spreadsheetml/2006/main" count="7838" uniqueCount="3436">
  <si>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</si>
  <si>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</si>
  <si>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</si>
  <si>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</si>
  <si>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</si>
  <si>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</si>
  <si>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</si>
  <si>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</si>
  <si>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</si>
  <si>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</si>
  <si>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</si>
  <si>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</si>
  <si>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</si>
  <si>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</si>
  <si>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</si>
  <si>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</si>
  <si>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</si>
  <si>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</si>
  <si>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</si>
  <si>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</si>
  <si>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</si>
  <si>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</si>
  <si>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</si>
  <si>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</si>
  <si>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</si>
  <si>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</si>
  <si>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</si>
  <si>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</si>
  <si>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</si>
  <si>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</si>
  <si>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</si>
  <si>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</si>
  <si>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</si>
  <si>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</si>
  <si>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</si>
  <si>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</si>
  <si>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</si>
  <si>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</si>
  <si>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</si>
  <si>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</si>
  <si>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</si>
  <si>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</si>
  <si>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</si>
  <si>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</si>
  <si>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</si>
  <si>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</si>
  <si>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</si>
  <si>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</si>
  <si>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</si>
  <si>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</si>
  <si>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</si>
  <si>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</si>
  <si>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</si>
  <si>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</si>
  <si>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</si>
  <si>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</si>
  <si>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</si>
  <si>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</si>
  <si>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</si>
  <si>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</si>
  <si>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</si>
  <si>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</si>
  <si>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</si>
  <si>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</si>
  <si>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</si>
  <si>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</si>
  <si>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</si>
  <si>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</si>
  <si>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</si>
  <si>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</si>
  <si>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</si>
  <si>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</si>
  <si>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</si>
  <si>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</si>
  <si>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</si>
  <si>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</si>
  <si>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</si>
  <si>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</si>
  <si>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</si>
  <si>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</si>
  <si>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</si>
  <si>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</si>
  <si>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</si>
  <si>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</si>
  <si>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</si>
  <si>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</si>
  <si>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</si>
  <si>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</si>
  <si>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</si>
  <si>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</si>
  <si>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</si>
  <si>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</si>
  <si>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</si>
  <si>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</si>
  <si>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</si>
  <si>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</si>
  <si>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</si>
  <si>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</si>
  <si>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</si>
  <si>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</si>
  <si>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</si>
  <si>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</si>
  <si>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</si>
  <si>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</si>
  <si>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</si>
  <si>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</si>
  <si>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</si>
  <si>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</si>
  <si>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</si>
  <si>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</si>
  <si>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</si>
  <si>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</si>
  <si>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</si>
  <si>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</si>
  <si>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</si>
  <si>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</si>
  <si>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</si>
  <si>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</si>
  <si>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</si>
  <si>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</si>
  <si>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</si>
  <si>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</si>
  <si>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</si>
  <si>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</si>
  <si>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</si>
  <si>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</si>
  <si>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</si>
  <si>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</si>
  <si>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</si>
  <si>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</si>
  <si>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</si>
  <si>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</si>
  <si>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</si>
  <si>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</si>
  <si>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</si>
  <si>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</si>
  <si>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</si>
  <si>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</si>
  <si>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</si>
  <si>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</si>
  <si>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</si>
  <si>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</si>
  <si>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</si>
  <si>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</si>
  <si>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</si>
  <si>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</si>
  <si>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</si>
  <si>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</si>
  <si>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</si>
  <si>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</si>
  <si>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</si>
  <si>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</si>
  <si>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</si>
  <si>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</si>
  <si>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</si>
  <si>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</si>
  <si>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</si>
  <si>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</si>
  <si>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</si>
  <si>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</si>
  <si>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</si>
  <si>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</si>
  <si>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</si>
  <si>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</si>
  <si>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</si>
  <si>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</si>
  <si>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</si>
  <si>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</si>
  <si>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</si>
  <si>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</si>
  <si>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</si>
  <si>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</si>
  <si>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</si>
  <si>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</si>
  <si>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</si>
  <si>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</si>
  <si>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</si>
  <si>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</si>
  <si>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</si>
  <si>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</si>
  <si>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</si>
  <si>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</si>
  <si>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</si>
  <si>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</si>
  <si>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</si>
  <si>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</si>
  <si>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</si>
  <si>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</si>
  <si>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</si>
  <si>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</si>
  <si>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</si>
  <si>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</si>
  <si>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</si>
  <si>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</si>
  <si>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</si>
  <si>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</si>
  <si>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</si>
  <si>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</si>
  <si>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</si>
  <si>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</si>
  <si>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</si>
  <si>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</si>
  <si>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</si>
  <si>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</si>
  <si>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</si>
  <si>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</si>
  <si>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</si>
  <si>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</si>
  <si>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</si>
  <si>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</si>
  <si>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</si>
  <si>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</si>
  <si>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</si>
  <si>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</si>
  <si>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</si>
  <si>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</si>
  <si>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</si>
  <si>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</si>
  <si>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</si>
  <si>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</si>
  <si>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</si>
  <si>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</si>
  <si>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</si>
  <si>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</si>
  <si>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</si>
  <si>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</si>
  <si>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</si>
  <si>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</si>
  <si>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</si>
  <si>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</si>
  <si>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</si>
  <si>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</si>
  <si>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</si>
  <si>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</si>
  <si>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</si>
  <si>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</si>
  <si>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</si>
  <si>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</si>
  <si>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</si>
  <si>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</si>
  <si>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</si>
  <si>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</si>
  <si>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</si>
  <si>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</si>
  <si>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</si>
  <si>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</si>
  <si>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</si>
  <si>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</si>
  <si>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</si>
  <si>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</si>
  <si>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</si>
  <si>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</si>
  <si>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</si>
  <si>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</si>
  <si>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</si>
  <si>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</si>
  <si>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</si>
  <si>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</si>
  <si>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</si>
  <si>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</si>
  <si>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</si>
  <si>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</si>
  <si>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</si>
  <si>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</si>
  <si>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</si>
  <si>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</si>
  <si>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</si>
  <si>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</si>
  <si>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</si>
  <si>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</si>
  <si>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</si>
  <si>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</si>
  <si>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</si>
  <si>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</si>
  <si>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</si>
  <si>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</si>
  <si>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</si>
  <si>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</si>
  <si>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</si>
  <si>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</si>
  <si>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</si>
  <si>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</si>
  <si>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</si>
  <si>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</si>
  <si>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</si>
  <si>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</si>
  <si>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</si>
  <si>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</si>
  <si>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</si>
  <si>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</si>
  <si>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</si>
  <si>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</si>
  <si>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</si>
  <si>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</si>
  <si>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</si>
  <si>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</si>
  <si>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</si>
  <si>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</si>
  <si>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</si>
  <si>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</si>
  <si>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</si>
  <si>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</si>
  <si>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</si>
  <si>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</si>
  <si>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</si>
  <si>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</si>
  <si>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</si>
  <si>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</si>
  <si>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</si>
  <si>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</si>
  <si>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</si>
  <si>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</si>
  <si>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</si>
  <si>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</si>
  <si>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</si>
  <si>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</si>
  <si>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</si>
  <si>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</si>
  <si>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</si>
  <si>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</si>
  <si>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</si>
  <si>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</si>
  <si>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</si>
  <si>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</si>
  <si>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</si>
  <si>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</si>
  <si>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</si>
  <si>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</si>
  <si>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</si>
  <si>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</si>
  <si>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</si>
  <si>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</si>
  <si>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</si>
  <si>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</si>
  <si>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</si>
  <si>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</si>
  <si>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</si>
  <si>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</si>
  <si>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</si>
  <si>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</si>
  <si>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</si>
  <si>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</si>
  <si>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</si>
  <si>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</si>
  <si>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</si>
  <si>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</si>
  <si>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</si>
  <si>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</si>
  <si>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</si>
  <si>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</si>
  <si>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</si>
  <si>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</si>
  <si>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</si>
  <si>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</si>
  <si>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</si>
  <si>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</si>
  <si>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</si>
  <si>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</si>
  <si>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</si>
  <si>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</si>
  <si>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</si>
  <si>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</si>
  <si>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</si>
  <si>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</si>
  <si>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</si>
  <si>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</si>
  <si>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</si>
  <si>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</si>
  <si>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</si>
  <si>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</si>
  <si>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</si>
  <si>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</si>
  <si>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</si>
  <si>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</si>
  <si>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</si>
  <si>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</si>
  <si>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</si>
  <si>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</si>
  <si>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</si>
  <si>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</si>
  <si>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</si>
  <si>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</si>
  <si>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</si>
  <si>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</si>
  <si>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</si>
  <si>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</si>
  <si>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</si>
  <si>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</si>
  <si>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</si>
  <si>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</si>
  <si>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</si>
  <si>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</si>
  <si>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</si>
  <si>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</si>
  <si>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</si>
  <si>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</si>
  <si>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</si>
  <si>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</si>
  <si>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</si>
  <si>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</si>
  <si>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</si>
  <si>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</si>
  <si>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</si>
  <si>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</si>
  <si>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</si>
  <si>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</si>
  <si>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</si>
  <si>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</si>
  <si>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</si>
  <si>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</si>
  <si>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</si>
  <si>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</si>
  <si>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</si>
  <si>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</si>
  <si>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</si>
  <si>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</si>
  <si>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</si>
  <si>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</si>
  <si>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</si>
  <si>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</si>
  <si>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</si>
  <si>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</si>
  <si>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</si>
  <si>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</si>
  <si>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</si>
  <si>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</si>
  <si>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</si>
  <si>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</si>
  <si>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</si>
  <si>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</si>
  <si>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</si>
  <si>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</si>
  <si>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</si>
  <si>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</si>
  <si>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</si>
  <si>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</si>
  <si>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</si>
  <si>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</si>
  <si>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</si>
  <si>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</si>
  <si>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</si>
  <si>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</si>
  <si>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</si>
  <si>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</si>
  <si>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</si>
  <si>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</si>
  <si>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</si>
  <si>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</si>
  <si>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</si>
  <si>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</si>
  <si>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</si>
  <si>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</si>
  <si>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</si>
  <si>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</si>
  <si>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</si>
  <si>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</si>
  <si>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</si>
  <si>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</si>
  <si>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</si>
  <si>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</si>
  <si>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</si>
  <si>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</si>
  <si>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</si>
  <si>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</si>
  <si>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</si>
  <si>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</si>
  <si>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</si>
  <si>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</si>
  <si>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</si>
  <si>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</si>
  <si>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</si>
  <si>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</si>
  <si>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</si>
  <si>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</si>
  <si>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</si>
  <si>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</si>
  <si>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</si>
  <si>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</si>
  <si>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</si>
  <si>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</si>
  <si>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</si>
  <si>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</si>
  <si>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</si>
  <si>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</si>
  <si>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</si>
  <si>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</si>
  <si>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</si>
  <si>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</si>
  <si>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</si>
  <si>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</si>
  <si>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</si>
  <si>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</si>
  <si>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</si>
  <si>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</si>
  <si>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</si>
  <si>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</si>
  <si>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</si>
  <si>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</si>
  <si>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</si>
  <si>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</si>
  <si>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</si>
  <si>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</si>
  <si>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</si>
  <si>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</si>
  <si>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</si>
  <si>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</si>
  <si>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</si>
  <si>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</si>
  <si>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</si>
  <si>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</si>
  <si>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</si>
  <si>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</si>
  <si>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</si>
  <si>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</si>
  <si>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</si>
  <si>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</si>
  <si>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</si>
  <si>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</si>
  <si>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</si>
  <si>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</si>
  <si>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</si>
  <si>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</si>
  <si>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</si>
  <si>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</si>
  <si>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</si>
  <si>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</si>
  <si>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</si>
  <si>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</si>
  <si>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</si>
  <si>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</si>
  <si>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</si>
  <si>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</si>
  <si>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</si>
  <si>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</si>
  <si>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</si>
  <si>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</si>
  <si>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</si>
  <si>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</si>
  <si>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</si>
  <si>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</si>
  <si>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</si>
  <si>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</si>
  <si>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</si>
  <si>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</si>
  <si>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</si>
  <si>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</si>
  <si>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</si>
  <si>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</si>
  <si>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</si>
  <si>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</si>
  <si>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</si>
  <si>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</si>
  <si>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</si>
  <si>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</si>
  <si>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</si>
  <si>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</si>
  <si>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</si>
  <si>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</si>
  <si>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</si>
  <si>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</si>
  <si>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</si>
  <si>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</si>
  <si>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</si>
  <si>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</si>
  <si>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</si>
  <si>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</si>
  <si>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</si>
  <si>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</si>
  <si>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</si>
  <si>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</si>
  <si>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</si>
  <si>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</si>
  <si>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</si>
  <si>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</si>
  <si>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</si>
  <si>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</si>
  <si>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</si>
  <si>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</si>
  <si>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</si>
  <si>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</si>
  <si>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</si>
  <si>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</si>
  <si>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</si>
  <si>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</si>
  <si>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</si>
  <si>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</si>
  <si>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</si>
  <si>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</si>
  <si>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</si>
  <si>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</si>
  <si>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</si>
  <si>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</si>
  <si>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</si>
  <si>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</si>
  <si>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</si>
  <si>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</si>
  <si>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</si>
  <si>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</si>
  <si>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</si>
  <si>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</si>
  <si>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</si>
  <si>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</si>
  <si>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</si>
  <si>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</si>
  <si>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</si>
  <si>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</si>
  <si>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</si>
  <si>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</si>
  <si>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</si>
  <si>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</si>
  <si>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</si>
  <si>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</si>
  <si>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</si>
  <si>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</si>
  <si>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</si>
  <si>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</si>
  <si>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</si>
  <si>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</si>
  <si>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</si>
  <si>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</si>
  <si>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</si>
  <si>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</si>
  <si>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</si>
  <si>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</si>
  <si>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</si>
  <si>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</si>
  <si>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</si>
  <si>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</si>
  <si>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</si>
  <si>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</si>
  <si>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</si>
  <si>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</si>
  <si>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</si>
  <si>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</si>
  <si>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</si>
  <si>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</si>
  <si>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</si>
  <si>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</si>
  <si>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</si>
  <si>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</si>
  <si>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</si>
  <si>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</si>
  <si>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</si>
  <si>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</si>
  <si>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</si>
  <si>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</si>
  <si>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</si>
  <si>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</si>
  <si>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</si>
  <si>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</si>
  <si>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</si>
  <si>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</si>
  <si>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</si>
  <si>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</si>
  <si>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</si>
  <si>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</si>
  <si>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</si>
  <si>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</si>
  <si>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</si>
  <si>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</si>
  <si>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</si>
  <si>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</si>
  <si>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</si>
  <si>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</si>
  <si>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</si>
  <si>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</si>
  <si>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</si>
  <si>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</si>
  <si>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</si>
  <si>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</si>
  <si>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</si>
  <si>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</si>
  <si>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</si>
  <si>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</si>
  <si>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</si>
  <si>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</si>
  <si>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</si>
  <si>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</si>
  <si>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</si>
  <si>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</si>
  <si>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</si>
  <si>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</si>
  <si>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</si>
  <si>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</si>
  <si>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</si>
  <si>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</si>
  <si>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</si>
  <si>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</si>
  <si>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</si>
  <si>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</si>
  <si>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</si>
  <si>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</si>
  <si>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</si>
  <si>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</si>
  <si>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</si>
  <si>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</si>
  <si>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</si>
  <si>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</si>
  <si>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</si>
  <si>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</si>
  <si>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</si>
  <si>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</si>
  <si>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</si>
  <si>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</si>
  <si>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</si>
  <si>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</si>
  <si>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</si>
  <si>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</si>
  <si>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</si>
  <si>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</si>
  <si>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</si>
  <si>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</si>
  <si>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</si>
  <si>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</si>
  <si>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</si>
  <si>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</si>
  <si>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</si>
  <si>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</si>
  <si>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</si>
  <si>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</si>
  <si>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</si>
  <si>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</si>
  <si>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</si>
  <si>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</si>
  <si>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</si>
  <si>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</si>
  <si>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</si>
  <si>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</si>
  <si>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</si>
  <si>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</si>
  <si>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</si>
  <si>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</si>
  <si>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</si>
  <si>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</si>
  <si>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</si>
  <si>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</si>
  <si>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</si>
  <si>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</si>
  <si>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</si>
  <si>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</si>
  <si>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</si>
  <si>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</si>
  <si>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</si>
  <si>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</si>
  <si>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</si>
  <si>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</si>
  <si>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</si>
  <si>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</si>
  <si>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</si>
  <si>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</si>
  <si>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</si>
  <si>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</si>
  <si>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</si>
  <si>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</si>
  <si>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</si>
  <si>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</si>
  <si>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</si>
  <si>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</si>
  <si>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</si>
  <si>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</si>
  <si>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</si>
  <si>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</si>
  <si>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</si>
  <si>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</si>
  <si>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</si>
  <si>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</si>
  <si>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</si>
  <si>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</si>
  <si>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</si>
  <si>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</si>
  <si>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</si>
  <si>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</si>
  <si>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</si>
  <si>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</si>
  <si>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</si>
  <si>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</si>
  <si>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</si>
  <si>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</si>
  <si>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</si>
  <si>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</si>
  <si>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</si>
  <si>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</si>
  <si>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</si>
  <si>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</si>
  <si>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</si>
  <si>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</si>
  <si>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</si>
  <si>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</si>
  <si>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</si>
  <si>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</si>
  <si>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</si>
  <si>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</si>
  <si>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</si>
  <si>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</si>
  <si>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</si>
  <si>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</si>
  <si>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</si>
  <si>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</si>
  <si>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</si>
  <si>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</si>
  <si>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</si>
  <si>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</si>
  <si>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</si>
  <si>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</si>
  <si>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</si>
  <si>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</si>
  <si>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</si>
  <si>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</si>
  <si>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</si>
  <si>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</si>
  <si>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</si>
  <si>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</si>
  <si>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</si>
  <si>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</si>
  <si>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</si>
  <si>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</si>
  <si>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</si>
  <si>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</si>
  <si>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</si>
  <si>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</si>
  <si>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</si>
  <si>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</si>
  <si>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</si>
  <si>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</si>
  <si>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</si>
  <si>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</si>
  <si>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</si>
  <si>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</si>
  <si>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</si>
  <si>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</si>
  <si>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</si>
  <si>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</si>
  <si>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</si>
  <si>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</si>
  <si>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</si>
  <si>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</si>
  <si>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</si>
  <si>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</si>
  <si>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</si>
  <si>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</si>
  <si>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</si>
  <si>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</si>
  <si>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</si>
  <si>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</si>
  <si>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</si>
  <si>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</si>
  <si>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</si>
  <si>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</si>
  <si>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</si>
  <si>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</si>
  <si>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</si>
  <si>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</si>
  <si>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</si>
  <si>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</si>
  <si>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</si>
  <si>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</si>
  <si>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</si>
  <si>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</si>
  <si>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</si>
  <si>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</si>
  <si>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</si>
  <si>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</si>
  <si>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</si>
  <si>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</si>
  <si>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</si>
  <si>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</si>
  <si>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</si>
  <si>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</si>
  <si>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</si>
  <si>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</si>
  <si>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</si>
  <si>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</si>
  <si>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</si>
  <si>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</si>
  <si>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</si>
  <si>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</si>
  <si>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</si>
  <si>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</si>
  <si>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</si>
  <si>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</si>
  <si>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</si>
  <si>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</si>
  <si>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</si>
  <si>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</si>
  <si>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</si>
  <si>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</si>
  <si>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</si>
  <si>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</si>
  <si>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</si>
  <si>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</si>
  <si>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</si>
  <si>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</si>
  <si>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</si>
  <si>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</si>
  <si>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</si>
  <si>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</si>
  <si>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</si>
  <si>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</si>
  <si>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</si>
  <si>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</si>
  <si>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</si>
  <si>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</si>
  <si>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</si>
  <si>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</si>
  <si>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</si>
  <si>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</si>
  <si>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</si>
  <si>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</si>
  <si>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</si>
  <si>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</si>
  <si>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</si>
  <si>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</si>
  <si>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</si>
  <si>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</si>
  <si>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</si>
  <si>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</si>
  <si>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</si>
  <si>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</si>
  <si>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</si>
  <si>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</si>
  <si>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</si>
  <si>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</si>
  <si>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</si>
  <si>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</si>
  <si>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</si>
  <si>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</si>
  <si>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</si>
  <si>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</si>
  <si>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</si>
  <si>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</si>
  <si>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</si>
  <si>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</si>
  <si>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</si>
  <si>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</si>
  <si>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</si>
  <si>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</si>
  <si>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</si>
  <si>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</si>
  <si>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</si>
  <si>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</si>
  <si>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</si>
  <si>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</si>
  <si>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</si>
  <si>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</si>
  <si>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</si>
  <si>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</si>
  <si>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</si>
  <si>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</si>
  <si>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</si>
  <si>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</si>
  <si>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</si>
  <si>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</si>
  <si>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</si>
  <si>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</si>
  <si>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</si>
  <si>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</si>
  <si>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</si>
  <si>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</si>
  <si>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</si>
  <si>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</si>
  <si>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</si>
  <si>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</si>
  <si>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</si>
  <si>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</si>
  <si>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</si>
  <si>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</si>
  <si>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</si>
  <si>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</si>
  <si>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</si>
  <si>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</si>
  <si>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</si>
  <si>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</si>
  <si>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</si>
  <si>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</si>
  <si>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</si>
  <si>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</si>
  <si>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</si>
  <si>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</si>
  <si>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</si>
  <si>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</si>
  <si>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</si>
  <si>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</si>
  <si>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</si>
  <si>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</si>
  <si>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</si>
  <si>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</si>
  <si>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</si>
  <si>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</si>
  <si>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</si>
  <si>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</si>
  <si>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</si>
  <si>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</si>
  <si>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</si>
  <si>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</si>
  <si>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</si>
  <si>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</si>
  <si>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</si>
  <si>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</si>
  <si>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</si>
  <si>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</si>
  <si>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</si>
  <si>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</si>
  <si>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</si>
  <si>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</si>
  <si>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</si>
  <si>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</si>
  <si>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</si>
  <si>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</si>
  <si>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</si>
  <si>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</si>
  <si>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</si>
  <si>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</si>
  <si>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</si>
  <si>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</si>
  <si>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</si>
  <si>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</si>
  <si>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</si>
  <si>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</si>
  <si>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</si>
  <si>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</si>
  <si>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</si>
  <si>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</si>
  <si>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</si>
  <si>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</si>
  <si>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</si>
  <si>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</si>
  <si>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</si>
  <si>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</si>
  <si>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</si>
  <si>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</si>
  <si>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</si>
  <si>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</si>
  <si>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</si>
  <si>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</si>
  <si>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</si>
  <si>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</si>
  <si>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</si>
  <si>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</si>
  <si>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</si>
  <si>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</si>
  <si>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</si>
  <si>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</si>
  <si>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</si>
  <si>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</si>
  <si>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</si>
  <si>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</si>
  <si>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</si>
  <si>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</si>
  <si>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</si>
  <si>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</si>
  <si>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</si>
  <si>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</si>
  <si>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</si>
  <si>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</si>
  <si>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</si>
  <si>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</si>
  <si>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</si>
  <si>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</si>
  <si>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</si>
  <si>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</si>
  <si>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</si>
  <si>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</si>
  <si>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</si>
  <si>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</si>
  <si>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</si>
  <si>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</si>
  <si>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</si>
  <si>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</si>
  <si>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</si>
  <si>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</si>
  <si>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</si>
  <si>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</si>
  <si>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</si>
  <si>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</si>
  <si>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</si>
  <si>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</si>
  <si>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</si>
  <si>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</si>
  <si>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</si>
  <si>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</si>
  <si>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</si>
  <si>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</si>
  <si>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</si>
  <si>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</si>
  <si>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</si>
  <si>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</si>
  <si>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</si>
  <si>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</si>
  <si>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</si>
  <si>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</si>
  <si>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</si>
  <si>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</si>
  <si>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</si>
  <si>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</si>
  <si>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</si>
  <si>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</si>
  <si>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</si>
  <si>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</si>
  <si>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</si>
  <si>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</si>
  <si>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</si>
  <si>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</si>
  <si>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</si>
  <si>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</si>
  <si>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</si>
  <si>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</si>
  <si>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</si>
  <si>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</si>
  <si>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</si>
  <si>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</si>
  <si>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</si>
  <si>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</si>
  <si>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</si>
  <si>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</si>
  <si>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</si>
  <si>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</si>
  <si>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</si>
  <si>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</si>
  <si>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</si>
  <si>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</si>
  <si>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</si>
  <si>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</si>
  <si>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</si>
  <si>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</si>
  <si>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</si>
  <si>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</si>
  <si>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</si>
  <si>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</si>
  <si>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</si>
  <si>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</si>
  <si>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</si>
  <si>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</si>
  <si>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</si>
  <si>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</si>
  <si>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</si>
  <si>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</si>
  <si>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</si>
  <si>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</si>
  <si>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</si>
  <si>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</si>
  <si>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</si>
  <si>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</si>
  <si>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</si>
  <si>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</si>
  <si>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</si>
  <si>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</si>
  <si>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</si>
  <si>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</si>
  <si>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</si>
  <si>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</si>
  <si>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</si>
  <si>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</si>
  <si>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</si>
  <si>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</si>
  <si>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</si>
  <si>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</si>
  <si>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</si>
  <si>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</si>
  <si>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</si>
  <si>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</si>
  <si>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</si>
  <si>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</si>
  <si>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</si>
  <si>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</si>
  <si>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</si>
  <si>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</si>
  <si>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</si>
  <si>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</si>
  <si>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</si>
  <si>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</si>
  <si>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</si>
  <si>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</si>
  <si>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</si>
  <si>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</si>
  <si>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</si>
  <si>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</si>
  <si>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</si>
  <si>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</si>
  <si>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</si>
  <si>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</si>
  <si>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</si>
  <si>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</si>
  <si>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</si>
  <si>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</si>
  <si>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</si>
  <si>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</si>
  <si>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</si>
  <si>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</si>
  <si>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</si>
  <si>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</si>
  <si>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</si>
  <si>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</si>
  <si>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</si>
  <si>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</si>
  <si>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</si>
  <si>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</si>
  <si>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</si>
  <si>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</si>
  <si>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</si>
  <si>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</si>
  <si>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</si>
  <si>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</si>
  <si>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</si>
  <si>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</si>
  <si>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</si>
  <si>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</si>
  <si>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</si>
  <si>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</si>
  <si>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</si>
  <si>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</si>
  <si>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</si>
  <si>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</si>
  <si>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</si>
  <si>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</si>
  <si>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</si>
  <si>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</si>
  <si>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</si>
  <si>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</si>
  <si>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</si>
  <si>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</si>
  <si>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</si>
  <si>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</si>
  <si>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</si>
  <si>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</si>
  <si>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</si>
  <si>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</si>
  <si>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</si>
  <si>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</si>
  <si>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</si>
  <si>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</si>
  <si>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</si>
  <si>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</si>
  <si>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</si>
  <si>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</si>
  <si>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</si>
  <si>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</si>
  <si>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</si>
  <si>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</si>
  <si>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</si>
  <si>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</si>
  <si>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</si>
  <si>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</si>
  <si>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</si>
  <si>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</si>
  <si>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</si>
  <si>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</si>
  <si>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</si>
  <si>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</si>
  <si>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</si>
  <si>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</si>
  <si>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</si>
  <si>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</si>
  <si>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</si>
  <si>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</si>
  <si>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</si>
  <si>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</si>
  <si>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</si>
  <si>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</si>
  <si>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</si>
  <si>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</si>
  <si>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</si>
  <si>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</si>
  <si>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</si>
  <si>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</si>
  <si>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</si>
  <si>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</si>
  <si>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</si>
  <si>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</si>
  <si>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</si>
  <si>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</si>
  <si>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</si>
  <si>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</si>
  <si>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</si>
  <si>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</si>
  <si>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</si>
  <si>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</si>
  <si>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</si>
  <si>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</si>
  <si>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</si>
  <si>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</si>
  <si>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</si>
  <si>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</si>
  <si>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</si>
  <si>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</si>
  <si>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</si>
  <si>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</si>
  <si>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</si>
  <si>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</si>
  <si>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</si>
  <si>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</si>
  <si>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</si>
  <si>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</si>
  <si>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</si>
  <si>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</si>
  <si>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</si>
  <si>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</si>
  <si>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</si>
  <si>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</si>
  <si>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</si>
  <si>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</si>
  <si>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</si>
  <si>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</si>
  <si>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</si>
  <si>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</si>
  <si>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</si>
  <si>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</si>
  <si>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</si>
  <si>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</si>
  <si>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</si>
  <si>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</si>
  <si>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</si>
  <si>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</si>
  <si>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</si>
  <si>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</si>
  <si>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</si>
  <si>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</si>
  <si>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</si>
  <si>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</si>
  <si>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</si>
  <si>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</si>
  <si>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</si>
  <si>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</si>
  <si>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</si>
  <si>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</si>
  <si>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</si>
  <si>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</si>
  <si>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</si>
  <si>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</si>
  <si>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</si>
  <si>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</si>
  <si>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</si>
  <si>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</si>
  <si>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</si>
  <si>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</si>
  <si>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</si>
  <si>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</si>
  <si>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</si>
  <si>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</si>
  <si>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</si>
  <si>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</si>
  <si>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</si>
  <si>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</si>
  <si>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</si>
  <si>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</si>
  <si>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</si>
  <si>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</si>
  <si>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</si>
  <si>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</si>
  <si>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</si>
  <si>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</si>
  <si>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</si>
  <si>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</si>
  <si>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</si>
  <si>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</si>
  <si>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</si>
  <si>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</si>
  <si>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</si>
  <si>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</si>
  <si>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</si>
  <si>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</si>
  <si>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</si>
  <si>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</si>
  <si>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</si>
  <si>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</si>
  <si>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</si>
  <si>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</si>
  <si>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</si>
  <si>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</si>
  <si>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</si>
  <si>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</si>
  <si>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</si>
  <si>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</si>
  <si>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</si>
  <si>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</si>
  <si>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</si>
  <si>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</si>
  <si>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</si>
  <si>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</si>
  <si>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</si>
  <si>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</si>
  <si>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</si>
  <si>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</si>
  <si>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</si>
  <si>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</si>
  <si>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</si>
  <si>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</si>
  <si>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</si>
  <si>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</si>
  <si>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</si>
  <si>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</si>
  <si>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</si>
  <si>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</si>
  <si>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</si>
  <si>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</si>
  <si>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</si>
  <si>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</si>
  <si>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</si>
  <si>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</si>
  <si>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</si>
  <si>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</si>
  <si>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</si>
  <si>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</si>
  <si>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</si>
  <si>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</si>
  <si>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</si>
  <si>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</si>
  <si>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</si>
  <si>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</si>
  <si>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</si>
  <si>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</si>
  <si>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</si>
  <si>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</si>
  <si>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</si>
  <si>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</si>
  <si>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</si>
  <si>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</si>
  <si>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</si>
  <si>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</si>
  <si>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</si>
  <si>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</si>
  <si>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</si>
  <si>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</si>
  <si>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</si>
  <si>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</si>
  <si>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</si>
  <si>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</si>
  <si>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</si>
  <si>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</si>
  <si>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</si>
  <si>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</si>
  <si>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</si>
  <si>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</si>
  <si>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</si>
  <si>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</si>
  <si>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</si>
  <si>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</si>
  <si>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</si>
  <si>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</si>
  <si>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</si>
  <si>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</si>
  <si>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</si>
  <si>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</si>
  <si>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</si>
  <si>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</si>
  <si>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</si>
  <si>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</si>
  <si>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</si>
  <si>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</si>
  <si>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</si>
  <si>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</si>
  <si>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</si>
  <si>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</si>
  <si>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</si>
  <si>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</si>
  <si>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</si>
  <si>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</si>
  <si>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</si>
  <si>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</si>
  <si>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</si>
  <si>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</si>
  <si>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</si>
  <si>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</si>
  <si>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</si>
  <si>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</si>
  <si>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</si>
  <si>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</si>
  <si>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</si>
  <si>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</si>
  <si>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</si>
  <si>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</si>
  <si>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</si>
  <si>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</si>
  <si>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</si>
  <si>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</si>
  <si>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</si>
  <si>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</si>
  <si>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</si>
  <si>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</si>
  <si>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</si>
  <si>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</si>
  <si>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</si>
  <si>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</si>
  <si>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</si>
  <si>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</si>
  <si>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</si>
  <si>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</si>
  <si>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</si>
  <si>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</si>
  <si>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</si>
  <si>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</si>
  <si>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</si>
  <si>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</si>
  <si>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</si>
  <si>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</si>
  <si>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</si>
  <si>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</si>
  <si>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</si>
  <si>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</si>
  <si>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</si>
  <si>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</si>
  <si>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</si>
  <si>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</si>
  <si>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</si>
  <si>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</si>
  <si>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</si>
  <si>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</si>
  <si>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</si>
  <si>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</si>
  <si>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</si>
  <si>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</si>
  <si>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</si>
  <si>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</si>
  <si>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</si>
  <si>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</si>
  <si>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</si>
  <si>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</si>
  <si>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</si>
  <si>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</si>
  <si>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</si>
  <si>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</si>
  <si>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</si>
  <si>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</si>
  <si>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</si>
  <si>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</si>
  <si>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</si>
  <si>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</si>
  <si>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</si>
  <si>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</si>
  <si>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</si>
  <si>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</si>
  <si>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</si>
  <si>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</si>
  <si>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</si>
  <si>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</si>
  <si>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</si>
  <si>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</si>
  <si>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</si>
  <si>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</si>
  <si>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</si>
  <si>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</si>
  <si>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</si>
  <si>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</si>
  <si>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</si>
  <si>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</si>
  <si>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</si>
  <si>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</si>
  <si>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</si>
  <si>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</si>
  <si>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</si>
  <si>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</si>
  <si>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</si>
  <si>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</si>
  <si>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</si>
  <si>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</si>
  <si>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</si>
  <si>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</si>
  <si>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</si>
  <si>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</si>
  <si>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</si>
  <si>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</si>
  <si>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</si>
  <si>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</si>
  <si>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</si>
  <si>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</si>
  <si>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</si>
  <si>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</si>
  <si>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</si>
  <si>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</si>
  <si>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</si>
  <si>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</si>
  <si>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</si>
  <si>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</si>
  <si>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</si>
  <si>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</si>
  <si>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</si>
  <si>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</si>
  <si>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</si>
  <si>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</si>
  <si>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</si>
  <si>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</si>
  <si>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</si>
  <si>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</si>
  <si>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</si>
  <si>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</si>
  <si>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</si>
  <si>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</si>
  <si>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</si>
  <si>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</si>
  <si>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</si>
  <si>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</si>
  <si>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</si>
  <si>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</si>
  <si>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</si>
  <si>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</si>
  <si>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</si>
  <si>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</si>
  <si>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</si>
  <si>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</si>
  <si>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</si>
  <si>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</si>
  <si>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</si>
  <si>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</si>
  <si>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</si>
  <si>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</si>
  <si>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</si>
  <si>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</si>
  <si>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</si>
  <si>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</si>
  <si>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</si>
  <si>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</si>
  <si>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</si>
  <si>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</si>
  <si>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</si>
  <si>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</si>
  <si>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</si>
  <si>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</si>
  <si>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</si>
  <si>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</si>
  <si>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</si>
  <si>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</si>
  <si>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</si>
  <si>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</si>
  <si>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</si>
  <si>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</si>
  <si>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</si>
  <si>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</si>
  <si>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</si>
  <si>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</si>
  <si>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</si>
  <si>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</si>
  <si>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</si>
  <si>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</si>
  <si>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</si>
  <si>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</si>
  <si>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</si>
  <si>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</si>
  <si>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</si>
  <si>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</si>
  <si>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</si>
  <si>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</si>
  <si>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</si>
  <si>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</si>
  <si>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</si>
  <si>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</si>
  <si>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</si>
  <si>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</si>
  <si>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</si>
  <si>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</si>
  <si>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</si>
  <si>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</si>
  <si>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</si>
  <si>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</si>
  <si>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</si>
  <si>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</si>
  <si>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</si>
  <si>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</si>
  <si>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</si>
  <si>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</si>
  <si>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</si>
  <si>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</si>
  <si>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</si>
  <si>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</si>
  <si>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</si>
  <si>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</si>
  <si>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</si>
  <si>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</si>
  <si>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</si>
  <si>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</si>
  <si>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</si>
  <si>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</si>
  <si>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</si>
  <si>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</si>
  <si>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</si>
  <si>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</si>
  <si>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</si>
  <si>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</si>
  <si>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</si>
  <si>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</si>
  <si>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</si>
  <si>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</si>
  <si>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</si>
  <si>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</si>
  <si>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</si>
  <si>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</si>
  <si>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</si>
  <si>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</si>
  <si>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</si>
  <si>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</si>
  <si>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</si>
  <si>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</si>
  <si>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</si>
  <si>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</si>
  <si>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</si>
  <si>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</si>
  <si>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</si>
  <si>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</si>
  <si>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</si>
  <si>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</si>
  <si>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</si>
  <si>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</si>
  <si>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</si>
  <si>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</si>
  <si>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</si>
  <si>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</si>
  <si>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</si>
  <si>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</si>
  <si>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</si>
  <si>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</si>
  <si>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</si>
  <si>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</si>
  <si>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</si>
  <si>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</si>
  <si>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</si>
  <si>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</si>
  <si>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</si>
  <si>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</si>
  <si>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</si>
  <si>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</si>
  <si>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</si>
  <si>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</si>
  <si>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</si>
  <si>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</si>
  <si>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</si>
  <si>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</si>
  <si>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</si>
  <si>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</si>
  <si>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</si>
  <si>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</si>
  <si>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</si>
  <si>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</si>
  <si>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</si>
  <si>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</si>
  <si>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</si>
  <si>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</si>
  <si>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</si>
  <si>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</si>
  <si>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</si>
  <si>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</si>
  <si>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</si>
  <si>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</si>
  <si>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</si>
  <si>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</si>
  <si>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</si>
  <si>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</si>
  <si>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</si>
  <si>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</si>
  <si>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</si>
  <si>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</si>
  <si>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</si>
  <si>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</si>
  <si>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</si>
  <si>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</si>
  <si>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</si>
  <si>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</si>
  <si>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</si>
  <si>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</si>
  <si>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</si>
  <si>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</si>
  <si>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</si>
  <si>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</si>
  <si>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</si>
  <si>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</si>
  <si>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</si>
  <si>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</si>
  <si>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</si>
  <si>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</si>
  <si>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</si>
  <si>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</si>
  <si>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</si>
  <si>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</si>
  <si>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</si>
  <si>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</si>
  <si>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</si>
  <si>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</si>
  <si>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</si>
  <si>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</si>
  <si>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</si>
  <si>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</si>
  <si>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</si>
  <si>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</si>
  <si>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</si>
  <si>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</si>
  <si>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</si>
  <si>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</si>
  <si>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</si>
  <si>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</si>
  <si>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</si>
  <si>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</si>
  <si>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</si>
  <si>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</si>
  <si>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</si>
  <si>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</si>
  <si>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</si>
  <si>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</si>
  <si>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</si>
  <si>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</si>
  <si>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</si>
  <si>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</si>
  <si>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</si>
  <si>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</si>
  <si>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</si>
  <si>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</si>
  <si>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</si>
  <si>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</si>
  <si>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</si>
  <si>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</si>
  <si>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</si>
  <si>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</si>
  <si>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</si>
  <si>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</si>
  <si>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</si>
  <si>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</si>
  <si>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</si>
  <si>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</si>
  <si>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</si>
  <si>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</si>
  <si>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</si>
  <si>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</si>
  <si>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</si>
  <si>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</si>
  <si>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</si>
  <si>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</si>
  <si>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</si>
  <si>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</si>
  <si>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</si>
  <si>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</si>
  <si>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</si>
  <si>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</si>
  <si>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</si>
  <si>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</si>
  <si>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</si>
  <si>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</si>
  <si>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</si>
  <si>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</si>
  <si>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</si>
  <si>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</si>
  <si>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</si>
  <si>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</si>
  <si>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</si>
  <si>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</si>
  <si>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</si>
  <si>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</si>
  <si>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</si>
  <si>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</si>
  <si>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</si>
  <si>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</si>
  <si>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</si>
  <si>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</si>
  <si>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</si>
  <si>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</si>
  <si>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</si>
  <si>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</si>
  <si>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</si>
  <si>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</si>
  <si>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</si>
  <si>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</si>
  <si>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</si>
  <si>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</si>
  <si>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</si>
  <si>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</si>
  <si>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</si>
  <si>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</si>
  <si>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</si>
  <si>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</si>
  <si>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</si>
  <si>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</si>
  <si>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</si>
  <si>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</si>
  <si>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</si>
  <si>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</si>
  <si>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</si>
  <si>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</si>
  <si>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</si>
  <si>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</si>
  <si>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</si>
  <si>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</si>
  <si>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</si>
  <si>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</si>
  <si>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</si>
  <si>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</si>
  <si>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</si>
  <si>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</si>
  <si>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</si>
  <si>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</si>
  <si>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</si>
  <si>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</si>
  <si>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</si>
  <si>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</si>
  <si>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</si>
  <si>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</si>
  <si>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</si>
  <si>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</si>
  <si>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</si>
  <si>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</si>
  <si>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</si>
  <si>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</si>
  <si>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</si>
  <si>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</si>
  <si>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</si>
  <si>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</si>
  <si>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</si>
  <si>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</si>
  <si>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</si>
  <si>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</si>
  <si>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</si>
  <si>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</si>
  <si>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</si>
  <si>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</si>
  <si>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</si>
  <si>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</si>
  <si>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</si>
  <si>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</si>
  <si>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</si>
  <si>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</si>
  <si>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</si>
  <si>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</si>
  <si>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</si>
  <si>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</si>
  <si>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</si>
  <si>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</si>
  <si>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</si>
  <si>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</si>
  <si>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</si>
  <si>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</si>
  <si>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</si>
  <si>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</si>
  <si>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</si>
  <si>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</si>
  <si>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</si>
  <si>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</si>
  <si>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</si>
  <si>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</si>
  <si>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</si>
  <si>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</si>
  <si>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</si>
  <si>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</si>
  <si>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</si>
  <si>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</si>
  <si>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</si>
  <si>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</si>
  <si>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</si>
  <si>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</si>
  <si>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</si>
  <si>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</si>
  <si>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</si>
  <si>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</si>
  <si>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</si>
  <si>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</si>
  <si>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</si>
  <si>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</si>
  <si>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</si>
  <si>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</si>
  <si>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</si>
  <si>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</si>
  <si>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</si>
  <si>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</si>
  <si>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</si>
  <si>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</si>
  <si>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</si>
  <si>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</si>
  <si>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</si>
  <si>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</si>
  <si>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</si>
  <si>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</si>
  <si>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</si>
  <si>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</si>
  <si>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</si>
  <si>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</si>
  <si>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</si>
  <si>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</si>
  <si>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</si>
  <si>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</si>
  <si>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</si>
  <si>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</si>
  <si>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</si>
  <si>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</si>
  <si>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</si>
  <si>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</si>
  <si>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</si>
  <si>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</si>
  <si>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</si>
  <si>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</si>
  <si>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</si>
  <si>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</si>
  <si>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</si>
  <si>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</si>
  <si>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</si>
  <si>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</si>
  <si>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</si>
  <si>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</si>
  <si>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</si>
  <si>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</si>
  <si>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</si>
  <si>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</si>
  <si>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</si>
  <si>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</si>
  <si>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</si>
  <si>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</si>
  <si>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</si>
  <si>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</si>
  <si>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</si>
  <si>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</si>
  <si>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</si>
  <si>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</si>
  <si>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</si>
  <si>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</si>
  <si>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</si>
  <si>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</si>
  <si>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</si>
  <si>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</si>
  <si>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</si>
  <si>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</si>
  <si>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</si>
  <si>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</si>
  <si>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</si>
  <si>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</si>
  <si>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</si>
  <si>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</si>
  <si>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</si>
  <si>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</si>
  <si>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</si>
  <si>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</si>
  <si>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</si>
  <si>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</si>
  <si>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</si>
  <si>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</si>
  <si>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</si>
  <si>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</si>
  <si>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</si>
  <si>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</si>
  <si>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</si>
  <si>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</si>
  <si>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</si>
  <si>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</si>
  <si>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</si>
  <si>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</si>
  <si>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</si>
  <si>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</si>
  <si>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</si>
  <si>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</si>
  <si>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</si>
  <si>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</si>
  <si>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</si>
  <si>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</si>
  <si>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</si>
  <si>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</si>
  <si>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</si>
  <si>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</si>
  <si>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</si>
  <si>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</si>
  <si>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</si>
  <si>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</si>
  <si>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</si>
  <si>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</si>
  <si>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</si>
  <si>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</si>
  <si>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</si>
  <si>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</si>
  <si>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</si>
  <si>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</si>
  <si>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</si>
  <si>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</si>
  <si>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</si>
  <si>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</si>
  <si>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</si>
  <si>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</si>
  <si>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</si>
  <si>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</si>
  <si>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</si>
  <si>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</si>
  <si>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</si>
  <si>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</si>
  <si>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</si>
  <si>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</si>
  <si>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</si>
  <si>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</si>
  <si>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</si>
  <si>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</si>
  <si>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</si>
  <si>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</si>
  <si>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</si>
  <si>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</si>
  <si>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</si>
  <si>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</si>
  <si>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</si>
  <si>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</si>
  <si>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</si>
  <si>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</si>
  <si>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</si>
  <si>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</si>
  <si>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</si>
  <si>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</si>
  <si>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</si>
  <si>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</si>
  <si>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</si>
  <si>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</si>
  <si>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</si>
  <si>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</si>
  <si>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</si>
  <si>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</si>
  <si>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</si>
  <si>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</si>
  <si>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</si>
  <si>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</si>
  <si>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</si>
  <si>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</si>
  <si>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</si>
  <si>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</si>
  <si>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</si>
  <si>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</si>
  <si>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</si>
  <si>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</si>
  <si>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</si>
  <si>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</si>
  <si>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</si>
  <si>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</si>
  <si>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</si>
  <si>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</si>
  <si>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</si>
  <si>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</si>
  <si>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</si>
  <si>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</si>
  <si>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</si>
  <si>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</si>
  <si>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</si>
  <si>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</si>
  <si>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</si>
  <si>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</si>
  <si>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</si>
  <si>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</si>
  <si>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</si>
  <si>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</si>
  <si>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</si>
  <si>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</si>
  <si>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</si>
  <si>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</si>
  <si>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</si>
  <si>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</si>
  <si>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</si>
  <si>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</si>
  <si>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</si>
  <si>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</si>
  <si>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</si>
  <si>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</si>
  <si>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</si>
  <si>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</si>
  <si>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</si>
  <si>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</si>
  <si>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</si>
  <si>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</si>
  <si>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</si>
  <si>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</si>
  <si>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</si>
  <si>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</si>
  <si>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</si>
  <si>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</si>
  <si>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</si>
  <si>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</si>
  <si>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</si>
  <si>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</si>
  <si>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</si>
  <si>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</si>
  <si>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</si>
  <si>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</si>
  <si>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</si>
  <si>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</si>
  <si>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</si>
  <si>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</si>
  <si>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</si>
  <si>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</si>
  <si>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</si>
  <si>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</si>
  <si>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</si>
  <si>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</si>
  <si>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</si>
  <si>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</si>
  <si>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</si>
  <si>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</si>
  <si>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</si>
  <si>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</si>
  <si>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</si>
  <si>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</si>
  <si>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</si>
  <si>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</si>
  <si>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</si>
  <si>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</si>
  <si>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</si>
  <si>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</si>
  <si>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</si>
  <si>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</si>
  <si>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</si>
  <si>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</si>
  <si>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</si>
  <si>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</si>
  <si>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</si>
  <si>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</si>
  <si>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</si>
  <si>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</si>
  <si>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</si>
  <si>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</si>
  <si>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</si>
  <si>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</si>
  <si>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</si>
  <si>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</si>
  <si>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</si>
  <si>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</si>
  <si>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</si>
  <si>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</si>
  <si>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</si>
  <si>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</si>
  <si>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</si>
  <si>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</si>
  <si>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</si>
  <si>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</si>
  <si>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</si>
  <si>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</si>
  <si>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</si>
  <si>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</si>
  <si>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</si>
  <si>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</si>
  <si>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</si>
  <si>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</si>
  <si>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</si>
  <si>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</si>
  <si>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</si>
  <si>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</si>
  <si>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</si>
  <si>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</si>
  <si>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</si>
  <si>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</si>
  <si>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</si>
  <si>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</si>
  <si>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</si>
  <si>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</si>
  <si>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</si>
  <si>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</si>
  <si>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</si>
  <si>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</si>
  <si>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</si>
  <si>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</si>
  <si>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</si>
  <si>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</si>
  <si>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</si>
  <si>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</si>
  <si>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</si>
  <si>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</si>
  <si>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</si>
  <si>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</si>
  <si>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</si>
  <si>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</si>
  <si>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</si>
  <si>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</si>
  <si>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</si>
  <si>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</si>
  <si>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</si>
  <si>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</si>
  <si>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</si>
  <si>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</si>
  <si>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</si>
  <si>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</si>
  <si>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</si>
  <si>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</si>
  <si>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</si>
  <si>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</si>
  <si>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</si>
  <si>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</si>
  <si>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</si>
  <si>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</si>
  <si>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</si>
  <si>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</si>
  <si>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</si>
  <si>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</si>
  <si>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</si>
  <si>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</si>
  <si>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</si>
  <si>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</si>
  <si>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</si>
  <si>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</si>
  <si>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</si>
  <si>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</si>
  <si>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</si>
  <si>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</si>
  <si>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</si>
  <si>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</si>
  <si>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</si>
  <si>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</si>
  <si>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</si>
  <si>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</si>
  <si>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</si>
  <si>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</si>
  <si>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</si>
  <si>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</si>
  <si>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</si>
  <si>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</si>
  <si>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</si>
  <si>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</si>
  <si>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</si>
  <si>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</si>
  <si>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</si>
  <si>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</si>
  <si>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</si>
  <si>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</si>
  <si>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</si>
  <si>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</si>
  <si>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</si>
  <si>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</si>
  <si>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</si>
  <si>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</si>
  <si>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</si>
  <si>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</si>
  <si>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</si>
  <si>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</si>
  <si>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</si>
  <si>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</si>
  <si>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</si>
  <si>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</si>
  <si>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</si>
  <si>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</si>
  <si>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</si>
  <si>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</si>
  <si>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</si>
  <si>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</si>
  <si>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</si>
  <si>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</si>
  <si>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</si>
  <si>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</si>
  <si>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</si>
  <si>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</si>
  <si>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</si>
  <si>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</si>
  <si>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</si>
  <si>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</si>
  <si>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</si>
  <si>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</si>
  <si>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</si>
  <si>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</si>
  <si>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</si>
  <si>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</si>
  <si>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</si>
  <si>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</si>
  <si>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</si>
  <si>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</si>
  <si>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</si>
  <si>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</si>
  <si>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</si>
  <si>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</si>
  <si>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</si>
  <si>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</si>
  <si>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</si>
  <si>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</si>
  <si>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</si>
  <si>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</si>
  <si>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</si>
  <si>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</si>
  <si>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</si>
  <si>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</si>
  <si>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</si>
  <si>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</si>
  <si>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</si>
  <si>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</si>
  <si>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</si>
  <si>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</si>
  <si>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</si>
  <si>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</si>
  <si>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</si>
  <si>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</si>
  <si>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</si>
  <si>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</si>
  <si>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</si>
  <si>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</si>
  <si>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</si>
  <si>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</si>
  <si>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</si>
  <si>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</si>
  <si>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</si>
  <si>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</si>
  <si>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</si>
  <si>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</si>
  <si>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</si>
  <si>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</si>
  <si>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</si>
  <si>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</si>
  <si>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</si>
  <si>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</si>
  <si>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</si>
  <si>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</si>
  <si>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</si>
  <si>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</si>
  <si>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</si>
  <si>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</si>
  <si>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</si>
  <si>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</si>
  <si>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</si>
  <si>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</si>
  <si>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</si>
  <si>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</si>
  <si>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</si>
  <si>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</si>
  <si>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</si>
  <si>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</si>
  <si>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</si>
  <si>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</si>
  <si>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</si>
  <si>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</si>
  <si>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</si>
  <si>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</si>
  <si>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</si>
  <si>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</si>
  <si>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</si>
  <si>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</si>
  <si>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</si>
  <si>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</si>
  <si>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</si>
  <si>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</si>
  <si>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</si>
  <si>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</si>
  <si>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</si>
  <si>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</si>
  <si>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</si>
  <si>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</si>
  <si>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</si>
  <si>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</si>
  <si>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</si>
  <si>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</si>
  <si>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</si>
  <si>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</si>
  <si>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</si>
  <si>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</si>
  <si>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</si>
  <si>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</si>
  <si>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</si>
  <si>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</si>
  <si>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</si>
  <si>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</si>
  <si>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</si>
  <si>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</si>
  <si>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</si>
  <si>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</si>
  <si>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</si>
  <si>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</si>
  <si>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</si>
  <si>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</si>
  <si>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</si>
  <si>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</si>
  <si>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</si>
  <si>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</si>
  <si>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</si>
  <si>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</si>
  <si>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</si>
  <si>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</si>
  <si>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</si>
  <si>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</si>
  <si>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</si>
  <si>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</si>
  <si>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</si>
  <si>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</si>
  <si>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</si>
  <si>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</si>
  <si>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</si>
  <si>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</si>
  <si>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</si>
  <si>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</si>
  <si>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</si>
  <si>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</si>
  <si>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</si>
  <si>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</si>
  <si>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</si>
  <si>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</si>
  <si>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</si>
  <si>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</si>
  <si>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</si>
  <si>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</si>
  <si>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</si>
  <si>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</si>
  <si>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</si>
  <si>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</si>
  <si>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</si>
  <si>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</si>
  <si>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</si>
  <si>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</si>
  <si>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</si>
  <si>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</si>
  <si>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</si>
  <si>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</si>
  <si>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</si>
  <si>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</si>
  <si>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</si>
  <si>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</si>
  <si>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</si>
  <si>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</si>
  <si>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</si>
  <si>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</si>
  <si>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</si>
  <si>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</si>
  <si>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</si>
  <si>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</si>
  <si>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</si>
  <si>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</si>
  <si>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</si>
  <si>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</si>
  <si>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</si>
  <si>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</si>
  <si>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</si>
  <si>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</si>
  <si>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</si>
  <si>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</si>
  <si>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</si>
  <si>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</si>
  <si>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</si>
  <si>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</si>
  <si>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</si>
  <si>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</si>
  <si>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</si>
  <si>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</si>
  <si>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</si>
  <si>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</si>
  <si>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</si>
  <si>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</si>
  <si>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</si>
  <si>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</si>
  <si>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</si>
  <si>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</si>
  <si>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</si>
  <si>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</si>
  <si>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</si>
  <si>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</si>
  <si>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</si>
  <si>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</si>
  <si>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</si>
  <si>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</si>
  <si>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</si>
  <si>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</si>
  <si>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</si>
  <si>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</si>
  <si>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</si>
  <si>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</si>
  <si>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</si>
  <si>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</si>
  <si>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</si>
  <si>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</si>
  <si>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</si>
  <si>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</si>
  <si>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</si>
  <si>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</si>
  <si>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</si>
  <si>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</si>
  <si>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</si>
  <si>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</si>
  <si>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</si>
  <si>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</si>
  <si>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</si>
  <si>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</si>
  <si>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</si>
  <si>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</si>
  <si>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</si>
  <si>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</si>
  <si>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</si>
  <si>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</si>
  <si>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</si>
  <si>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</si>
  <si>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</si>
  <si>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</si>
  <si>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</si>
  <si>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</si>
  <si>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</si>
  <si>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</si>
  <si>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</si>
  <si>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</si>
  <si>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</si>
  <si>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</si>
  <si>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</si>
  <si>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</si>
  <si>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</si>
  <si>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</si>
  <si>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</si>
  <si>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</si>
  <si>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</si>
  <si>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</si>
  <si>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</si>
  <si>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</si>
  <si>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</si>
  <si>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</si>
  <si>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</si>
  <si>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</si>
  <si>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</si>
  <si>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</si>
  <si>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</si>
  <si>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</si>
  <si>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</si>
  <si>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</si>
  <si>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</si>
  <si>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</si>
  <si>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</si>
  <si>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</si>
  <si>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</si>
  <si>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</si>
  <si>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</si>
  <si>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</si>
  <si>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</si>
  <si>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</si>
  <si>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</si>
  <si>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</si>
  <si>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</si>
  <si>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</si>
  <si>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</si>
  <si>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</si>
  <si>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</si>
  <si>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</si>
  <si>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</si>
  <si>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</si>
  <si>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</si>
  <si>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</si>
  <si>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</si>
  <si>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</si>
  <si>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</si>
  <si>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</si>
  <si>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</si>
  <si>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</si>
  <si>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</si>
  <si>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</si>
  <si>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</si>
  <si>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</si>
  <si>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</si>
  <si>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</si>
  <si>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</si>
  <si>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</si>
  <si>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</si>
  <si>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</si>
  <si>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</si>
  <si>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</si>
  <si>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</si>
  <si>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</si>
  <si>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</si>
  <si>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</si>
  <si>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</si>
  <si>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</si>
  <si>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</si>
  <si>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</si>
  <si>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</si>
  <si>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</si>
  <si>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</si>
  <si>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</si>
  <si>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</si>
  <si>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</si>
  <si>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</si>
  <si>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</si>
  <si>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</si>
  <si>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</si>
  <si>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</si>
  <si>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</si>
  <si>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</si>
  <si>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</si>
  <si>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</si>
  <si>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</si>
  <si>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</si>
  <si>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</si>
  <si>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</si>
  <si>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</si>
  <si>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</si>
  <si>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</si>
  <si>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</si>
  <si>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</si>
  <si>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</si>
  <si>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</si>
  <si>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</si>
  <si>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</si>
  <si>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</si>
  <si>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</si>
  <si>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</si>
  <si>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</si>
  <si>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</si>
  <si>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</si>
  <si>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</si>
  <si>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</si>
  <si>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</si>
  <si>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</si>
  <si>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</si>
  <si>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</si>
  <si>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</si>
  <si>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</si>
  <si>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</si>
  <si>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</si>
  <si>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</si>
  <si>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</si>
  <si>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</si>
  <si>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</si>
  <si>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</si>
  <si>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</si>
  <si>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</si>
  <si>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</si>
  <si>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</si>
  <si>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</si>
  <si>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</si>
  <si>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</si>
  <si>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</si>
  <si>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</si>
  <si>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</si>
  <si>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</si>
  <si>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</si>
  <si>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</si>
  <si>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</si>
  <si>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</si>
  <si>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</si>
  <si>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</si>
  <si>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</si>
  <si>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</si>
  <si>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</si>
  <si>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</si>
  <si>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</si>
  <si>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</si>
  <si>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</si>
  <si>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</si>
  <si>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</si>
  <si>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</si>
  <si>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</si>
  <si>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</si>
  <si>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</si>
  <si>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</si>
  <si>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</si>
  <si>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</si>
  <si>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</si>
  <si>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</si>
  <si>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</si>
  <si>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</si>
  <si>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</si>
  <si>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</si>
  <si>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</si>
  <si>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</si>
  <si>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</si>
  <si>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</si>
  <si>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</si>
  <si>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</si>
  <si>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</si>
  <si>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</si>
  <si>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</si>
  <si>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</si>
  <si>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</si>
  <si>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</si>
  <si>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</si>
  <si>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</si>
  <si>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</si>
  <si>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</si>
  <si>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</si>
  <si>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</si>
  <si>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</si>
  <si>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</si>
  <si>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</si>
  <si>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</si>
  <si>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</si>
  <si>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</si>
  <si>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</si>
  <si>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</si>
  <si>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</si>
  <si>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</si>
  <si>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</si>
  <si>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</si>
  <si>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</si>
  <si>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</si>
  <si>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</si>
  <si>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</si>
  <si>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</si>
  <si>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</si>
  <si>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</si>
  <si>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</si>
  <si>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</si>
  <si>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</si>
  <si>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</si>
  <si>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</si>
  <si>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</si>
  <si>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</si>
  <si>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</si>
  <si>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</si>
  <si>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</si>
  <si>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</si>
  <si>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</si>
  <si>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</si>
  <si>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</si>
  <si>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</si>
  <si>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</si>
  <si>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</si>
  <si>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</si>
  <si>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</si>
  <si>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</si>
  <si>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</si>
  <si>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</si>
  <si>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</si>
  <si>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</si>
  <si>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</si>
  <si>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</si>
  <si>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</si>
  <si>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</si>
  <si>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</si>
  <si>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</si>
  <si>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</si>
  <si>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</si>
  <si>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</si>
  <si>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</si>
  <si>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</si>
  <si>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</si>
  <si>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</si>
  <si>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</si>
  <si>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</si>
  <si>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</si>
  <si>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</si>
  <si>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</si>
  <si>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</si>
  <si>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</si>
  <si>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</si>
  <si>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</si>
  <si>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</si>
  <si>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</si>
  <si>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</si>
  <si>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</si>
  <si>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</si>
  <si>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</si>
  <si>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</si>
  <si>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</si>
  <si>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</si>
  <si>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</si>
  <si>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</si>
  <si>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</si>
  <si>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</si>
  <si>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</si>
  <si>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</si>
  <si>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</si>
  <si>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</si>
  <si>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</si>
  <si>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</si>
  <si>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</si>
  <si>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</si>
  <si>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</si>
  <si>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</si>
  <si>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</si>
  <si>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</si>
  <si>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</si>
  <si>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</si>
  <si>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</si>
  <si>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</si>
  <si>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</si>
  <si>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</si>
  <si>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</si>
  <si>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</si>
  <si>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</si>
  <si>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</si>
  <si>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</si>
  <si>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</si>
  <si>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</si>
  <si>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</si>
  <si>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</si>
  <si>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</si>
  <si>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</si>
  <si>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</si>
  <si>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</si>
  <si>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</si>
  <si>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</si>
  <si>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</si>
  <si>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</si>
  <si>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</si>
  <si>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</si>
  <si>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</si>
  <si>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</si>
  <si>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</si>
  <si>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</si>
  <si>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</si>
  <si>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</si>
  <si>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</si>
  <si>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</si>
  <si>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</si>
  <si>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</si>
  <si>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</si>
  <si>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</si>
  <si>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</si>
  <si>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</si>
  <si>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</si>
  <si>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</si>
  <si>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</si>
  <si>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</si>
  <si>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</si>
  <si>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</si>
  <si>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</si>
  <si>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</si>
  <si>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</si>
  <si>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</si>
  <si>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</si>
  <si>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</si>
  <si>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</si>
  <si>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</si>
  <si>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</si>
  <si>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</si>
  <si>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</si>
  <si>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</si>
  <si>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</si>
  <si>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</si>
  <si>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</si>
  <si>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</si>
  <si>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</si>
  <si>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</si>
  <si>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</si>
  <si>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</si>
  <si>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</si>
  <si>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</si>
  <si>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</si>
  <si>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</si>
  <si>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</si>
  <si>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</si>
  <si>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</si>
  <si>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</si>
  <si>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</si>
  <si>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</si>
  <si>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</si>
  <si>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</si>
  <si>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</si>
  <si>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</si>
  <si>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</si>
  <si>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</si>
  <si>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</si>
  <si>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</si>
  <si>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</si>
  <si>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</si>
  <si>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</si>
  <si>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</si>
  <si>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</si>
  <si>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</si>
  <si>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</si>
  <si>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</si>
  <si>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</si>
  <si>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</si>
  <si>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</si>
  <si>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</si>
  <si>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</si>
  <si>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</si>
  <si>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</si>
  <si>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</si>
  <si>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</si>
  <si>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</si>
  <si>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</si>
  <si>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</si>
  <si>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</si>
  <si>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</si>
  <si>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</si>
  <si>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</si>
  <si>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</si>
  <si>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</si>
  <si>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</si>
  <si>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</si>
  <si>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</si>
  <si>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</si>
  <si>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</si>
  <si>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</si>
  <si>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</si>
  <si>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</si>
  <si>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</si>
  <si>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</si>
  <si>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</si>
  <si>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</si>
  <si>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</si>
  <si>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</si>
  <si>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</si>
  <si>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</si>
  <si>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</si>
  <si>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</si>
  <si>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</si>
  <si>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</si>
  <si>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</si>
  <si>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</si>
  <si>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</si>
  <si>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</si>
  <si>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</si>
  <si>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</si>
  <si>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</si>
  <si>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</si>
  <si>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</si>
  <si>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</si>
  <si>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</si>
  <si>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</si>
  <si>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</si>
  <si>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</si>
  <si>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</si>
  <si>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</si>
  <si>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</si>
  <si>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</si>
  <si>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</si>
  <si>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</si>
  <si>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</si>
  <si>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</si>
  <si>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</si>
  <si>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</si>
  <si>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</si>
  <si>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</si>
  <si>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</si>
  <si>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</si>
  <si>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</si>
  <si>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</si>
  <si>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</si>
  <si>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</si>
  <si>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</si>
  <si>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</si>
  <si>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</si>
  <si>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</si>
  <si>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</si>
  <si>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</si>
  <si>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</si>
  <si>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</si>
  <si>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</si>
  <si>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</si>
  <si>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</si>
  <si>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</si>
  <si>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</si>
  <si>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</si>
  <si>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</si>
  <si>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</si>
  <si>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</si>
  <si>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</si>
  <si>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</si>
  <si>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</si>
  <si>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</si>
  <si>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</si>
  <si>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</si>
  <si>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</si>
  <si>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</si>
  <si>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</si>
  <si>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</si>
  <si>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</si>
  <si>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</si>
  <si>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</si>
  <si>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</si>
  <si>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</si>
  <si>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</si>
  <si>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</si>
  <si>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</si>
  <si>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</si>
  <si>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</si>
  <si>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</si>
  <si>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</si>
  <si>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</si>
  <si>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</si>
  <si>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</si>
  <si>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</si>
  <si>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</si>
  <si>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</si>
  <si>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</si>
  <si>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</si>
  <si>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</si>
  <si>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</si>
  <si>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</si>
  <si>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</si>
  <si>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</si>
  <si>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</si>
  <si>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</si>
  <si>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</si>
  <si>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</si>
  <si>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</si>
  <si>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</si>
  <si>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</si>
  <si>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</si>
  <si>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</si>
  <si>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</si>
  <si>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</si>
  <si>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</si>
  <si>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</si>
  <si>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</si>
  <si>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</si>
  <si>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</si>
  <si>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</si>
  <si>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</si>
  <si>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</si>
  <si>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</si>
  <si>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</si>
  <si>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</si>
  <si>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</si>
  <si>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</si>
  <si>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</si>
  <si>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</si>
  <si>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</si>
  <si>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</si>
  <si>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</si>
  <si>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</si>
  <si>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</si>
  <si>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</si>
  <si>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</si>
  <si>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</si>
  <si>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</si>
  <si>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</si>
  <si>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</si>
  <si>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</si>
  <si>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</si>
  <si>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</si>
  <si>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</si>
  <si>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</si>
  <si>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</si>
  <si>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</si>
  <si>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</si>
  <si>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</si>
  <si>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</si>
  <si>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</si>
  <si>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</si>
  <si>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</si>
  <si>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</si>
  <si>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</si>
  <si>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</si>
  <si>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</si>
  <si>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</si>
  <si>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</si>
  <si>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</si>
  <si>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</si>
  <si>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</si>
  <si>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</si>
  <si>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</si>
  <si>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</si>
  <si>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</si>
  <si>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</si>
  <si>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</si>
  <si>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</si>
  <si>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</si>
  <si>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</si>
  <si>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</si>
  <si>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</si>
  <si>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</si>
  <si>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</si>
  <si>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</si>
  <si>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</si>
  <si>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</si>
  <si>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</si>
  <si>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</si>
  <si>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</si>
  <si>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</si>
  <si>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</si>
  <si>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</si>
  <si>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</si>
  <si>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</si>
  <si>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</si>
  <si>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</si>
  <si>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</si>
  <si>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</si>
  <si>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</si>
  <si>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</si>
  <si>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</si>
  <si>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</si>
  <si>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</si>
  <si>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</si>
  <si>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</si>
  <si>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</si>
  <si>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</si>
  <si>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</si>
  <si>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</si>
  <si>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</si>
  <si>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</si>
  <si>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</si>
  <si>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</si>
  <si>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</si>
  <si>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</si>
  <si>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</si>
  <si>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</si>
  <si>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</si>
  <si>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</si>
  <si>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</si>
  <si>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</si>
  <si>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</si>
  <si>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</si>
  <si>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</si>
  <si>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</si>
  <si>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</si>
  <si>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</si>
  <si>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</si>
  <si>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</si>
  <si>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</si>
  <si>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</si>
  <si>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</si>
  <si>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</si>
  <si>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</si>
  <si>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</si>
  <si>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</si>
  <si>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</si>
  <si>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</si>
  <si>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</si>
  <si>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</si>
  <si>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</si>
  <si>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</si>
  <si>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</si>
  <si>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</si>
  <si>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</si>
  <si>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</si>
  <si>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</si>
  <si>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</si>
  <si>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</si>
  <si>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</si>
  <si>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</si>
  <si>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</si>
  <si>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</si>
  <si>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</si>
  <si>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</si>
  <si>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</si>
  <si>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</si>
  <si>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</si>
  <si>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</si>
  <si>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</si>
  <si>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</si>
  <si>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</si>
  <si>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</si>
  <si>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</si>
  <si>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</si>
  <si>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</si>
  <si>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</si>
  <si>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</si>
  <si>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</si>
  <si>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</si>
  <si>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</si>
  <si>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</si>
  <si>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</si>
  <si>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</si>
  <si>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</si>
  <si>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</si>
  <si>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</si>
  <si>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</si>
  <si>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</si>
  <si>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</si>
  <si>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</si>
  <si>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</si>
  <si>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</si>
  <si>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</si>
  <si>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</si>
  <si>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</si>
  <si>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</si>
  <si>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</si>
  <si>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</si>
  <si>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</si>
  <si>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</si>
  <si>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</si>
  <si>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</si>
  <si>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</si>
  <si>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</si>
  <si>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</si>
  <si>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</si>
  <si>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</si>
  <si>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</si>
  <si>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</si>
  <si>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</si>
  <si>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</si>
  <si>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</si>
  <si>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</si>
  <si>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</si>
  <si>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</si>
  <si>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</si>
  <si>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</si>
  <si>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</si>
  <si>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</si>
  <si>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</si>
  <si>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</si>
  <si>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</si>
  <si>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</si>
  <si>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</si>
  <si>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</si>
  <si>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</si>
  <si>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</si>
  <si>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</si>
  <si>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</si>
  <si>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</si>
  <si>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</si>
  <si>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</si>
  <si>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</si>
  <si>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</si>
  <si>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</si>
  <si>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</si>
  <si>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</si>
  <si>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</si>
  <si>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</si>
  <si>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</si>
  <si>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</si>
  <si>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</si>
  <si>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</si>
  <si>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</si>
  <si>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</si>
  <si>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</si>
  <si>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</si>
  <si>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</si>
  <si>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</si>
  <si>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</si>
  <si>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</si>
  <si>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</si>
  <si>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</si>
  <si>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</si>
  <si>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</si>
  <si>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</si>
  <si>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</si>
  <si>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</si>
  <si>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</si>
  <si>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</si>
  <si>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</si>
  <si>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</si>
  <si>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</si>
  <si>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</si>
  <si>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</si>
  <si>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</si>
  <si>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</si>
  <si>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</si>
  <si>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</si>
  <si>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</si>
  <si>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</si>
  <si>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</si>
  <si>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</si>
  <si>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</si>
  <si>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</si>
  <si>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</si>
  <si>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</si>
  <si>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</si>
  <si>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</si>
  <si>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</si>
  <si>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</si>
  <si>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</si>
  <si>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</si>
  <si>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</si>
  <si>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</si>
  <si>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</si>
  <si>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</si>
  <si>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</si>
  <si>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</si>
  <si>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</si>
  <si>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</si>
  <si>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</si>
  <si>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</si>
  <si>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</si>
  <si>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</si>
  <si>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</si>
  <si>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</si>
  <si>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</si>
  <si>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</si>
  <si>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</si>
  <si>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</si>
  <si>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</si>
  <si>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</si>
  <si>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</si>
  <si>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</si>
  <si>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</si>
  <si>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</si>
  <si>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</si>
  <si>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</si>
  <si>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</si>
  <si>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</si>
  <si>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</si>
  <si>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</si>
  <si>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</si>
  <si>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</si>
  <si>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</si>
  <si>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</si>
  <si>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</si>
  <si>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</si>
  <si>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</si>
  <si>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</si>
  <si>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</si>
  <si>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</si>
  <si>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</si>
  <si>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</si>
  <si>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</si>
  <si>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</si>
  <si>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</si>
  <si>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</si>
  <si>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</si>
  <si>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</si>
  <si>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</si>
  <si>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</si>
  <si>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</si>
  <si>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</si>
  <si>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</si>
  <si>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</si>
  <si>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</si>
  <si>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</si>
  <si>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</si>
  <si>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</si>
  <si>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</si>
  <si>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</si>
  <si>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</si>
  <si>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</si>
  <si>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</si>
  <si>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</si>
  <si>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Ⅵ-01</t>
  </si>
  <si>
    <t>吴薇</t>
  </si>
  <si>
    <t>崔锴</t>
  </si>
  <si>
    <t>房地产抵押价值</t>
  </si>
  <si>
    <t>企业</t>
  </si>
  <si>
    <t>北京市</t>
  </si>
  <si>
    <r>
      <rPr>
        <sz val="10"/>
        <color theme="9" tint="-0.249977111117893"/>
        <rFont val="宋体"/>
        <family val="3"/>
        <charset val="134"/>
      </rPr>
      <t>昌平区枫丹丽舍西路</t>
    </r>
    <r>
      <rPr>
        <sz val="10"/>
        <color theme="9" tint="-0.249977111117893"/>
        <rFont val="Arial"/>
        <family val="2"/>
      </rPr>
      <t>1</t>
    </r>
    <r>
      <rPr>
        <sz val="10"/>
        <color theme="9" tint="-0.249977111117893"/>
        <rFont val="宋体"/>
        <family val="3"/>
        <charset val="134"/>
      </rPr>
      <t>号楼</t>
    </r>
    <phoneticPr fontId="6" type="noConversion"/>
  </si>
  <si>
    <t>产证总建筑</t>
    <phoneticPr fontId="3" type="noConversion"/>
  </si>
  <si>
    <t>地上</t>
  </si>
  <si>
    <t>地上</t>
    <phoneticPr fontId="3" type="noConversion"/>
  </si>
  <si>
    <t>地下</t>
  </si>
  <si>
    <t>地下</t>
    <phoneticPr fontId="3" type="noConversion"/>
  </si>
  <si>
    <t>规证总建筑</t>
    <phoneticPr fontId="3" type="noConversion"/>
  </si>
  <si>
    <t>酒店</t>
  </si>
  <si>
    <t>酒店</t>
    <phoneticPr fontId="7" type="noConversion"/>
  </si>
  <si>
    <t>是</t>
  </si>
  <si>
    <t>成新度</t>
  </si>
  <si>
    <t>直线</t>
    <phoneticPr fontId="3" type="noConversion"/>
  </si>
  <si>
    <t>观察</t>
    <phoneticPr fontId="3" type="noConversion"/>
  </si>
  <si>
    <t>综合</t>
    <phoneticPr fontId="3" type="noConversion"/>
  </si>
  <si>
    <t>收益法</t>
  </si>
  <si>
    <t>押一</t>
  </si>
  <si>
    <t>钢混</t>
  </si>
  <si>
    <t>非生产用房</t>
  </si>
  <si>
    <t>否</t>
  </si>
  <si>
    <t>商务金融用地</t>
  </si>
  <si>
    <t>自定义容积率</t>
  </si>
  <si>
    <t>不临65条商业街</t>
  </si>
  <si>
    <t>与级别开发程度不一致</t>
  </si>
  <si>
    <t>通电</t>
  </si>
  <si>
    <t>通路</t>
  </si>
  <si>
    <t>通讯</t>
  </si>
  <si>
    <t>通上水</t>
  </si>
  <si>
    <t>通下水</t>
  </si>
  <si>
    <t>燃气</t>
  </si>
  <si>
    <t>平整</t>
  </si>
  <si>
    <t>中心城区以外</t>
  </si>
  <si>
    <t>较差</t>
  </si>
  <si>
    <t>较好</t>
  </si>
  <si>
    <t>一般</t>
  </si>
  <si>
    <t>好</t>
  </si>
  <si>
    <t>未包含在土地购买价格中</t>
  </si>
  <si>
    <t>全部缴纳</t>
  </si>
  <si>
    <t>已包含在土地取得成本中</t>
  </si>
  <si>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</si>
  <si>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</si>
  <si>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</si>
  <si>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</si>
  <si>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</si>
  <si>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</si>
  <si>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</si>
  <si>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</si>
  <si>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综合平均</t>
  </si>
  <si>
    <t>装修</t>
    <phoneticPr fontId="3" type="noConversion"/>
  </si>
  <si>
    <t>标准双床房</t>
    <phoneticPr fontId="3" type="noConversion"/>
  </si>
  <si>
    <t>标准大床房</t>
    <phoneticPr fontId="3" type="noConversion"/>
  </si>
  <si>
    <t>家庭双床房</t>
    <phoneticPr fontId="3" type="noConversion"/>
  </si>
  <si>
    <t>成本法</t>
  </si>
  <si>
    <t>收益法-酒店模型</t>
  </si>
  <si>
    <t>按比例</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</si>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</sst>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19" fillId="0" borderId="5" xfId="4"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北京市昌平区枫丹丽舍西路1号楼房地产抵押价值预评估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受贵公司委托，我公司对北京市昌平区枫丹丽舍西路1号楼房地产抵押价值进行了预评估。</v>
      </c>
    </row>
    <row r="7" spans="1:2" s="1203" customFormat="1">
      <c r="A7" s="1201" t="s">
        <v>566</v>
      </c>
      <c r="B7" s="1202" t="str">
        <f>'预评函-1'!A7</f>
        <v>估价对象为北京市昌平区枫丹丽舍西路1号楼房地产，为所有。根据《国有土地使用证》[]，估价对象（分摊）出让国有建设用地使用权面积为40534.06平方米，建筑面积为38606.39平方米。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枫丹丽舍西路1号楼房地产,属开发建设的，该项目尚在开发建设中。根据《国有土地使用证》[]，估价对象（分摊）出让国有建设用地使用权面积为40534.06平方米，规划建筑面积为38606.39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2024年2月5日（评估专业人员实地查勘之日）</v>
      </c>
    </row>
    <row r="13" spans="1:2" s="1203" customFormat="1">
      <c r="A13" s="1201" t="s">
        <v>529</v>
      </c>
      <c r="B13" s="1202" t="str">
        <f>'预评函-1'!A18</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64775</v>
      </c>
    </row>
    <row r="21" spans="1:2" s="1203" customFormat="1">
      <c r="A21" s="1201" t="s">
        <v>537</v>
      </c>
      <c r="B21" s="1202">
        <f ca="1">'预评函-2'!D7</f>
        <v>16778</v>
      </c>
    </row>
    <row r="22" spans="1:2" s="1203" customFormat="1">
      <c r="A22" s="1201" t="s">
        <v>538</v>
      </c>
      <c r="B22" s="1202" t="str">
        <f ca="1">'预评函-2'!D6</f>
        <v>陆亿肆仟柒佰柒拾伍万元整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64775</v>
      </c>
    </row>
    <row r="31" spans="1:2" s="1203" customFormat="1">
      <c r="A31" s="1201" t="s">
        <v>576</v>
      </c>
      <c r="B31" s="1202">
        <f ca="1">'预评函-2'!D15</f>
        <v>16778</v>
      </c>
    </row>
    <row r="32" spans="1:2" s="1203" customFormat="1">
      <c r="A32" s="1201" t="s">
        <v>543</v>
      </c>
      <c r="B32" s="1202" t="str">
        <f ca="1">'预评函-2'!D14</f>
        <v>陆亿肆仟柒佰柒拾伍万元整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北京市昌平区枫丹丽舍西路1号楼房地产</v>
      </c>
    </row>
    <row r="42" spans="1:2" s="1203" customFormat="1">
      <c r="A42" s="1201" t="s">
        <v>590</v>
      </c>
      <c r="B42" s="1202" t="str">
        <f>'预评函-3'!B2</f>
        <v>建筑面积</v>
      </c>
    </row>
    <row r="43" spans="1:2" s="1203" customFormat="1">
      <c r="A43" s="1201" t="s">
        <v>591</v>
      </c>
      <c r="B43" s="1202">
        <f>'预评函-3'!B4</f>
        <v>38606.39</v>
      </c>
    </row>
    <row r="44" spans="1:2" s="1203" customFormat="1">
      <c r="A44" s="1201" t="s">
        <v>575</v>
      </c>
      <c r="B44" s="1202" t="str">
        <f>'预评函-3'!C2</f>
        <v>(分摊)土地面积</v>
      </c>
    </row>
    <row r="45" spans="1:2" s="1203" customFormat="1">
      <c r="A45" s="1201" t="s">
        <v>547</v>
      </c>
      <c r="B45" s="1202">
        <f>'预评函-3'!C4</f>
        <v>40534.06</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2572</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2573</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2292</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490" t="s">
        <v>2575</v>
      </c>
      <c r="J2" s="3490"/>
      <c r="K2" s="3490"/>
      <c r="L2" s="3490"/>
      <c r="M2" s="3490"/>
      <c r="N2" s="3490"/>
      <c r="O2" s="3490"/>
      <c r="P2" s="3490"/>
      <c r="Q2" s="3490"/>
      <c r="R2" s="3490"/>
    </row>
    <row r="3" spans="1:18">
      <c r="A3" s="3020" t="s">
        <v>2496</v>
      </c>
      <c r="B3" s="3021">
        <f>项目基本情况!D3</f>
        <v>45327</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12.87</v>
      </c>
      <c r="D6" s="3025">
        <f>IF(ISERROR(ROUND(POWER(1+E6,A6-C6)*(POWER(1+E6,C6)-1)/(POWER(1+E6,A6)-1),3)),0,ROUND(POWER(1+E6,A6-C6)*(POWER(1+E6,C6)-1)/(POWER(1+E6,A6)-1),4))</f>
        <v>0.46129999999999999</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32.89</v>
      </c>
      <c r="D7" s="3025">
        <f>IF(ISERROR(ROUND(POWER(1+E7,A7-C7)*(POWER(1+E7,C7)-1)/(POWER(1+E7,A7)-1),3)),0,ROUND(POWER(1+E7,A7-C7)*(POWER(1+E7,C7)-1)/(POWER(1+E7,A7)-1),4))</f>
        <v>0.77449999999999997</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4" sqref="D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9" t="str">
        <f>IF(B10="北京市","北京市",C10)&amp;F10&amp;IF(结果表!G1="在建","出让国有建设用地使用权及在建建筑物",IF(结果表!G1="土地","出让国有建设用地使用权",))&amp;B9&amp;"预评估"</f>
        <v>北京市昌平区枫丹丽舍西路1号楼房地产抵押价值预评估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北京市昌平区枫丹丽舍西路1号楼房地产抵押价值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北京市昌平区枫丹丽舍西路1号楼房地产</v>
      </c>
      <c r="T2" s="1745"/>
      <c r="U2" s="1745"/>
      <c r="V2" s="1745"/>
      <c r="W2" s="1745"/>
      <c r="X2" s="1745"/>
      <c r="Y2" s="1745"/>
      <c r="Z2" s="1745"/>
      <c r="AA2" s="1745"/>
      <c r="AB2" s="1745"/>
    </row>
    <row r="3" spans="1:30">
      <c r="A3" s="302" t="s">
        <v>2169</v>
      </c>
      <c r="B3" s="2373">
        <v>45327</v>
      </c>
      <c r="C3" s="2374" t="s">
        <v>2170</v>
      </c>
      <c r="D3" s="2373">
        <f>B3</f>
        <v>45327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3375</v>
      </c>
      <c r="C4" s="2376">
        <f ca="1">SUMIF(注册房地产估价师,B4,估价师及机构信息!B3:B24)</f>
        <v>1419970001</v>
      </c>
      <c r="D4" s="2375" t="s">
        <v>3376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3370</v>
      </c>
      <c r="C8" s="2390"/>
      <c r="D8" s="3502" t="s">
        <v>2176</v>
      </c>
      <c r="E8" s="2391" t="s">
        <v>3377</v>
      </c>
      <c r="F8" s="2392"/>
      <c r="G8" s="2663"/>
      <c r="H8" s="2663"/>
      <c r="I8" s="2663"/>
      <c r="J8" s="2439"/>
      <c r="K8" s="2614"/>
      <c r="L8" s="2613"/>
      <c r="M8" s="2613"/>
      <c r="N8" s="2439"/>
      <c r="O8" s="2450"/>
      <c r="P8" s="2439"/>
      <c r="Q8" s="2439"/>
      <c r="R8" s="2439"/>
    </row>
    <row r="9" spans="1:30" ht="13.5" thickBot="1">
      <c r="A9" s="2393" t="s">
        <v>2177</v>
      </c>
      <c r="B9" s="2394" t="s">
        <v>3377</v>
      </c>
      <c r="C9" s="2395"/>
      <c r="D9" s="3503"/>
      <c r="E9" s="2394"/>
      <c r="F9" s="2396"/>
      <c r="G9" s="2665"/>
      <c r="H9" s="2665"/>
      <c r="I9" s="2665"/>
      <c r="J9" s="2439"/>
      <c r="K9" s="2616"/>
      <c r="L9" s="2613"/>
      <c r="M9" s="2613"/>
      <c r="N9" s="2439"/>
      <c r="O9" s="2450"/>
      <c r="P9" s="2439"/>
      <c r="Q9" s="2439"/>
      <c r="R9" s="2439"/>
    </row>
    <row r="10" spans="1:30" ht="13.5" thickTop="1">
      <c r="A10" s="2397" t="s">
        <v>2178</v>
      </c>
      <c r="B10" s="2398" t="s">
        <v>3379</v>
      </c>
      <c r="C10" s="2399"/>
      <c r="D10" s="2382"/>
      <c r="E10" s="2400" t="s">
        <v>2179</v>
      </c>
      <c r="F10" s="2666" t="s">
        <v>3380</v>
      </c>
      <c r="G10" s="2667"/>
      <c r="H10" s="2668"/>
      <c r="I10" s="2669"/>
      <c r="J10" s="2439"/>
      <c r="K10" s="2616"/>
      <c r="L10" s="2613"/>
      <c r="M10" s="2613"/>
      <c r="N10" s="2439"/>
      <c r="O10" s="2450"/>
      <c r="P10" s="2439"/>
      <c r="Q10" s="2439"/>
      <c r="R10" s="2439"/>
    </row>
    <row r="11" spans="1:30">
      <c r="A11" s="2401" t="s">
        <v>2180</v>
      </c>
      <c r="B11" s="2402" t="s">
        <v>3378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2571</v>
      </c>
      <c r="J12" s="3062"/>
      <c r="K12" s="2613"/>
      <c r="L12" s="2613"/>
      <c r="M12" s="2439"/>
      <c r="N12" s="2450"/>
      <c r="O12" s="2439"/>
      <c r="P12" s="2439"/>
      <c r="Q12" s="2439"/>
      <c r="AD12" s="1745"/>
    </row>
    <row r="13" spans="1:30">
      <c r="A13" s="3423" t="s">
        <v>3326</v>
      </c>
      <c r="B13" s="2407" t="s">
        <v>2189</v>
      </c>
      <c r="C13" s="856"/>
      <c r="D13" s="856"/>
      <c r="E13" s="856">
        <v>57488</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33.31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9"/>
      <c r="C16" s="3510"/>
      <c r="D16" s="3511"/>
      <c r="E16" s="2413" t="s">
        <v>2193</v>
      </c>
      <c r="F16" s="3512"/>
      <c r="G16" s="3513"/>
      <c r="H16" s="3513"/>
      <c r="I16" s="3514"/>
      <c r="J16" s="2439"/>
      <c r="K16" s="2617"/>
      <c r="L16" s="2451"/>
      <c r="M16" s="2451"/>
      <c r="N16" s="2509"/>
      <c r="O16" s="2451"/>
      <c r="P16" s="2509"/>
      <c r="Q16" s="2439"/>
      <c r="R16" s="2439"/>
    </row>
    <row r="17" spans="1:28">
      <c r="A17" s="313" t="s">
        <v>2194</v>
      </c>
      <c r="B17" s="302" t="s">
        <v>2195</v>
      </c>
      <c r="C17" s="8">
        <f>'数据-汇总表'!E3</f>
        <v>38606.39</v>
      </c>
      <c r="D17" s="2322" t="s">
        <v>2196</v>
      </c>
      <c r="E17" s="3515" t="s">
        <v>2197</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40534.06</v>
      </c>
      <c r="D18" s="1092" t="s">
        <v>2200</v>
      </c>
      <c r="E18" s="3518" t="s">
        <v>2201</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5" t="s">
        <v>2205</v>
      </c>
      <c r="C20" s="3506"/>
      <c r="D20" s="3507" t="s">
        <v>2206</v>
      </c>
      <c r="E20" s="3508"/>
      <c r="F20" s="2647" t="s">
        <v>1056</v>
      </c>
      <c r="G20" s="2664"/>
      <c r="H20" s="2664"/>
      <c r="I20" s="2664"/>
      <c r="J20" s="2439"/>
      <c r="K20" s="350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2217</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1" t="s">
        <v>2227</v>
      </c>
      <c r="T34" s="2428" t="str">
        <f>NUMBERSTRING(7-K34,1)&amp;"通"</f>
        <v>七通</v>
      </c>
      <c r="U34" s="2439"/>
      <c r="V34" s="2439"/>
    </row>
    <row r="35" spans="1:30">
      <c r="A35" s="2429"/>
      <c r="B35" s="3498" t="s">
        <v>2228</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2574</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29</v>
      </c>
      <c r="D37" s="2431"/>
      <c r="E37" s="2431"/>
      <c r="F37" s="2431" t="s">
        <v>29</v>
      </c>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3374</v>
      </c>
      <c r="D38" s="2432"/>
      <c r="E38" s="2432"/>
      <c r="F38" s="2432" t="s">
        <v>3374</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40534.06</v>
      </c>
      <c r="B3" s="11">
        <f>IF(C3="否",G5-AT5,G5)</f>
        <v>38606.39</v>
      </c>
      <c r="C3" s="1580" t="s">
        <v>3389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38606.39</v>
      </c>
      <c r="H5" s="13">
        <f t="shared" ref="H5:AT5" si="0">SUM(H13:H656)</f>
        <v>38606.39</v>
      </c>
      <c r="I5" s="13">
        <f t="shared" si="0"/>
        <v>22449.65</v>
      </c>
      <c r="J5" s="13">
        <f t="shared" si="0"/>
        <v>0</v>
      </c>
      <c r="K5" s="13">
        <f t="shared" si="0"/>
        <v>16156.74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38606.39</v>
      </c>
      <c r="BA5" s="15">
        <f t="shared" si="1"/>
        <v>38606.39</v>
      </c>
      <c r="BB5" s="15">
        <f t="shared" si="1"/>
        <v>22449.65</v>
      </c>
      <c r="BC5" s="15">
        <f t="shared" si="1"/>
        <v>16156.74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40534.06</v>
      </c>
      <c r="F6" s="13" t="s">
        <v>0</v>
      </c>
      <c r="G6" s="13" t="s">
        <v>1</v>
      </c>
      <c r="H6" s="17">
        <f>SUMIF(I$12:AB$12,"总值",I6:AB6)</f>
        <v>40534.06</v>
      </c>
      <c r="I6" s="13">
        <f t="shared" ref="I6:AB6" si="2">ROUND($A$3*I5/$B$3,2)</f>
        <v>23570.59</v>
      </c>
      <c r="J6" s="13">
        <f t="shared" si="2"/>
        <v>0</v>
      </c>
      <c r="K6" s="13">
        <f t="shared" si="2"/>
        <v>16963.47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40534.06</v>
      </c>
      <c r="AZ6" s="13" t="s">
        <v>2</v>
      </c>
      <c r="BA6" s="13">
        <f>ROUND($AY$6*BA5/$AZ$5,2)</f>
        <v>40534.06</v>
      </c>
      <c r="BB6" s="13">
        <f>ROUND($AY$6*BB5/$AZ$5,2)</f>
        <v>23570.59</v>
      </c>
      <c r="BC6" s="13">
        <f t="shared" ref="BC6:BH6" si="4">ROUND($AY$6*BC5/$AZ$5,2)</f>
        <v>16963.47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3384</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788" t="s">
        <v>3381</v>
      </c>
      <c r="B13" s="3788" t="s">
        <v>3383</v>
      </c>
      <c r="C13" s="3788" t="s">
        <v>3385</v>
      </c>
      <c r="D13" s="1625" t="s">
        <v>3389</v>
      </c>
      <c r="E13" s="13">
        <f>IF($C$3="是",ROUND($A$3*G13/$B$3,2),ROUND($A$3*(G13-AT13)/$B$3,2))</f>
        <v>40534.06</v>
      </c>
      <c r="F13" s="29"/>
      <c r="G13" s="30">
        <f>H13+AC13+AT13</f>
        <v>38606.39</v>
      </c>
      <c r="H13" s="17">
        <f>SUMIF(I$12:AB$12,"总值",I13:AB13)</f>
        <v>38606.39</v>
      </c>
      <c r="I13" s="1626">
        <f>B14</f>
        <v>22449.65</v>
      </c>
      <c r="J13" s="1626"/>
      <c r="K13" s="1626">
        <f>C14</f>
        <v>16156.74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产证总建筑</v>
      </c>
      <c r="AW13" s="8" t="str">
        <f t="shared" si="6"/>
        <v>地上</v>
      </c>
      <c r="AX13" s="8" t="str">
        <f t="shared" si="6"/>
        <v>地下</v>
      </c>
      <c r="AY13" s="1349">
        <f>ROUND($AY$6*AZ13/$AZ$5,2)</f>
        <v>40534.06</v>
      </c>
      <c r="AZ13" s="13">
        <f>BA13+BL13</f>
        <v>38606.39</v>
      </c>
      <c r="BA13" s="13">
        <f>SUM(BB13:BK13)</f>
        <v>38606.39</v>
      </c>
      <c r="BB13" s="13">
        <f>IF($D13="是",I13-J13,0)</f>
        <v>22449.65</v>
      </c>
      <c r="BC13" s="13">
        <f>IF($D13="是",K13-L13,0)</f>
        <v>16156.74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38606.39</v>
      </c>
      <c r="B14" s="1051">
        <f>ROUND(B16/A16*A14,2)</f>
        <v>22449.65</v>
      </c>
      <c r="C14" s="1051">
        <f>ROUND(C16/A16*A14,2)</f>
        <v>16156.74</v>
      </c>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38606.39</v>
      </c>
      <c r="AW14" s="8">
        <f t="shared" si="6"/>
        <v>22449.65</v>
      </c>
      <c r="AX14" s="8">
        <f t="shared" si="6"/>
        <v>16156.74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3788" t="s">
        <v>3386</v>
      </c>
      <c r="B15" s="3788" t="s">
        <v>3383</v>
      </c>
      <c r="C15" s="3788" t="s">
        <v>3385</v>
      </c>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规证总建筑</v>
      </c>
      <c r="AW15" s="8" t="str">
        <f t="shared" si="6"/>
        <v>地上</v>
      </c>
      <c r="AX15" s="8" t="str">
        <f t="shared" si="6"/>
        <v>地下</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38227.11</v>
      </c>
      <c r="B16" s="1051">
        <f>A16-C16</f>
        <v>22229.1</v>
      </c>
      <c r="C16" s="1570">
        <v>15998.01</v>
      </c>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38227.11</v>
      </c>
      <c r="AW16" s="8">
        <f t="shared" si="6"/>
        <v>22229.1</v>
      </c>
      <c r="AX16" s="8">
        <f t="shared" si="6"/>
        <v>15998.01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0" t="s">
        <v>1130</v>
      </c>
      <c r="B2" s="3530"/>
      <c r="C2" s="3530"/>
      <c r="D2" s="796" t="s">
        <v>1106</v>
      </c>
      <c r="E2" s="1639" t="s">
        <v>1107</v>
      </c>
      <c r="F2" s="2659"/>
      <c r="G2" s="2650"/>
      <c r="H2" s="2651"/>
      <c r="I2" s="2325" t="s">
        <v>1131</v>
      </c>
      <c r="J2" s="2659"/>
      <c r="K2" s="2659"/>
      <c r="L2" s="2659"/>
      <c r="M2" s="2659"/>
      <c r="N2" s="2661"/>
      <c r="O2" s="2659"/>
      <c r="P2" s="2659"/>
    </row>
    <row r="3" spans="1:16" ht="15.75" thickBot="1">
      <c r="A3" s="3531" t="s">
        <v>1104</v>
      </c>
      <c r="B3" s="3531"/>
      <c r="C3" s="3531"/>
      <c r="D3" s="43">
        <f>'数据-基础表'!AY6</f>
        <v>40534.06</v>
      </c>
      <c r="E3" s="43">
        <f>'数据-基础表'!AZ5</f>
        <v>38606.39</v>
      </c>
      <c r="F3" s="2659"/>
      <c r="G3" s="1145"/>
      <c r="H3" s="1026" t="s">
        <v>1105</v>
      </c>
      <c r="I3" s="855">
        <f>ROUND('数据-基础表'!B3/'数据-基础表'!A3,2)</f>
        <v>0.95</v>
      </c>
      <c r="J3" s="2659"/>
      <c r="K3" s="2659"/>
      <c r="L3" s="2659"/>
      <c r="M3" s="2659"/>
      <c r="N3" s="2661"/>
      <c r="O3" s="2659"/>
      <c r="P3" s="2659"/>
    </row>
    <row r="4" spans="1:16" ht="15">
      <c r="A4" s="3532"/>
      <c r="B4" s="3533"/>
      <c r="C4" s="3534"/>
      <c r="D4" s="1641" t="s">
        <v>1106</v>
      </c>
      <c r="E4" s="1642" t="s">
        <v>1107</v>
      </c>
      <c r="F4" s="2659"/>
      <c r="G4" s="2652" t="s">
        <v>1132</v>
      </c>
      <c r="H4" s="1026" t="s">
        <v>1112</v>
      </c>
      <c r="I4" s="855">
        <f>ROUND(SUMIF('数据-基础表'!I9:AS9,"地上",'数据-基础表'!I5:AS5)/'数据-基础表'!A3,2)</f>
        <v>0.55000000000000004</v>
      </c>
      <c r="J4" s="2659"/>
      <c r="K4" s="2659"/>
      <c r="L4" s="2659"/>
      <c r="M4" s="2659"/>
      <c r="N4" s="2661"/>
      <c r="O4" s="2659"/>
      <c r="P4" s="2659"/>
    </row>
    <row r="5" spans="1:16">
      <c r="A5" s="44" t="s">
        <v>1108</v>
      </c>
      <c r="B5" s="3535" t="s">
        <v>1109</v>
      </c>
      <c r="C5" s="3535"/>
      <c r="D5" s="45">
        <f>ROUND($D$3*E5/$E$3,2)</f>
        <v>0</v>
      </c>
      <c r="E5" s="46">
        <f>SUMIF('数据-基础表'!$11:$11,"住宅",'数据-基础表'!$5:$5)</f>
        <v>0</v>
      </c>
      <c r="F5" s="2659"/>
      <c r="G5" s="1145"/>
      <c r="H5" s="1026" t="s">
        <v>1105</v>
      </c>
      <c r="I5" s="855">
        <f>ROUND(E31/D31,2)</f>
        <v>0.95</v>
      </c>
      <c r="J5" s="2659"/>
      <c r="K5" s="2659"/>
      <c r="L5" s="2659"/>
      <c r="M5" s="2659"/>
      <c r="N5" s="2659"/>
      <c r="O5" s="2659"/>
      <c r="P5" s="2659"/>
    </row>
    <row r="6" spans="1:16" ht="15" thickBot="1">
      <c r="A6" s="1644"/>
      <c r="B6" s="3535" t="s">
        <v>1110</v>
      </c>
      <c r="C6" s="3535"/>
      <c r="D6" s="45">
        <f>ROUND($D$3*E6/$E$3,2)</f>
        <v>40534.06</v>
      </c>
      <c r="E6" s="46">
        <f>E3-E5</f>
        <v>38606.39</v>
      </c>
      <c r="F6" s="2659"/>
      <c r="G6" s="2653" t="s">
        <v>1111</v>
      </c>
      <c r="H6" s="1146" t="s">
        <v>1112</v>
      </c>
      <c r="I6" s="2654">
        <f>ROUND(F31/D31,2)</f>
        <v>0.55000000000000004</v>
      </c>
      <c r="J6" s="2659"/>
      <c r="K6" s="2659"/>
      <c r="L6" s="2659"/>
      <c r="M6" s="2659"/>
      <c r="N6" s="2659"/>
      <c r="O6" s="2659"/>
      <c r="P6" s="2659"/>
    </row>
    <row r="7" spans="1:16" ht="15.75" thickBot="1">
      <c r="A7" s="3527"/>
      <c r="B7" s="3528"/>
      <c r="C7" s="3529"/>
      <c r="D7" s="1641" t="s">
        <v>1106</v>
      </c>
      <c r="E7" s="1645" t="s">
        <v>1113</v>
      </c>
      <c r="F7" s="2659"/>
      <c r="G7" s="2655" t="s">
        <v>1114</v>
      </c>
      <c r="H7" s="2656"/>
      <c r="I7" s="2657">
        <v>1</v>
      </c>
      <c r="J7" s="2659"/>
      <c r="K7" s="2659"/>
      <c r="L7" s="2659"/>
      <c r="M7" s="2659"/>
      <c r="N7" s="2659"/>
      <c r="O7" s="2659"/>
      <c r="P7" s="2659"/>
    </row>
    <row r="8" spans="1:16">
      <c r="A8" s="44" t="s">
        <v>1115</v>
      </c>
      <c r="B8" s="47" t="s">
        <v>1116</v>
      </c>
      <c r="C8" s="45" t="s">
        <v>1117</v>
      </c>
      <c r="D8" s="45">
        <f t="shared" ref="D8:D15" si="0">ROUND($D$3*E8/$E$3,2)</f>
        <v>23570.59</v>
      </c>
      <c r="E8" s="48">
        <f>SUMIF('数据-基础表'!BB10:BK10,"地上",'数据-基础表'!BB5:BK5)</f>
        <v>22449.65</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16963.47</v>
      </c>
      <c r="E11" s="48">
        <f>SUMPRODUCT(('数据-基础表'!BB10:BK10="地下")*('数据-基础表'!BB11:BK11="办公")*('数据-基础表'!BB5:BK5))+'数据-基础表'!BP5</f>
        <v>16156.74</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40534.06</v>
      </c>
      <c r="E16" s="50">
        <f>SUM(E8:E15)</f>
        <v>38606.39</v>
      </c>
      <c r="F16" s="2659"/>
      <c r="G16" s="2660"/>
      <c r="H16" s="1648" t="s">
        <v>1134</v>
      </c>
      <c r="I16" s="1649"/>
      <c r="J16" s="1139"/>
      <c r="K16" s="3524" t="s">
        <v>1134</v>
      </c>
      <c r="L16" s="3525"/>
      <c r="M16" s="3525"/>
      <c r="N16" s="3525"/>
      <c r="O16" s="3525"/>
      <c r="P16" s="3526"/>
    </row>
    <row r="17" spans="1:19" ht="15">
      <c r="A17" s="1650" t="s">
        <v>1135</v>
      </c>
      <c r="B17" s="1651" t="s">
        <v>1136</v>
      </c>
      <c r="C17" s="1652" t="s">
        <v>1137</v>
      </c>
      <c r="D17" s="1653" t="s">
        <v>1125</v>
      </c>
      <c r="E17" s="1654" t="s">
        <v>1126</v>
      </c>
      <c r="F17" s="1655"/>
      <c r="G17" s="1656"/>
      <c r="H17" s="1657" t="s">
        <v>1138</v>
      </c>
      <c r="I17" s="1658" t="s">
        <v>1123</v>
      </c>
      <c r="J17" s="1139"/>
      <c r="K17" s="3521" t="s">
        <v>1139</v>
      </c>
      <c r="L17" s="3522"/>
      <c r="M17" s="3523"/>
      <c r="N17" s="3521" t="s">
        <v>1140</v>
      </c>
      <c r="O17" s="3522"/>
      <c r="P17" s="3523"/>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3388</v>
      </c>
      <c r="D19" s="45">
        <f>ROUND($D$3*E19/$E$3,2)</f>
        <v>40534.06</v>
      </c>
      <c r="E19" s="53">
        <f t="shared" ref="E19:E26" si="1">SUM(F19:G19)</f>
        <v>38606.39</v>
      </c>
      <c r="F19" s="2795">
        <f>'数据-基础表'!I13</f>
        <v>22449.65</v>
      </c>
      <c r="G19" s="2796">
        <f>'数据-基础表'!K13</f>
        <v>16156.74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40534.06</v>
      </c>
      <c r="S19" s="1027">
        <f t="shared" si="5"/>
        <v>38606.39</v>
      </c>
    </row>
    <row r="20" spans="1:19">
      <c r="A20" s="1670"/>
      <c r="B20" s="47" t="s">
        <v>1152</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40534.06</v>
      </c>
      <c r="E27" s="1141">
        <f>IF(SUM(E19:E26)='数据-基础表'!BA5,SUM(E19:E26),IF(F27="地上面积有误","面积有误","地下面积有误"))</f>
        <v>38606.39</v>
      </c>
      <c r="F27" s="1140">
        <f>IF(SUM(F19:F26)=E8,SUM(F19:F26),"地上面积有误")</f>
        <v>22449.65</v>
      </c>
      <c r="G27" s="1142">
        <f>SUM(G19:G26)</f>
        <v>16156.74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40534.06</v>
      </c>
      <c r="S27" s="1026">
        <f>IF(SUM(S19:S26)=$E$3,SUM(S19:S26),SUM(S19:S26)&amp;"误差"&amp;ROUND(SUM(S19:S26)-E3,2))</f>
        <v>38606.39</v>
      </c>
    </row>
    <row r="28" spans="1:19">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1157</v>
      </c>
      <c r="D31" s="676">
        <f>D27+D30</f>
        <v>40534.06</v>
      </c>
      <c r="E31" s="676">
        <f>E27+E30</f>
        <v>38606.39</v>
      </c>
      <c r="F31" s="677">
        <f>F27+F30</f>
        <v>22449.65</v>
      </c>
      <c r="G31" s="678">
        <f>G27+G30</f>
        <v>16156.74</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31" sqref="Q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45327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21</v>
      </c>
      <c r="D6" s="858">
        <f>SUMIF(项目基本情况!C$12:I$12,C6,项目基本情况!C$14:I$14)</f>
        <v>50</v>
      </c>
      <c r="E6" s="857">
        <f>IF(B6="","",SUMIF(项目基本情况!C$12:I$12,C6,项目基本情况!C$13:I$13))</f>
        <v>57488</v>
      </c>
      <c r="F6" s="64">
        <f>SUMIF(项目基本情况!C$12:I$12,C6,项目基本情况!C$15:I$15)</f>
        <v>33.31</v>
      </c>
      <c r="G6" s="65">
        <f>IF(ISERROR(ROUND(POWER(1+H6,D6-F6)*(POWER(1+H6,F6)-1)/(POWER(1+H6,D6)-1),3)),0,ROUND(POWER(1+H6,D6-F6)*(POWER(1+H6,F6)-1)/(POWER(1+H6,D6)-1),3))</f>
        <v>0.89300000000000002</v>
      </c>
      <c r="H6" s="732">
        <v>5.5E-2</v>
      </c>
      <c r="I6" s="732">
        <v>0.06</v>
      </c>
      <c r="J6" s="66">
        <v>7.0000000000000007E-2</v>
      </c>
      <c r="K6" s="1030">
        <f>SUMIF('数据-汇总表'!C$19:C$33,A6,'数据-汇总表'!E$19:E$33)</f>
        <v>38606.39</v>
      </c>
      <c r="L6" s="733">
        <f>L29</f>
        <v>6837</v>
      </c>
      <c r="M6" s="67">
        <f t="shared" ref="M6:M14" si="0">ROUND(K6*L6/10000,0)</f>
        <v>26395</v>
      </c>
      <c r="N6" s="731">
        <f>N20</f>
        <v>0.86</v>
      </c>
      <c r="O6" s="67" t="str">
        <f>IF($N$5="成新度","——",ROUND(M6*N6,0))</f>
        <v>——</v>
      </c>
      <c r="P6" s="68" t="str">
        <f>IF($N$5="成新度","——",M6-O6)</f>
        <v>——</v>
      </c>
      <c r="Q6" s="734">
        <v>0.15</v>
      </c>
      <c r="R6" s="69">
        <f ca="1">SUMIF('数据-汇总表'!C$19:C$33,A6,'数据-汇总表'!R$19:R$27)</f>
        <v>40534.06</v>
      </c>
      <c r="S6" s="51">
        <f>IF('数据-汇总表'!$I$17="按面积比例",SUMIF('数据-汇总表'!C$19:C$33,A6,'数据-汇总表'!K$19:K$33),SUMIF('数据-汇总表'!C$19:C$33,A6,'数据-汇总表'!N$19:N$33))</f>
        <v>0</v>
      </c>
      <c r="T6" s="1172">
        <f>ROUND($L$14*S6/10000,0)</f>
        <v>0</v>
      </c>
      <c r="U6" s="3428"/>
      <c r="V6" s="70"/>
      <c r="W6" s="70"/>
      <c r="X6" s="1040"/>
      <c r="Y6" s="71">
        <f>N6</f>
        <v>0.86</v>
      </c>
      <c r="Z6" s="72"/>
      <c r="AA6" s="66"/>
      <c r="AB6" s="66"/>
      <c r="AC6" s="1040"/>
      <c r="AD6" s="73"/>
      <c r="AE6" s="1041">
        <f ca="1">IF(AN6="",0,SUMIF(INDIRECT("'"&amp;AN6&amp;"'"&amp;"!E:E"),$AE$5,INDIRECT("'"&amp;AN6&amp;"'"&amp;"!F:F")))</f>
        <v>33.31</v>
      </c>
      <c r="AF6" s="1348"/>
      <c r="AG6" s="138">
        <f>IF(AF6="",0,AE6-AF6)</f>
        <v>0</v>
      </c>
      <c r="AH6" s="74"/>
      <c r="AI6" s="76">
        <v>365</v>
      </c>
      <c r="AJ6" s="77"/>
      <c r="AK6" s="78">
        <v>0.01</v>
      </c>
      <c r="AL6" s="79">
        <v>1E-3</v>
      </c>
      <c r="AM6" s="80">
        <v>0.01</v>
      </c>
      <c r="AN6" s="1715" t="s">
        <v>3394</v>
      </c>
      <c r="AO6" s="52">
        <f ca="1">SUMIF(INDIRECT("'"&amp;AN6&amp;"'"&amp;"!A:A"),"总价",INDIRECT("'"&amp;AN6&amp;"'"&amp;"!B:B"))</f>
        <v>-4547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0.89300000000000002</v>
      </c>
      <c r="H16" s="90">
        <f>ROUND(SUMPRODUCT(H6:H13,K6:K13)/SUMPRODUCT((H6:H13&gt;0)*(K6:K13)),3)</f>
        <v>5.5E-2</v>
      </c>
      <c r="I16" s="91"/>
      <c r="J16" s="91"/>
      <c r="K16" s="92">
        <f>SUM(K6:K15)</f>
        <v>38606.39</v>
      </c>
      <c r="L16" s="93">
        <f>ROUND(M16*10000/SUM(K6:K14),0)</f>
        <v>6837</v>
      </c>
      <c r="M16" s="93">
        <f>SUM(M6:M14)</f>
        <v>26395</v>
      </c>
      <c r="N16" s="94">
        <f>ROUND(SUMPRODUCT(M6:M14,N6:N14)/M16,3)</f>
        <v>0.86</v>
      </c>
      <c r="O16" s="93">
        <f>SUM(O6:O14)</f>
        <v>0</v>
      </c>
      <c r="P16" s="93">
        <f>SUM(P6:P14)</f>
        <v>0</v>
      </c>
      <c r="Q16" s="95">
        <f>ROUND(SUMPRODUCT(Q6:Q13,K6:K13)/SUMPRODUCT((Q6:Q13&gt;0)*(K6:K13)),2)</f>
        <v>0.15</v>
      </c>
      <c r="R16" s="1034">
        <f ca="1">SUM(R6:R13)</f>
        <v>40534.06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3789" t="s">
        <v>3391</v>
      </c>
      <c r="N18" s="2671">
        <f>ROUND(1-(2024-2010)/60,2)</f>
        <v>0.77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3789" t="s">
        <v>3392</v>
      </c>
      <c r="N19" s="2671">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1.5</v>
      </c>
      <c r="C20" s="2800" t="s">
        <v>2302</v>
      </c>
      <c r="D20" s="2676"/>
      <c r="E20" s="2673"/>
      <c r="F20" s="2673"/>
      <c r="G20" s="2673"/>
      <c r="H20" s="2673"/>
      <c r="I20" s="2673"/>
      <c r="J20" s="2673"/>
      <c r="K20" s="2672"/>
      <c r="L20" s="2672"/>
      <c r="M20" s="3789" t="s">
        <v>3393</v>
      </c>
      <c r="N20" s="2671">
        <f>ROUND((N18+N19)/2,2)</f>
        <v>0.86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1.5</v>
      </c>
      <c r="C22" s="2673"/>
      <c r="D22" s="2676"/>
      <c r="E22" s="2673"/>
      <c r="F22" s="2673"/>
      <c r="G22" s="2673"/>
      <c r="H22" s="2673"/>
      <c r="I22" s="2673"/>
      <c r="J22" s="1475" t="s">
        <v>3418</v>
      </c>
      <c r="K22" s="3790"/>
      <c r="L22" s="3790"/>
      <c r="M22" s="3790"/>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1.5</v>
      </c>
      <c r="C23" s="2673"/>
      <c r="D23" s="2676"/>
      <c r="E23" s="2673"/>
      <c r="F23" s="2673"/>
      <c r="G23" s="2673"/>
      <c r="H23" s="2673"/>
      <c r="I23" s="2673"/>
      <c r="J23" s="3791"/>
      <c r="K23" s="3792" t="s">
        <v>3419</v>
      </c>
      <c r="L23" s="3792" t="s">
        <v>3420</v>
      </c>
      <c r="M23" s="3792" t="s">
        <v>3421</v>
      </c>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3793" t="s">
        <v>3422</v>
      </c>
      <c r="K24" s="3794">
        <f>K25+K26</f>
        <v>38606.39</v>
      </c>
      <c r="L24" s="3794">
        <f>M24/K24</f>
        <v>0.28370951026501051</v>
      </c>
      <c r="M24" s="3794">
        <f>M25+M26</f>
        <v>10953</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3792" t="s">
        <v>3423</v>
      </c>
      <c r="K25" s="3795">
        <f>'数据-汇总表'!F19</f>
        <v>22449.65</v>
      </c>
      <c r="L25" s="3791">
        <v>2000</v>
      </c>
      <c r="M25" s="3791">
        <f>ROUND(L25*K25/10000,0)</f>
        <v>4490</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3792" t="s">
        <v>3424</v>
      </c>
      <c r="K26" s="3791">
        <f>'数据-汇总表'!G19</f>
        <v>16156.74</v>
      </c>
      <c r="L26" s="3791">
        <v>4000</v>
      </c>
      <c r="M26" s="3791">
        <f t="shared" ref="M26:M32" si="12">ROUND(L26*K26/10000,0)</f>
        <v>6463</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150</v>
      </c>
      <c r="C27" s="2801" t="s">
        <v>2306</v>
      </c>
      <c r="D27" s="2679"/>
      <c r="E27" s="2661"/>
      <c r="F27" s="2661"/>
      <c r="G27" s="2673"/>
      <c r="H27" s="2673"/>
      <c r="I27" s="2673"/>
      <c r="J27" s="3793" t="s">
        <v>3427</v>
      </c>
      <c r="K27" s="3794">
        <f>K24</f>
        <v>38606.39</v>
      </c>
      <c r="L27" s="3794">
        <v>2000</v>
      </c>
      <c r="M27" s="3791">
        <f>ROUND(L27*K27/10000,0)</f>
        <v>7721</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80"/>
      <c r="D28" s="2679"/>
      <c r="E28" s="2661"/>
      <c r="F28" s="2661"/>
      <c r="G28" s="2673"/>
      <c r="H28" s="2673"/>
      <c r="I28" s="2673"/>
      <c r="J28" s="3793" t="s">
        <v>3425</v>
      </c>
      <c r="K28" s="3794">
        <f>K24</f>
        <v>38606.39</v>
      </c>
      <c r="L28" s="3794">
        <v>2000</v>
      </c>
      <c r="M28" s="3791">
        <f>ROUND(L28*K28/10000,0)</f>
        <v>7721</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734</v>
      </c>
      <c r="C29" s="2802" t="s">
        <v>2293</v>
      </c>
      <c r="D29" s="2679"/>
      <c r="E29" s="2661"/>
      <c r="F29" s="2661"/>
      <c r="G29" s="2673"/>
      <c r="H29" s="2673"/>
      <c r="I29" s="2673"/>
      <c r="J29" s="3792" t="s">
        <v>3426</v>
      </c>
      <c r="K29" s="3791">
        <f>K24</f>
        <v>38606.39</v>
      </c>
      <c r="L29" s="3791">
        <f>ROUND(M29/K29*10000,0)</f>
        <v>6837</v>
      </c>
      <c r="M29" s="3791">
        <f>M24+M27+M28</f>
        <v>26395</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794"/>
      <c r="K30" s="794"/>
      <c r="L30" s="794"/>
      <c r="M30" s="794"/>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794"/>
      <c r="K31" s="794"/>
      <c r="L31" s="794"/>
      <c r="M31" s="794"/>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794"/>
      <c r="K32" s="794"/>
      <c r="L32" s="794"/>
      <c r="M32" s="794"/>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3" t="s">
        <v>2294</v>
      </c>
      <c r="D33" s="2676"/>
      <c r="E33" s="2673"/>
      <c r="F33" s="2673"/>
      <c r="G33" s="2673"/>
      <c r="H33" s="2673"/>
      <c r="I33" s="2673"/>
      <c r="J33" s="794"/>
      <c r="K33" s="794"/>
      <c r="L33" s="794"/>
      <c r="M33" s="794"/>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29</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2285</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38606.39</v>
      </c>
      <c r="C1" s="2686"/>
      <c r="D1" s="2686"/>
      <c r="E1" s="2686"/>
      <c r="F1" s="2686"/>
      <c r="G1" s="2687"/>
      <c r="H1" s="2688"/>
      <c r="I1" s="2688"/>
      <c r="J1" s="2688"/>
      <c r="K1" s="2688"/>
    </row>
    <row r="2" spans="1:11" ht="16.5">
      <c r="A2" s="2512" t="s">
        <v>653</v>
      </c>
      <c r="B2" s="2512">
        <f>SUM(C14:C23)</f>
        <v>40534.06</v>
      </c>
      <c r="C2" s="2686"/>
      <c r="D2" s="2686"/>
      <c r="E2" s="2686"/>
      <c r="F2" s="2686"/>
      <c r="G2" s="2687"/>
      <c r="H2" s="2688"/>
      <c r="I2" s="2688"/>
      <c r="J2" s="2688"/>
      <c r="K2" s="2688"/>
    </row>
    <row r="3" spans="1:11" ht="16.5">
      <c r="A3" s="2512" t="s">
        <v>662</v>
      </c>
      <c r="B3" s="2514">
        <f>项目基本情况!D3</f>
        <v>45327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64775</v>
      </c>
      <c r="C5" s="2512">
        <f ca="1">IF(B5=D14,结果表!H102,ROUND(B5*10000/$B$1,0))</f>
        <v>16778</v>
      </c>
      <c r="D5" s="2512">
        <f ca="1">ROUND(B5*10000/$B$2,0)</f>
        <v>15980</v>
      </c>
      <c r="E5" s="2686"/>
      <c r="F5" s="2687"/>
      <c r="G5" s="2687"/>
      <c r="H5" s="2688"/>
      <c r="I5" s="2688"/>
      <c r="J5" s="2688"/>
      <c r="K5" s="2688"/>
    </row>
    <row r="6" spans="1:11" ht="16.5">
      <c r="A6" s="2512" t="s">
        <v>656</v>
      </c>
      <c r="B6" s="2512">
        <f ca="1">SUM(G14:G23)</f>
        <v>64775</v>
      </c>
      <c r="C6" s="2512">
        <f ca="1">IF(B6=G14,结果表!H108,ROUND(B6*10000/$B$1,0))</f>
        <v>16778</v>
      </c>
      <c r="D6" s="2512">
        <f ca="1">ROUND(B6*10000/$B$2,0)</f>
        <v>15980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38606.39</v>
      </c>
      <c r="C14" s="2518">
        <f>结果表!C118</f>
        <v>40534.06</v>
      </c>
      <c r="D14" s="2518">
        <f ca="1">结果表!H118</f>
        <v>64775</v>
      </c>
      <c r="E14" s="2518">
        <f ca="1">ROUND(D14*10000/B14,0)</f>
        <v>16778</v>
      </c>
      <c r="F14" s="2518">
        <f ca="1">ROUND(D14*10000/C14,0)</f>
        <v>15980</v>
      </c>
      <c r="G14" s="2518">
        <f ca="1">结果表!D122</f>
        <v>64775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8" sqref="K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72" t="str">
        <f>项目基本情况!S2</f>
        <v>北京市昌平区枫丹丽舍西路1号楼房地产</v>
      </c>
      <c r="B2" s="3573"/>
      <c r="C2" s="3573"/>
      <c r="D2" s="3573"/>
      <c r="E2" s="3573"/>
      <c r="F2" s="3573"/>
      <c r="G2" s="3573"/>
      <c r="H2" s="3573"/>
      <c r="I2" s="3574"/>
    </row>
    <row r="3" spans="1:12" ht="12.75">
      <c r="A3" s="3576" t="s">
        <v>1263</v>
      </c>
      <c r="B3" s="3577"/>
      <c r="C3" s="3577"/>
      <c r="D3" s="3577"/>
      <c r="E3" s="3577"/>
      <c r="F3" s="3577"/>
      <c r="G3" s="3577"/>
      <c r="H3" s="3577"/>
      <c r="I3" s="3577"/>
    </row>
    <row r="4" spans="1:12" ht="14.25">
      <c r="A4" s="1754" t="s">
        <v>1264</v>
      </c>
      <c r="B4" s="1755" t="s">
        <v>1265</v>
      </c>
      <c r="C4" s="1756" t="s">
        <v>3431</v>
      </c>
      <c r="D4" s="1756" t="s">
        <v>3432</v>
      </c>
      <c r="E4" s="3578" t="s">
        <v>1266</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1267</v>
      </c>
      <c r="B5" s="3539">
        <v>25</v>
      </c>
      <c r="C5" s="3555"/>
      <c r="D5" s="3575"/>
      <c r="E5" s="131" t="s">
        <v>1268</v>
      </c>
      <c r="F5" s="1757"/>
      <c r="G5" s="1757"/>
      <c r="H5" s="1757"/>
      <c r="I5" s="1373"/>
    </row>
    <row r="6" spans="1:12" ht="12.75">
      <c r="A6" s="3552"/>
      <c r="B6" s="3539"/>
      <c r="C6" s="3556"/>
      <c r="D6" s="3575"/>
      <c r="E6" s="131" t="s">
        <v>1269</v>
      </c>
      <c r="F6" s="1757"/>
      <c r="G6" s="1757"/>
      <c r="H6" s="1757"/>
      <c r="I6" s="1373"/>
    </row>
    <row r="7" spans="1:12" ht="12.75">
      <c r="A7" s="3552"/>
      <c r="B7" s="3539"/>
      <c r="C7" s="3557"/>
      <c r="D7" s="3575"/>
      <c r="E7" s="131" t="s">
        <v>1270</v>
      </c>
      <c r="F7" s="1757"/>
      <c r="G7" s="1757"/>
      <c r="H7" s="1757"/>
      <c r="I7" s="1373"/>
    </row>
    <row r="8" spans="1:12" ht="12.75">
      <c r="A8" s="3552" t="s">
        <v>1271</v>
      </c>
      <c r="B8" s="3539">
        <v>15</v>
      </c>
      <c r="C8" s="3555"/>
      <c r="D8" s="3575"/>
      <c r="E8" s="131" t="s">
        <v>1272</v>
      </c>
      <c r="F8" s="1757"/>
      <c r="G8" s="1757"/>
      <c r="H8" s="1757"/>
      <c r="I8" s="1373"/>
    </row>
    <row r="9" spans="1:12" ht="12.75">
      <c r="A9" s="3552"/>
      <c r="B9" s="3539"/>
      <c r="C9" s="3557"/>
      <c r="D9" s="3575"/>
      <c r="E9" s="131" t="s">
        <v>1273</v>
      </c>
      <c r="F9" s="1757"/>
      <c r="G9" s="1757"/>
      <c r="H9" s="1757"/>
      <c r="I9" s="1373"/>
    </row>
    <row r="10" spans="1:12" ht="12.75">
      <c r="A10" s="3552" t="s">
        <v>1274</v>
      </c>
      <c r="B10" s="3539">
        <v>15</v>
      </c>
      <c r="C10" s="3555"/>
      <c r="D10" s="3575"/>
      <c r="E10" s="131" t="s">
        <v>1275</v>
      </c>
      <c r="F10" s="1757"/>
      <c r="G10" s="1757"/>
      <c r="H10" s="1757"/>
      <c r="I10" s="1373"/>
    </row>
    <row r="11" spans="1:12" ht="12.75">
      <c r="A11" s="3552"/>
      <c r="B11" s="3539"/>
      <c r="C11" s="3557"/>
      <c r="D11" s="3575"/>
      <c r="E11" s="131" t="s">
        <v>1276</v>
      </c>
      <c r="F11" s="1757"/>
      <c r="G11" s="1757"/>
      <c r="H11" s="1757"/>
      <c r="I11" s="1373"/>
    </row>
    <row r="12" spans="1:12" ht="12.75">
      <c r="A12" s="3552" t="s">
        <v>1277</v>
      </c>
      <c r="B12" s="3539">
        <v>15</v>
      </c>
      <c r="C12" s="3555"/>
      <c r="D12" s="3575"/>
      <c r="E12" s="131" t="s">
        <v>1278</v>
      </c>
      <c r="F12" s="1757"/>
      <c r="G12" s="1757"/>
      <c r="H12" s="1757"/>
      <c r="I12" s="1373"/>
    </row>
    <row r="13" spans="1:12" ht="12.75">
      <c r="A13" s="3552"/>
      <c r="B13" s="3539"/>
      <c r="C13" s="3557"/>
      <c r="D13" s="3575"/>
      <c r="E13" s="131" t="s">
        <v>1279</v>
      </c>
      <c r="F13" s="1757"/>
      <c r="G13" s="1757"/>
      <c r="H13" s="1757"/>
      <c r="I13" s="1373"/>
    </row>
    <row r="14" spans="1:12" ht="12.75">
      <c r="A14" s="3552" t="s">
        <v>1280</v>
      </c>
      <c r="B14" s="3539">
        <v>30</v>
      </c>
      <c r="C14" s="3555">
        <v>4</v>
      </c>
      <c r="D14" s="3575">
        <v>6</v>
      </c>
      <c r="E14" s="131" t="s">
        <v>1281</v>
      </c>
      <c r="F14" s="1757"/>
      <c r="G14" s="1757"/>
      <c r="H14" s="1757"/>
      <c r="I14" s="1373"/>
    </row>
    <row r="15" spans="1:12" ht="12.75">
      <c r="A15" s="3552"/>
      <c r="B15" s="3539"/>
      <c r="C15" s="3556"/>
      <c r="D15" s="3575"/>
      <c r="E15" s="131" t="s">
        <v>1282</v>
      </c>
      <c r="F15" s="1757"/>
      <c r="G15" s="1757"/>
      <c r="H15" s="1757"/>
      <c r="I15" s="1373"/>
    </row>
    <row r="16" spans="1:12" ht="12.75">
      <c r="A16" s="3552"/>
      <c r="B16" s="3539"/>
      <c r="C16" s="3557"/>
      <c r="D16" s="3575"/>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62" t="s">
        <v>2130</v>
      </c>
      <c r="F18" s="3563"/>
      <c r="G18" s="3563"/>
      <c r="H18" s="3563"/>
      <c r="I18" s="3563"/>
      <c r="K18" s="302" t="s">
        <v>1288</v>
      </c>
      <c r="L18" s="302">
        <f>IF(C1="",'数据-汇总表'!E3,SUMIF(项目类型,C1,'数据-汇总表'!E17:E26)+SUMIF(项目类型,C1,'数据-汇总表'!I17:I26))</f>
        <v>38606.39</v>
      </c>
      <c r="M18" s="302">
        <f>IF(C1="",'数据-汇总表'!E3,SUMIF(项目类型,C1,'数据-汇总表'!E17:E26))</f>
        <v>38606.39</v>
      </c>
    </row>
    <row r="19" spans="1:36" ht="15">
      <c r="A19" s="1761" t="s">
        <v>1289</v>
      </c>
      <c r="B19" s="1762" t="s">
        <v>1290</v>
      </c>
      <c r="C19" s="134">
        <f ca="1">SUMIF(INDIRECT("'"&amp;C4&amp;"'"&amp;"!A:A"),结果表!B19,INDIRECT("'"&amp;C4&amp;"'"&amp;"!B:B"))</f>
        <v>111412</v>
      </c>
      <c r="D19" s="135">
        <f ca="1">SUMIF(INDIRECT("'"&amp;D4&amp;"'"&amp;"!A:A"),结果表!B19,INDIRECT("'"&amp;D4&amp;"'"&amp;"!B:B"))</f>
        <v>33684</v>
      </c>
      <c r="E19" s="1761" t="s">
        <v>1291</v>
      </c>
      <c r="F19" s="1762" t="s">
        <v>1290</v>
      </c>
      <c r="G19" s="136">
        <f ca="1">ROUND(C19*$C$18+D19*$D$18,0)</f>
        <v>64775</v>
      </c>
      <c r="H19" s="1763" t="s">
        <v>1292</v>
      </c>
      <c r="I19" s="129"/>
      <c r="K19" s="302" t="s">
        <v>1293</v>
      </c>
      <c r="L19" s="302">
        <f>IF(C1="",'数据-汇总表'!D3,SUMIF(项目类型,C1,'数据-汇总表'!D17:D26)+SUMIF(项目类型,C1,'数据-汇总表'!H17:H27))</f>
        <v>40534.06</v>
      </c>
      <c r="M19" s="302">
        <f>IF(C1="",'数据-汇总表'!D3,SUMIF(项目类型,C1,'数据-汇总表'!D17:D26))</f>
        <v>40534.06</v>
      </c>
    </row>
    <row r="20" spans="1:36" ht="15">
      <c r="A20" s="1764"/>
      <c r="B20" s="1026" t="s">
        <v>1294</v>
      </c>
      <c r="C20" s="137">
        <f ca="1">SUMIF(INDIRECT("'"&amp;C4&amp;"'"&amp;"!A:A"),结果表!B20,INDIRECT("'"&amp;C4&amp;"'"&amp;"!B:B"))</f>
        <v>28858</v>
      </c>
      <c r="D20" s="138">
        <f ca="1">SUMIF(INDIRECT("'"&amp;D4&amp;"'"&amp;"!A:A"),结果表!B20,INDIRECT("'"&amp;D4&amp;"'"&amp;"!B:B"))</f>
        <v>8725</v>
      </c>
      <c r="E20" s="1764"/>
      <c r="F20" s="1026" t="s">
        <v>1294</v>
      </c>
      <c r="G20" s="139">
        <f ca="1">ROUND(C20*$C$18+D20*$D$18,0)</f>
        <v>16778</v>
      </c>
      <c r="H20" s="808" t="s">
        <v>1295</v>
      </c>
      <c r="I20" s="129"/>
    </row>
    <row r="21" spans="1:36" ht="15" customHeight="1" thickBot="1">
      <c r="A21" s="828"/>
      <c r="B21" s="1765" t="s">
        <v>1296</v>
      </c>
      <c r="C21" s="719">
        <f ca="1">ROUND(C19*10000/L19,0)</f>
        <v>27486</v>
      </c>
      <c r="D21" s="720">
        <f ca="1">ROUND(D19*10000/L19,0)</f>
        <v>8310</v>
      </c>
      <c r="E21" s="828"/>
      <c r="F21" s="1765" t="s">
        <v>1296</v>
      </c>
      <c r="G21" s="140">
        <f ca="1">ROUND(G19*10000/L19,0)</f>
        <v>15980</v>
      </c>
      <c r="H21" s="1766" t="s">
        <v>1295</v>
      </c>
      <c r="I21" s="129"/>
    </row>
    <row r="22" spans="1:36" ht="15" thickBot="1">
      <c r="A22" s="1688" t="s">
        <v>1297</v>
      </c>
      <c r="B22" s="1767"/>
      <c r="C22" s="1768"/>
      <c r="D22" s="721">
        <f ca="1">IF(C19&lt;D19,D19/C19-1,C19/D19-1)</f>
        <v>2.3075644222776392</v>
      </c>
      <c r="E22" s="129"/>
      <c r="F22" s="129"/>
      <c r="G22" s="129"/>
      <c r="H22" s="129"/>
      <c r="I22" s="129"/>
    </row>
    <row r="23" spans="1:36" ht="13.5" thickBot="1">
      <c r="A23" s="1747"/>
      <c r="B23" s="1747"/>
      <c r="C23" s="1747"/>
      <c r="D23" s="1747"/>
      <c r="E23" s="129"/>
      <c r="F23" s="129"/>
      <c r="G23" s="129"/>
      <c r="H23" s="129"/>
      <c r="I23" s="129"/>
    </row>
    <row r="24" spans="1:36" ht="14.25">
      <c r="A24" s="3546" t="s">
        <v>1298</v>
      </c>
      <c r="B24" s="1762" t="s">
        <v>1290</v>
      </c>
      <c r="C24" s="136">
        <f>IF(B30=0,0,D30)</f>
        <v>0</v>
      </c>
      <c r="D24" s="1769"/>
      <c r="E24" s="129"/>
      <c r="F24" s="129"/>
      <c r="G24" s="129"/>
      <c r="H24" s="129"/>
      <c r="I24" s="129"/>
    </row>
    <row r="25" spans="1:36" ht="14.25">
      <c r="A25" s="354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64775</v>
      </c>
      <c r="D32" s="1775" t="s">
        <v>3434</v>
      </c>
      <c r="E32" s="129"/>
      <c r="F32" s="129"/>
      <c r="G32" s="129"/>
      <c r="H32" s="129"/>
      <c r="I32" s="129"/>
    </row>
    <row r="33" spans="1:15" ht="15">
      <c r="A33" s="786" t="s">
        <v>1305</v>
      </c>
      <c r="B33" s="1776"/>
      <c r="C33" s="1777" t="s">
        <v>3435</v>
      </c>
      <c r="D33" s="1778"/>
      <c r="E33" s="1779" t="s">
        <v>1306</v>
      </c>
      <c r="F33" s="1780" t="str">
        <f>IF(D32="楼面单价","取值（单价）","取值（总价）")</f>
        <v>取值（总价）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566" t="s">
        <v>1311</v>
      </c>
      <c r="B36" s="1787" t="s">
        <v>1312</v>
      </c>
      <c r="C36" s="145"/>
      <c r="D36" s="1788"/>
      <c r="E36" s="1789"/>
      <c r="F36" s="1790"/>
      <c r="G36" s="129"/>
      <c r="H36" s="129"/>
      <c r="I36" s="129"/>
    </row>
    <row r="37" spans="1:15" ht="15.75" thickBot="1">
      <c r="A37" s="3567"/>
      <c r="B37" s="1674" t="s">
        <v>1313</v>
      </c>
      <c r="C37" s="147"/>
      <c r="D37" s="1139"/>
      <c r="E37" s="1139"/>
      <c r="F37" s="1790"/>
      <c r="G37" s="129"/>
      <c r="H37" s="129"/>
      <c r="I37" s="129"/>
    </row>
    <row r="38" spans="1:15" ht="15.75" thickBot="1">
      <c r="A38" s="356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3" t="s">
        <v>1325</v>
      </c>
      <c r="B45" s="3544"/>
      <c r="C45" s="3545"/>
      <c r="D45" s="155">
        <f ca="1">ROUND(H101*F45,0)</f>
        <v>64775</v>
      </c>
      <c r="E45" s="156" t="s">
        <v>1326</v>
      </c>
      <c r="F45" s="157">
        <v>1</v>
      </c>
      <c r="G45" s="158" t="s">
        <v>1327</v>
      </c>
      <c r="H45" s="129"/>
      <c r="I45" s="129"/>
      <c r="J45" s="3621" t="s">
        <v>1328</v>
      </c>
      <c r="K45" s="3621"/>
      <c r="L45" s="3621"/>
      <c r="M45" s="3621"/>
      <c r="N45" s="3621"/>
      <c r="O45" s="3621"/>
    </row>
    <row r="46" spans="1:15" ht="14.25" customHeight="1">
      <c r="A46" s="3540" t="s">
        <v>1329</v>
      </c>
      <c r="B46" s="3541"/>
      <c r="C46" s="3541"/>
      <c r="D46" s="3541"/>
      <c r="E46" s="3541"/>
      <c r="F46" s="3541"/>
      <c r="G46" s="3542"/>
      <c r="H46" s="1806"/>
      <c r="I46" s="159"/>
      <c r="J46" s="2523">
        <v>1</v>
      </c>
      <c r="K46" s="3602" t="s">
        <v>1330</v>
      </c>
      <c r="L46" s="3602"/>
      <c r="M46" s="3622"/>
      <c r="N46" s="3622"/>
      <c r="O46" s="3622"/>
    </row>
    <row r="47" spans="1:15" ht="12" customHeight="1">
      <c r="A47" s="160" t="s">
        <v>1331</v>
      </c>
      <c r="B47" s="161"/>
      <c r="C47" s="162"/>
      <c r="D47" s="1087" t="s">
        <v>1332</v>
      </c>
      <c r="E47" s="302" t="s">
        <v>1333</v>
      </c>
      <c r="F47" s="163" t="s">
        <v>1334</v>
      </c>
      <c r="G47" s="2546" t="s">
        <v>1335</v>
      </c>
      <c r="H47" s="2547"/>
      <c r="I47" s="159"/>
      <c r="J47" s="2523">
        <v>2</v>
      </c>
      <c r="K47" s="3602" t="s">
        <v>1336</v>
      </c>
      <c r="L47" s="3602"/>
      <c r="M47" s="3623">
        <f>'数据-取费表'!B2</f>
        <v>45327</v>
      </c>
      <c r="N47" s="3623"/>
      <c r="O47" s="3623"/>
    </row>
    <row r="48" spans="1:15" ht="25.5">
      <c r="A48" s="3571" t="s">
        <v>1337</v>
      </c>
      <c r="B48" s="3554"/>
      <c r="C48" s="355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1338</v>
      </c>
      <c r="H48" s="2550"/>
      <c r="I48" s="1806"/>
      <c r="J48" s="2523">
        <v>3</v>
      </c>
      <c r="K48" s="3602" t="s">
        <v>1339</v>
      </c>
      <c r="L48" s="3602"/>
      <c r="M48" s="3624">
        <f ca="1">H101</f>
        <v>64775</v>
      </c>
      <c r="N48" s="3624"/>
      <c r="O48" s="3624"/>
    </row>
    <row r="49" spans="1:35" ht="25.5" customHeight="1">
      <c r="A49" s="2333" t="s">
        <v>1340</v>
      </c>
      <c r="B49" s="3538" t="s">
        <v>1341</v>
      </c>
      <c r="C49" s="3538"/>
      <c r="D49" s="1590">
        <v>0</v>
      </c>
      <c r="E49" s="324" t="s">
        <v>1342</v>
      </c>
      <c r="F49" s="2424" t="s">
        <v>28</v>
      </c>
      <c r="G49" s="3608"/>
      <c r="H49" s="2310" t="s">
        <v>2133</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64775</v>
      </c>
      <c r="N49" s="3624"/>
      <c r="O49" s="3624"/>
    </row>
    <row r="50" spans="1:35" ht="25.5" customHeight="1">
      <c r="A50" s="2551"/>
      <c r="B50" s="3538" t="s">
        <v>1343</v>
      </c>
      <c r="C50" s="3538"/>
      <c r="D50" s="2552"/>
      <c r="E50" s="332"/>
      <c r="F50" s="2424"/>
      <c r="G50" s="3609"/>
      <c r="H50" s="2312" t="s">
        <v>2134</v>
      </c>
      <c r="I50" s="2311"/>
      <c r="J50" s="3621" t="s">
        <v>1344</v>
      </c>
      <c r="K50" s="3621"/>
      <c r="L50" s="3621"/>
      <c r="M50" s="3621"/>
      <c r="N50" s="3621"/>
      <c r="O50" s="3621"/>
    </row>
    <row r="51" spans="1:35" ht="20.45" customHeight="1">
      <c r="A51" s="2553"/>
      <c r="B51" s="3538" t="s">
        <v>1345</v>
      </c>
      <c r="C51" s="3538"/>
      <c r="D51" s="1087"/>
      <c r="E51" s="327"/>
      <c r="F51" s="2424"/>
      <c r="G51" s="3610"/>
      <c r="H51" s="2312" t="s">
        <v>2135</v>
      </c>
      <c r="I51" s="2311"/>
      <c r="J51" s="2524" t="s">
        <v>1346</v>
      </c>
      <c r="K51" s="3602" t="s">
        <v>1347</v>
      </c>
      <c r="L51" s="3602"/>
      <c r="M51" s="2524" t="s">
        <v>1348</v>
      </c>
      <c r="N51" s="2524" t="s">
        <v>1349</v>
      </c>
      <c r="O51" s="2524" t="s">
        <v>1350</v>
      </c>
    </row>
    <row r="52" spans="1:35" ht="24" customHeight="1">
      <c r="A52" s="2335" t="s">
        <v>1351</v>
      </c>
      <c r="B52" s="3538" t="s">
        <v>1352</v>
      </c>
      <c r="C52" s="3538"/>
      <c r="D52" s="1087">
        <f ca="1">ROUND(D45*'数据-取费表'!B41/(1+'数据-取费表'!C42),0)</f>
        <v>3393</v>
      </c>
      <c r="E52" s="2334" t="s">
        <v>1353</v>
      </c>
      <c r="F52" s="2554">
        <f>'数据-取费表'!B41</f>
        <v>5.5000000000000007E-2</v>
      </c>
      <c r="G52" s="2555"/>
      <c r="H52" s="2544"/>
      <c r="I52" s="1807"/>
      <c r="J52" s="2523">
        <v>1</v>
      </c>
      <c r="K52" s="3603" t="s">
        <v>1354</v>
      </c>
      <c r="L52" s="3603"/>
      <c r="M52" s="2525" t="b">
        <f>D48</f>
        <v>0</v>
      </c>
      <c r="N52" s="2523" t="str">
        <f>E48</f>
        <v>销售额×税（费）率</v>
      </c>
      <c r="O52" s="2526">
        <f>F48</f>
        <v>5.5000000000000007E-2</v>
      </c>
    </row>
    <row r="53" spans="1:35" ht="12" customHeight="1">
      <c r="A53" s="2335" t="s">
        <v>1355</v>
      </c>
      <c r="B53" s="3564" t="s">
        <v>2290</v>
      </c>
      <c r="C53" s="3565"/>
      <c r="D53" s="1087">
        <f ca="1">ROUND(D45*'数据-取费表'!B41/(1+'数据-取费表'!C42),0)</f>
        <v>3393</v>
      </c>
      <c r="E53" s="2334" t="s">
        <v>1353</v>
      </c>
      <c r="F53" s="2554">
        <f>'数据-取费表'!B41</f>
        <v>5.5000000000000007E-2</v>
      </c>
      <c r="G53" s="2555"/>
      <c r="H53" s="2544"/>
      <c r="I53" s="1807"/>
      <c r="J53" s="2523">
        <v>2</v>
      </c>
      <c r="K53" s="3603" t="s">
        <v>1356</v>
      </c>
      <c r="L53" s="3603"/>
      <c r="M53" s="2525">
        <f t="shared" ref="M53:O54" ca="1" si="0">D55</f>
        <v>32</v>
      </c>
      <c r="N53" s="2523" t="str">
        <f t="shared" si="0"/>
        <v>销售额×税（费）率</v>
      </c>
      <c r="O53" s="2526" t="str">
        <f t="shared" si="0"/>
        <v>免征</v>
      </c>
    </row>
    <row r="54" spans="1:35" ht="12" customHeight="1">
      <c r="A54" s="2335" t="s">
        <v>1357</v>
      </c>
      <c r="B54" s="3564" t="s">
        <v>2291</v>
      </c>
      <c r="C54" s="3565"/>
      <c r="D54" s="1087">
        <f ca="1">C68</f>
        <v>3393</v>
      </c>
      <c r="E54" s="327" t="s">
        <v>1358</v>
      </c>
      <c r="F54" s="2554">
        <f>'数据-取费表'!B41</f>
        <v>5.5000000000000007E-2</v>
      </c>
      <c r="G54" s="2555"/>
      <c r="H54" s="2556"/>
      <c r="I54" s="1807"/>
      <c r="J54" s="2523">
        <v>3</v>
      </c>
      <c r="K54" s="3603" t="s">
        <v>1359</v>
      </c>
      <c r="L54" s="3603"/>
      <c r="M54" s="2525">
        <f t="shared" ca="1" si="0"/>
        <v>36721</v>
      </c>
      <c r="N54" s="2523" t="str">
        <f t="shared" si="0"/>
        <v>增值额×税（费）率</v>
      </c>
      <c r="O54" s="2527" t="str">
        <f t="shared" si="0"/>
        <v>免征</v>
      </c>
    </row>
    <row r="55" spans="1:35" ht="24" customHeight="1">
      <c r="A55" s="3553" t="s">
        <v>1360</v>
      </c>
      <c r="B55" s="3554"/>
      <c r="C55" s="3554"/>
      <c r="D55" s="2324">
        <f ca="1">IF(H55="个人住宅",0,ROUND(D45*I55,0))</f>
        <v>32</v>
      </c>
      <c r="E55" s="2334" t="s">
        <v>1361</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617</v>
      </c>
      <c r="N55" s="2040" t="str">
        <f>E59</f>
        <v>差额计税</v>
      </c>
      <c r="O55" s="2529">
        <f>F59</f>
        <v>0.01</v>
      </c>
    </row>
    <row r="56" spans="1:35" ht="24.75">
      <c r="A56" s="3553" t="s">
        <v>1362</v>
      </c>
      <c r="B56" s="3554"/>
      <c r="C56" s="3554"/>
      <c r="D56" s="2324">
        <f ca="1">IF(H56="个人住宅",D57,D58)</f>
        <v>36721</v>
      </c>
      <c r="E56" s="2334" t="s">
        <v>1363</v>
      </c>
      <c r="F56" s="2554" t="str">
        <f>IF(H56="正常",F58,"免征")</f>
        <v>免征</v>
      </c>
      <c r="G56" s="2557" t="s">
        <v>1364</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1340</v>
      </c>
      <c r="B57" s="3564" t="s">
        <v>1365</v>
      </c>
      <c r="C57" s="3565"/>
      <c r="D57" s="1590">
        <v>0</v>
      </c>
      <c r="E57" s="324" t="s">
        <v>1342</v>
      </c>
      <c r="F57" s="302"/>
      <c r="G57" s="2555"/>
      <c r="H57" s="2559"/>
      <c r="I57" s="1808"/>
      <c r="J57" s="3603">
        <f>IF(AND(J55="",J56=""),4,IF(项目基本情况!K6="上海银行",结果表!J56+1,结果表!J55+1))</f>
        <v>5</v>
      </c>
      <c r="K57" s="3603" t="s">
        <v>1366</v>
      </c>
      <c r="L57" s="2530" t="s">
        <v>1367</v>
      </c>
      <c r="M57" s="2531"/>
      <c r="N57" s="2532">
        <f ca="1">SUMIF(M52:M56,"&lt;9e307")</f>
        <v>37370</v>
      </c>
      <c r="O57" s="2533"/>
      <c r="P57" s="2690">
        <f ca="1">N57/M49</f>
        <v>0.57692010806638361</v>
      </c>
    </row>
    <row r="58" spans="1:35" ht="24.75">
      <c r="A58" s="2335" t="s">
        <v>1351</v>
      </c>
      <c r="B58" s="3564" t="s">
        <v>1368</v>
      </c>
      <c r="C58" s="3538"/>
      <c r="D58" s="2324">
        <f ca="1">IF(H58="转让取得",C81,C97)</f>
        <v>36721</v>
      </c>
      <c r="E58" s="2334" t="s">
        <v>1363</v>
      </c>
      <c r="F58" s="302" t="s">
        <v>28</v>
      </c>
      <c r="G58" s="2555"/>
      <c r="H58" s="2558"/>
      <c r="I58" s="1808"/>
      <c r="J58" s="3603"/>
      <c r="K58" s="3603"/>
      <c r="L58" s="2530" t="s">
        <v>1369</v>
      </c>
      <c r="M58" s="2534"/>
      <c r="N58" s="2535" t="str">
        <f ca="1">NUMBERSTRING(INT(N57*10000),2)&amp;"元整"</f>
        <v>叁亿柒仟叁佰柒拾万元整</v>
      </c>
      <c r="O58" s="2536"/>
    </row>
    <row r="59" spans="1:35" ht="24.75" thickBot="1">
      <c r="A59" s="3606" t="s">
        <v>1370</v>
      </c>
      <c r="B59" s="3607"/>
      <c r="C59" s="3607"/>
      <c r="D59" s="2560">
        <f ca="1">IF(H59="非个人房产","——",IF(H59="个人住宅（满五唯一有凭证）",0,IF(H59="个人其他（无凭证）",ROUND(D45*F59,0),ROUND(C67*F59,0))))</f>
        <v>617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04">
        <f>J57+1</f>
        <v>6</v>
      </c>
      <c r="K59" s="3603" t="s">
        <v>1371</v>
      </c>
      <c r="L59" s="2523" t="s">
        <v>1367</v>
      </c>
      <c r="M59" s="2537"/>
      <c r="N59" s="2538">
        <f ca="1">M49-N57</f>
        <v>27405</v>
      </c>
      <c r="O59" s="2539"/>
    </row>
    <row r="60" spans="1:35" ht="12" customHeight="1">
      <c r="A60" s="1809"/>
      <c r="B60" s="1747"/>
      <c r="C60" s="1747"/>
      <c r="D60" s="1747"/>
      <c r="E60" s="1578"/>
      <c r="F60" s="1808"/>
      <c r="G60" s="1808"/>
      <c r="H60" s="1810"/>
      <c r="I60" s="129"/>
      <c r="J60" s="3605"/>
      <c r="K60" s="3603"/>
      <c r="L60" s="2530" t="s">
        <v>1369</v>
      </c>
      <c r="M60" s="2534"/>
      <c r="N60" s="2535" t="str">
        <f ca="1">NUMBERSTRING(INT(N59*10000),2)&amp;"元整"</f>
        <v>贰亿柒仟肆佰零伍万元整</v>
      </c>
      <c r="O60" s="2536"/>
    </row>
    <row r="61" spans="1:35" ht="13.5" thickBot="1">
      <c r="A61" s="3551" t="s">
        <v>1372</v>
      </c>
      <c r="B61" s="3551"/>
      <c r="C61" s="3551"/>
      <c r="D61" s="3551"/>
      <c r="E61" s="3551"/>
      <c r="F61" s="1808"/>
      <c r="G61" s="1808"/>
      <c r="H61" s="1810"/>
      <c r="I61" s="129"/>
      <c r="J61" s="2523">
        <f>J59+1</f>
        <v>7</v>
      </c>
      <c r="K61" s="3603" t="s">
        <v>1373</v>
      </c>
      <c r="L61" s="3603"/>
      <c r="M61" s="2540"/>
      <c r="N61" s="2541">
        <f ca="1">ROUND(N59*10000/'数据-汇总表'!E3,0)</f>
        <v>7099</v>
      </c>
      <c r="O61" s="2542"/>
    </row>
    <row r="62" spans="1:35" ht="12.75">
      <c r="A62" s="3569" t="s">
        <v>1374</v>
      </c>
      <c r="B62" s="3570"/>
      <c r="C62" s="2021"/>
      <c r="D62" s="2021" t="s">
        <v>1375</v>
      </c>
      <c r="E62" s="166" t="s">
        <v>1376</v>
      </c>
      <c r="F62" s="1808"/>
      <c r="G62" s="1808"/>
      <c r="H62" s="1810"/>
      <c r="I62" s="129"/>
    </row>
    <row r="63" spans="1:35" ht="12.75">
      <c r="A63" s="173" t="s">
        <v>330</v>
      </c>
      <c r="B63" s="167" t="s">
        <v>1377</v>
      </c>
      <c r="C63" s="2564">
        <f ca="1">ROUND((C64+C65)/(1+'数据-取费表'!C42),0)</f>
        <v>61690</v>
      </c>
      <c r="D63" s="167"/>
      <c r="E63" s="168"/>
      <c r="F63" s="1808"/>
      <c r="G63" s="1808"/>
      <c r="H63" s="1810"/>
      <c r="I63" s="129"/>
      <c r="J63" s="3628" t="s">
        <v>1378</v>
      </c>
      <c r="K63" s="1332" t="s">
        <v>1379</v>
      </c>
      <c r="L63" s="1332">
        <f ca="1">IF(M49&gt;10000,M49*0.5%,IF(AND(M49&gt;1000,M49&lt;=10000),M49*1%,IF(AND(M49&gt;100,M49&lt;=1000),M49*3%,IF(AND(M49&gt;10,M49&lt;=100),M49*5%,M49*8%))))</f>
        <v>323.875</v>
      </c>
      <c r="M63" s="302">
        <f ca="1">ROUND(L63,1)</f>
        <v>323.89999999999998</v>
      </c>
      <c r="N63" s="2543"/>
      <c r="Z63" s="1752"/>
      <c r="AI63" s="1753"/>
    </row>
    <row r="64" spans="1:35" ht="14.25" customHeight="1">
      <c r="A64" s="169" t="s">
        <v>325</v>
      </c>
      <c r="B64" s="170" t="s">
        <v>1380</v>
      </c>
      <c r="C64" s="2565">
        <f ca="1">D45</f>
        <v>64775</v>
      </c>
      <c r="D64" s="170" t="s">
        <v>26</v>
      </c>
      <c r="E64" s="172"/>
      <c r="F64" s="1808"/>
      <c r="G64" s="1808"/>
      <c r="H64" s="1810"/>
      <c r="I64" s="129"/>
      <c r="J64" s="3628"/>
      <c r="K64" s="1332" t="s">
        <v>1381</v>
      </c>
      <c r="L64" s="1332">
        <f ca="1">IF(M49&gt;2000,M49*0.5%,IF(AND(M49&gt;1000,M49&lt;=2000),M49*0.6%,IF(AND(M49&gt;500,M49&lt;=1000),M49*0.7%,IF(AND(M49&gt;200,M49&lt;=500),M49*0.8%,IF(AND(M49&gt;100,M49&lt;=200),M49*0.9%,IF(AND(M49&gt;50,M49&lt;=100),M49*1%,IF(AND(M49&gt;20,M49&lt;=50),M49*1.5%,IF(AND(M49&gt;10,M49&lt;=20),M49*2%,IF(AND(M49&gt;1,M49&lt;=10),M49*2.5%)))))))))</f>
        <v>323.875</v>
      </c>
      <c r="M64" s="302">
        <f t="shared" ref="M64:M65" ca="1" si="1">ROUND(L64,1)</f>
        <v>323.89999999999998</v>
      </c>
      <c r="N64" s="2544" t="s">
        <v>1382</v>
      </c>
      <c r="Z64" s="1752"/>
      <c r="AI64" s="1753"/>
    </row>
    <row r="65" spans="1:35" ht="14.25" customHeight="1">
      <c r="A65" s="169" t="s">
        <v>326</v>
      </c>
      <c r="B65" s="170" t="s">
        <v>1383</v>
      </c>
      <c r="C65" s="2566"/>
      <c r="D65" s="170"/>
      <c r="E65" s="172"/>
      <c r="F65" s="1808"/>
      <c r="G65" s="1808"/>
      <c r="H65" s="1810"/>
      <c r="I65" s="129"/>
      <c r="J65" s="3628"/>
      <c r="K65" s="1332" t="s">
        <v>1384</v>
      </c>
      <c r="L65" s="1332">
        <f ca="1">IF(M49&gt;1000,M49*0.1%,IF(AND(M49&gt;500,M49&lt;=1000),M49*0.5%,IF(AND(M49&gt;50,M49&lt;=500),M49*1%,IF(AND(M49&gt;1,M49&lt;=50),M49*1.5%))))</f>
        <v>64.775000000000006</v>
      </c>
      <c r="M65" s="302">
        <f t="shared" ca="1" si="1"/>
        <v>64.8</v>
      </c>
      <c r="N65" s="2544" t="s">
        <v>1382</v>
      </c>
      <c r="Z65" s="1752"/>
      <c r="AI65" s="1753"/>
    </row>
    <row r="66" spans="1:35" ht="14.25" customHeight="1">
      <c r="A66" s="173" t="s">
        <v>327</v>
      </c>
      <c r="B66" s="174" t="s">
        <v>1385</v>
      </c>
      <c r="C66" s="2567"/>
      <c r="D66" s="174" t="s">
        <v>26</v>
      </c>
      <c r="E66" s="1338" t="s">
        <v>671</v>
      </c>
      <c r="F66" s="1808"/>
      <c r="G66" s="1808"/>
      <c r="H66" s="1810"/>
      <c r="I66" s="129"/>
      <c r="J66" s="3628"/>
      <c r="K66" s="1332" t="s">
        <v>1386</v>
      </c>
      <c r="L66" s="1332">
        <f ca="1">M49*0.5%</f>
        <v>323.875</v>
      </c>
      <c r="M66" s="302">
        <f ca="1">IF(L66&gt;0.5,0.5,ROUND(L66,0))</f>
        <v>0.5</v>
      </c>
      <c r="N66" s="2544" t="s">
        <v>1387</v>
      </c>
      <c r="Z66" s="1752"/>
      <c r="AI66" s="1753"/>
    </row>
    <row r="67" spans="1:35" ht="14.25" customHeight="1">
      <c r="A67" s="173" t="s">
        <v>328</v>
      </c>
      <c r="B67" s="174" t="s">
        <v>1388</v>
      </c>
      <c r="C67" s="2568">
        <f ca="1">C63-C66</f>
        <v>61690</v>
      </c>
      <c r="D67" s="170" t="s">
        <v>26</v>
      </c>
      <c r="E67" s="172"/>
      <c r="F67" s="1808"/>
      <c r="G67" s="1808"/>
      <c r="H67" s="1810"/>
      <c r="I67" s="129"/>
      <c r="J67" s="3628"/>
      <c r="K67" s="1332" t="s">
        <v>1389</v>
      </c>
      <c r="L67" s="1332">
        <f ca="1">IF(M49&gt;=10000,(8.25+(M49-10000)*0.01%),IF(AND(M49&gt;=8000,M49&lt;10000),(7.85+(M49-8000)*0.02%),IF(AND(M49&gt;=5000,M49&lt;8000),(6.65+(M49-5000)*0.04%),IF(AND(M49&gt;=2000,M49&lt;5000),(4.25+(PM49-2000)*0.08%),IF(AND(M49&gt;=1000,M49&lt;2000),(2.75+(M49-1000)*0.15%),IF(AND(M49&gt;=100,M49&lt;1000),(0.5+(M49-100)*0.25%),IF(AND(M49&gt;0,M49&lt;100),M49*0.5%)))))))</f>
        <v>13.727499999999999</v>
      </c>
      <c r="M67" s="302">
        <f ca="1">ROUND(L67*0.9,1)</f>
        <v>12.4</v>
      </c>
      <c r="N67" s="2543"/>
      <c r="Z67" s="1752"/>
      <c r="AI67" s="1753"/>
    </row>
    <row r="68" spans="1:35" ht="14.25" customHeight="1" thickBot="1">
      <c r="A68" s="176" t="s">
        <v>329</v>
      </c>
      <c r="B68" s="177" t="s">
        <v>1390</v>
      </c>
      <c r="C68" s="2569">
        <f ca="1">IF(C67&lt;=0,0,ROUND(C67*D68,0))</f>
        <v>3393</v>
      </c>
      <c r="D68" s="2570">
        <f>'数据-取费表'!B41</f>
        <v>5.5000000000000007E-2</v>
      </c>
      <c r="E68" s="178"/>
      <c r="F68" s="1808"/>
      <c r="G68" s="1808"/>
      <c r="H68" s="1810"/>
      <c r="I68" s="129"/>
      <c r="J68" s="3628"/>
      <c r="K68" s="1332" t="s">
        <v>1391</v>
      </c>
      <c r="L68" s="1332">
        <f ca="1">IF(M49&gt;10000,M49*0.5%,IF(AND(M49&gt;5000,M49&lt;=10000),M49*1%,IF(AND(M49&gt;1000,M49&lt;=5000),M49*2%,IF(AND(M49&gt;200,M49&lt;=1000),M49*3%,M49*5%))))</f>
        <v>323.875</v>
      </c>
      <c r="M68" s="302">
        <f ca="1">ROUND(L68,1)</f>
        <v>323.89999999999998</v>
      </c>
      <c r="N68" s="2543"/>
      <c r="Z68" s="1752"/>
      <c r="AI68" s="1753"/>
    </row>
    <row r="69" spans="1:35" s="1772" customFormat="1" ht="16.5" customHeight="1">
      <c r="A69" s="1811"/>
      <c r="B69" s="1812"/>
      <c r="C69" s="1813"/>
      <c r="D69" s="1814"/>
      <c r="E69" s="1815"/>
      <c r="F69" s="1578"/>
      <c r="G69" s="1578"/>
      <c r="H69" s="1577"/>
      <c r="I69" s="1747"/>
      <c r="J69" s="3628"/>
      <c r="K69" s="1332" t="s">
        <v>1392</v>
      </c>
      <c r="L69" s="1332"/>
      <c r="M69" s="302">
        <f ca="1">ROUND(SUM(M63:M68),0)</f>
        <v>1049</v>
      </c>
      <c r="N69" s="2545">
        <f ca="1">M69/M49</f>
        <v>1.6194519490544193E-2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1393</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1374</v>
      </c>
      <c r="B71" s="3570"/>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61690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308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64" t="s">
        <v>1401</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308</v>
      </c>
      <c r="D78" s="2577">
        <f>'数据-取费表'!B43</f>
        <v>5.000000000000001E-3</v>
      </c>
      <c r="E78" s="3548" t="s">
        <v>1405</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61382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199.29220779220779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36721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1409</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1374</v>
      </c>
      <c r="B84" s="3570"/>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61690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308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30" t="s">
        <v>2128</v>
      </c>
      <c r="H90" s="363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548" t="s">
        <v>1418</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548" t="s">
        <v>1421</v>
      </c>
      <c r="F92" s="3549"/>
      <c r="G92" s="3549"/>
      <c r="H92" s="355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308</v>
      </c>
      <c r="D93" s="2577">
        <f>'数据-取费表'!B43</f>
        <v>5.000000000000001E-3</v>
      </c>
      <c r="E93" s="3548" t="s">
        <v>1405</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559" t="s">
        <v>1425</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61382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199.29220779220779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36721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2" t="s">
        <v>1427</v>
      </c>
      <c r="B100" s="3533"/>
      <c r="C100" s="3533"/>
      <c r="D100" s="3550"/>
      <c r="E100" s="3533" t="s">
        <v>1428</v>
      </c>
      <c r="F100" s="3533"/>
      <c r="G100" s="3533"/>
      <c r="H100" s="3550"/>
      <c r="I100" s="129"/>
    </row>
    <row r="101" spans="1:35" ht="18.75" customHeight="1">
      <c r="A101" s="3611" t="s">
        <v>1429</v>
      </c>
      <c r="B101" s="3612"/>
      <c r="C101" s="2585" t="str">
        <f>C4</f>
        <v>成本法</v>
      </c>
      <c r="D101" s="2586" t="str">
        <f>D4</f>
        <v>收益法-酒店模型</v>
      </c>
      <c r="E101" s="3625" t="s">
        <v>1430</v>
      </c>
      <c r="F101" s="3582"/>
      <c r="G101" s="1827" t="s">
        <v>1431</v>
      </c>
      <c r="H101" s="2595">
        <f ca="1">H118</f>
        <v>64775</v>
      </c>
      <c r="I101" s="129"/>
    </row>
    <row r="102" spans="1:35" ht="18.75" customHeight="1">
      <c r="A102" s="3584" t="s">
        <v>1432</v>
      </c>
      <c r="B102" s="2584" t="s">
        <v>1431</v>
      </c>
      <c r="C102" s="2585">
        <f ca="1">IF(D32="楼面单价",ROUND(C19,0),C19)</f>
        <v>111412</v>
      </c>
      <c r="D102" s="2586">
        <f ca="1">IF(D32="楼面单价",ROUND(D19,0),D19)</f>
        <v>33684</v>
      </c>
      <c r="E102" s="3625"/>
      <c r="F102" s="3582"/>
      <c r="G102" s="1827" t="s">
        <v>1433</v>
      </c>
      <c r="H102" s="2555">
        <f ca="1">I118</f>
        <v>16778</v>
      </c>
      <c r="I102" s="129"/>
    </row>
    <row r="103" spans="1:35" ht="42.75" customHeight="1">
      <c r="A103" s="3584"/>
      <c r="B103" s="2584" t="s">
        <v>1433</v>
      </c>
      <c r="C103" s="2587">
        <f ca="1">C20</f>
        <v>28858</v>
      </c>
      <c r="D103" s="2588">
        <f ca="1">D20</f>
        <v>8725</v>
      </c>
      <c r="E103" s="3619" t="s">
        <v>1434</v>
      </c>
      <c r="F103" s="3620"/>
      <c r="G103" s="1828" t="s">
        <v>1435</v>
      </c>
      <c r="H103" s="2595">
        <f>IF(D36="正常操作",H104+H105+H106,H105+H106)</f>
        <v>0</v>
      </c>
      <c r="I103" s="129"/>
    </row>
    <row r="104" spans="1:35" ht="18.75" customHeight="1">
      <c r="A104" s="3584" t="s">
        <v>1436</v>
      </c>
      <c r="B104" s="2589" t="s">
        <v>1431</v>
      </c>
      <c r="C104" s="2590">
        <f ca="1">H118</f>
        <v>64775</v>
      </c>
      <c r="D104" s="2591"/>
      <c r="E104" s="1674" t="s">
        <v>1437</v>
      </c>
      <c r="F104" s="1666"/>
      <c r="G104" s="1828" t="s">
        <v>1435</v>
      </c>
      <c r="H104" s="2596">
        <f>IF(D36="同一抵押权人同一抵押物续贷",C36&amp;"（续贷，未扣减，详见特别提示）",C36)</f>
        <v>0</v>
      </c>
      <c r="I104" s="129"/>
    </row>
    <row r="105" spans="1:35" ht="18.75" customHeight="1" thickBot="1">
      <c r="A105" s="3585"/>
      <c r="B105" s="2592" t="s">
        <v>1433</v>
      </c>
      <c r="C105" s="2593">
        <f ca="1">I118</f>
        <v>16778</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81" t="str">
        <f>IF(项目基本情况!E8="已注销","——","3.房地产抵押价值")</f>
        <v>3.房地产抵押价值</v>
      </c>
      <c r="F107" s="3582"/>
      <c r="G107" s="1827" t="s">
        <v>1431</v>
      </c>
      <c r="H107" s="2595">
        <f ca="1">IF(E107="——","——",H101-H103)</f>
        <v>64775</v>
      </c>
      <c r="I107" s="129"/>
    </row>
    <row r="108" spans="1:35" ht="18.75" customHeight="1">
      <c r="A108" s="129"/>
      <c r="B108" s="129"/>
      <c r="C108" s="129"/>
      <c r="D108" s="129"/>
      <c r="E108" s="3581"/>
      <c r="F108" s="3582"/>
      <c r="G108" s="1827" t="s">
        <v>1433</v>
      </c>
      <c r="H108" s="2555">
        <f ca="1">IF(H107=H101,H102,ROUND(H107*10000/'数据-汇总表'!E3,0))</f>
        <v>16778</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1431</v>
      </c>
      <c r="H109" s="2598" t="str">
        <f>IF(E109="——","——",H101-H105-H106)</f>
        <v>——</v>
      </c>
      <c r="I109" s="129"/>
    </row>
    <row r="110" spans="1:35" ht="18.75" customHeight="1">
      <c r="A110" s="129"/>
      <c r="B110" s="129"/>
      <c r="C110" s="129"/>
      <c r="D110" s="129"/>
      <c r="E110" s="3581"/>
      <c r="F110" s="3582"/>
      <c r="G110" s="1827" t="s">
        <v>1433</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1431</v>
      </c>
      <c r="H111" s="2595" t="str">
        <f>IF(E111="——","——",N59)</f>
        <v>——</v>
      </c>
      <c r="I111" s="129"/>
    </row>
    <row r="112" spans="1:35" ht="18.75" customHeight="1" thickBot="1">
      <c r="A112" s="129"/>
      <c r="B112" s="129"/>
      <c r="C112" s="129"/>
      <c r="D112" s="129"/>
      <c r="E112" s="3614"/>
      <c r="F112" s="3615"/>
      <c r="G112" s="1830" t="s">
        <v>1433</v>
      </c>
      <c r="H112" s="2599" t="str">
        <f>IF(E111="——","——",N61)</f>
        <v>——</v>
      </c>
      <c r="I112" s="129"/>
    </row>
    <row r="113" spans="1:27" ht="18.75" customHeight="1">
      <c r="A113" s="129"/>
      <c r="B113" s="129"/>
      <c r="C113" s="129"/>
      <c r="D113" s="129"/>
      <c r="E113" s="3586" t="s">
        <v>1439</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1441</v>
      </c>
      <c r="B115" s="3597"/>
      <c r="C115" s="3597"/>
      <c r="D115" s="3597"/>
      <c r="E115" s="3597"/>
      <c r="F115" s="3597"/>
      <c r="G115" s="3597"/>
      <c r="H115" s="3597"/>
      <c r="I115" s="3598"/>
    </row>
    <row r="116" spans="1:27" ht="27" customHeight="1">
      <c r="A116" s="3552" t="s">
        <v>1442</v>
      </c>
      <c r="B116" s="3587" t="s">
        <v>1443</v>
      </c>
      <c r="C116" s="3587" t="s">
        <v>1444</v>
      </c>
      <c r="D116" s="3600" t="s">
        <v>1445</v>
      </c>
      <c r="E116" s="3601"/>
      <c r="F116" s="3595" t="s">
        <v>1446</v>
      </c>
      <c r="G116" s="3595"/>
      <c r="H116" s="3552" t="s">
        <v>1447</v>
      </c>
      <c r="I116" s="3552"/>
    </row>
    <row r="117" spans="1:27" ht="18.75" customHeight="1">
      <c r="A117" s="3552"/>
      <c r="B117" s="3588"/>
      <c r="C117" s="3588"/>
      <c r="D117" s="2329" t="s">
        <v>1448</v>
      </c>
      <c r="E117" s="2329" t="s">
        <v>1449</v>
      </c>
      <c r="F117" s="2329" t="s">
        <v>1448</v>
      </c>
      <c r="G117" s="2329" t="s">
        <v>1450</v>
      </c>
      <c r="H117" s="2329" t="s">
        <v>1448</v>
      </c>
      <c r="I117" s="2329" t="s">
        <v>1450</v>
      </c>
    </row>
    <row r="118" spans="1:27" ht="24.75" customHeight="1">
      <c r="A118" s="2600" t="str">
        <f>项目基本情况!S2</f>
        <v>北京市昌平区枫丹丽舍西路1号楼房地产</v>
      </c>
      <c r="B118" s="2329">
        <f>M18</f>
        <v>38606.39</v>
      </c>
      <c r="C118" s="2329">
        <f>M19</f>
        <v>40534.06</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64775</v>
      </c>
      <c r="I118" s="2329">
        <f ca="1">ROUND(IF(D32="楼面单价",C32,H118*10000/B118),0)</f>
        <v>16778</v>
      </c>
    </row>
    <row r="119" spans="1:27" ht="18.75" customHeight="1">
      <c r="A119" s="3552" t="s">
        <v>1451</v>
      </c>
      <c r="B119" s="3552"/>
      <c r="C119" s="3552"/>
      <c r="D119" s="3592" t="str">
        <f>NUMBERSTRING(INT(D118*10000),2)&amp;"元整"</f>
        <v>零元整</v>
      </c>
      <c r="E119" s="3594"/>
      <c r="F119" s="3592" t="str">
        <f>NUMBERSTRING(INT(F118*10000),2)&amp;"元整"</f>
        <v>零元整</v>
      </c>
      <c r="G119" s="3594"/>
      <c r="H119" s="3592" t="str">
        <f ca="1">NUMBERSTRING(INT(H118*10000),2)&amp;"元整"</f>
        <v>陆亿肆仟柒佰柒拾伍万元整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1451</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64775</v>
      </c>
      <c r="E122" s="3617"/>
      <c r="F122" s="3617"/>
      <c r="G122" s="3617"/>
      <c r="H122" s="3617"/>
      <c r="I122" s="3618"/>
      <c r="AA122" s="725"/>
    </row>
    <row r="123" spans="1:27" ht="18.75" customHeight="1">
      <c r="A123" s="3552" t="s">
        <v>1451</v>
      </c>
      <c r="B123" s="3552"/>
      <c r="C123" s="3552"/>
      <c r="D123" s="3592" t="str">
        <f ca="1">NUMBERSTRING(INT(D122*10000),2)&amp;"元整"</f>
        <v>陆亿肆仟柒佰柒拾伍万元整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1451</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1451</v>
      </c>
      <c r="B127" s="3552"/>
      <c r="C127" s="3552"/>
      <c r="D127" s="3592" t="e">
        <f>NUMBERSTRING(INT(D126*10000),2)&amp;"元整"</f>
        <v>#VALUE!</v>
      </c>
      <c r="E127" s="3593"/>
      <c r="F127" s="3593"/>
      <c r="G127" s="3593"/>
      <c r="H127" s="3593"/>
      <c r="I127" s="3594"/>
      <c r="AA127" s="725"/>
    </row>
    <row r="128" spans="1:27" ht="21.75" customHeight="1">
      <c r="A128" s="3599" t="s">
        <v>1452</v>
      </c>
      <c r="B128" s="3599"/>
      <c r="C128" s="3599"/>
      <c r="D128" s="3599"/>
      <c r="E128" s="3599"/>
      <c r="F128" s="3599"/>
      <c r="G128" s="3599"/>
      <c r="H128" s="3599"/>
      <c r="I128" s="359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J57" sqref="J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111412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28858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59693</v>
      </c>
      <c r="D5" s="211" t="s">
        <v>1468</v>
      </c>
      <c r="E5" s="212" t="s">
        <v>1469</v>
      </c>
      <c r="F5" s="212" t="s">
        <v>1470</v>
      </c>
      <c r="G5" s="213"/>
    </row>
    <row r="6" spans="1:9" s="214" customFormat="1" ht="13.5" customHeight="1">
      <c r="A6" s="778" t="s">
        <v>1471</v>
      </c>
      <c r="B6" s="215" t="s">
        <v>1472</v>
      </c>
      <c r="C6" s="216">
        <f>基准地价修正!B2</f>
        <v>57214</v>
      </c>
      <c r="D6" s="217"/>
      <c r="E6" s="218"/>
      <c r="F6" s="218"/>
      <c r="G6" s="219"/>
    </row>
    <row r="7" spans="1:9" s="214" customFormat="1" ht="13.5" customHeight="1">
      <c r="A7" s="778" t="s">
        <v>1473</v>
      </c>
      <c r="B7" s="215" t="s">
        <v>1474</v>
      </c>
      <c r="C7" s="220">
        <f>ROUND(C6*F7,0)</f>
        <v>1745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734</v>
      </c>
      <c r="D8" s="222"/>
      <c r="E8" s="220"/>
      <c r="F8" s="221"/>
      <c r="G8" s="1856" t="s">
        <v>3415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3416</v>
      </c>
      <c r="H9" s="1137"/>
      <c r="I9" s="1858" t="s">
        <v>1478</v>
      </c>
    </row>
    <row r="10" spans="1:9" s="214" customFormat="1" ht="13.5" customHeight="1">
      <c r="A10" s="779" t="s">
        <v>356</v>
      </c>
      <c r="B10" s="224" t="s">
        <v>1479</v>
      </c>
      <c r="C10" s="225">
        <f ca="1">ROUND(D10*E10/10000,0)</f>
        <v>734</v>
      </c>
      <c r="D10" s="845">
        <f ca="1">IF(B1="",'数据-汇总表'!E6,IF(INDIRECT("'数据-取费表'!c"&amp;$G$1)="住宅",INDIRECT("'数据-取费表'!s"&amp;$G$1),INDIRECT("'数据-取费表'!k"&amp;$G$1)+INDIRECT("'数据-取费表'!s"&amp;$G$1)))</f>
        <v>38606.39</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38606.39</v>
      </c>
      <c r="E19" s="211">
        <f>'数据-取费表'!B31</f>
        <v>200</v>
      </c>
      <c r="F19" s="231"/>
      <c r="G19" s="1856" t="s">
        <v>3417</v>
      </c>
    </row>
    <row r="20" spans="1:7" s="214" customFormat="1" ht="13.5" customHeight="1">
      <c r="A20" s="255" t="s">
        <v>1492</v>
      </c>
      <c r="B20" s="210" t="s">
        <v>1493</v>
      </c>
      <c r="C20" s="232">
        <f ca="1">ROUND((C5+C19)*F20,0)</f>
        <v>1194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3147</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3116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31</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9133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9133</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79176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28883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26395</v>
      </c>
      <c r="D34" s="217"/>
      <c r="E34" s="220"/>
      <c r="F34" s="257">
        <f ca="1">IF('数据-取费表'!B24=0,1,IF(B1="",'数据-取费表'!N16,INDIRECT("'数据-取费表'!n"&amp;$G$1)))</f>
        <v>1</v>
      </c>
      <c r="G34" s="219" t="s">
        <v>1525</v>
      </c>
    </row>
    <row r="35" spans="1:7" ht="13.5" customHeight="1">
      <c r="A35" s="780" t="s">
        <v>351</v>
      </c>
      <c r="B35" s="215" t="s">
        <v>1526</v>
      </c>
      <c r="C35" s="220">
        <f ca="1">ROUND(C34*F35,0)</f>
        <v>1320</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772</v>
      </c>
      <c r="D37" s="217">
        <f ca="1">D19</f>
        <v>38606.39</v>
      </c>
      <c r="E37" s="249">
        <f>'数据-取费表'!B35</f>
        <v>200</v>
      </c>
      <c r="F37" s="259"/>
      <c r="G37" s="261" t="s">
        <v>1531</v>
      </c>
    </row>
    <row r="38" spans="1:7" ht="13.5" customHeight="1">
      <c r="A38" s="780" t="s">
        <v>354</v>
      </c>
      <c r="B38" s="215" t="s">
        <v>1532</v>
      </c>
      <c r="C38" s="220">
        <f ca="1">ROUND(C34*F38,0)</f>
        <v>396</v>
      </c>
      <c r="D38" s="220"/>
      <c r="E38" s="220"/>
      <c r="F38" s="259">
        <f>'数据-取费表'!B36</f>
        <v>1.4999999999999999E-2</v>
      </c>
      <c r="G38" s="219" t="s">
        <v>1527</v>
      </c>
    </row>
    <row r="39" spans="1:7" s="214" customFormat="1" ht="13.5" customHeight="1">
      <c r="A39" s="255" t="s">
        <v>1533</v>
      </c>
      <c r="B39" s="210" t="s">
        <v>1534</v>
      </c>
      <c r="C39" s="232">
        <f ca="1">ROUND(C33*F20,0)</f>
        <v>578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759</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744</v>
      </c>
      <c r="D42" s="238"/>
      <c r="E42" s="238"/>
      <c r="F42" s="239"/>
      <c r="G42" s="3632" t="s">
        <v>1543</v>
      </c>
    </row>
    <row r="43" spans="1:7" ht="13.5" customHeight="1">
      <c r="A43" s="780" t="s">
        <v>347</v>
      </c>
      <c r="B43" s="215" t="s">
        <v>1544</v>
      </c>
      <c r="C43" s="238">
        <f ca="1">ROUND(IF('数据-取费表'!B22&lt;=1,C39*F22*'数据-取费表'!B21/2,C39*(POWER((1+F22),'数据-取费表'!B21/2)-1)),0)</f>
        <v>15</v>
      </c>
      <c r="D43" s="238"/>
      <c r="E43" s="238"/>
      <c r="F43" s="239"/>
      <c r="G43" s="3633"/>
    </row>
    <row r="44" spans="1:7" ht="13.5" customHeight="1">
      <c r="A44" s="780" t="s">
        <v>348</v>
      </c>
      <c r="B44" s="215" t="s">
        <v>1545</v>
      </c>
      <c r="C44" s="238">
        <f ca="1">ROUND(IF('数据-取费表'!B22&lt;=1,C40*F22*'数据-取费表'!B21/2,C40*(POWER((1+F22),'数据-取费表'!B21/2)-1)),4)</f>
        <v>5.0000000000000001E-4</v>
      </c>
      <c r="D44" s="238"/>
      <c r="E44" s="238"/>
      <c r="F44" s="239"/>
      <c r="G44" s="3634"/>
    </row>
    <row r="45" spans="1:7" s="214" customFormat="1" ht="13.5" customHeight="1">
      <c r="A45" s="255" t="s">
        <v>1546</v>
      </c>
      <c r="B45" s="244" t="s">
        <v>1512</v>
      </c>
      <c r="C45" s="245">
        <f ca="1">C46</f>
        <v>4419</v>
      </c>
      <c r="D45" s="235">
        <f ca="1">C47</f>
        <v>3.0000000000000001E-3</v>
      </c>
      <c r="E45" s="236" t="s">
        <v>1538</v>
      </c>
      <c r="F45" s="246">
        <f ca="1">F27</f>
        <v>0.15</v>
      </c>
      <c r="G45" s="247" t="s">
        <v>1547</v>
      </c>
    </row>
    <row r="46" spans="1:7" s="214" customFormat="1" ht="13.5" customHeight="1">
      <c r="A46" s="780" t="s">
        <v>346</v>
      </c>
      <c r="B46" s="248" t="s">
        <v>1548</v>
      </c>
      <c r="C46" s="249">
        <f ca="1">ROUND((C33+C39)*F27,0)</f>
        <v>4419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37484</v>
      </c>
      <c r="D49" s="232"/>
      <c r="E49" s="232"/>
      <c r="F49" s="264"/>
      <c r="G49" s="234" t="s">
        <v>1553</v>
      </c>
    </row>
    <row r="50" spans="1:7" s="258" customFormat="1" ht="24">
      <c r="A50" s="255" t="s">
        <v>1554</v>
      </c>
      <c r="B50" s="210" t="s">
        <v>1555</v>
      </c>
      <c r="C50" s="232"/>
      <c r="D50" s="232"/>
      <c r="E50" s="232"/>
      <c r="F50" s="264">
        <f>IF('数据-取费表'!B24=0,'数据-取费表'!N16,1)</f>
        <v>0.86</v>
      </c>
      <c r="G50" s="247" t="s">
        <v>1556</v>
      </c>
    </row>
    <row r="51" spans="1:7" ht="16.5" customHeight="1">
      <c r="A51" s="255" t="s">
        <v>1557</v>
      </c>
      <c r="B51" s="210" t="s">
        <v>1558</v>
      </c>
      <c r="C51" s="232">
        <f ca="1">ROUND(C49*F50,0)</f>
        <v>32236</v>
      </c>
      <c r="D51" s="232"/>
      <c r="E51" s="232"/>
      <c r="F51" s="264"/>
      <c r="G51" s="234" t="s">
        <v>1559</v>
      </c>
    </row>
    <row r="52" spans="1:7" s="208" customFormat="1" ht="16.5" thickBot="1">
      <c r="A52" s="265" t="s">
        <v>1560</v>
      </c>
      <c r="B52" s="266"/>
      <c r="C52" s="267">
        <f ca="1">C31+C51</f>
        <v>111412</v>
      </c>
      <c r="D52" s="266"/>
      <c r="E52" s="266"/>
      <c r="F52" s="266"/>
      <c r="G52" s="268"/>
    </row>
    <row r="55" spans="1:7" ht="15">
      <c r="B55" s="270" t="s">
        <v>1561</v>
      </c>
      <c r="C55" s="271"/>
    </row>
    <row r="56" spans="1:7">
      <c r="B56" s="273" t="s">
        <v>802</v>
      </c>
      <c r="C56" s="275">
        <f ca="1">1-C57</f>
        <v>0.71100000000000008</v>
      </c>
    </row>
    <row r="57" spans="1:7">
      <c r="B57" s="273" t="s">
        <v>803</v>
      </c>
      <c r="C57" s="274">
        <f ca="1">ROUND(C51/C52,3)</f>
        <v>0.28899999999999998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北京市昌平区枫丹丽舍西路1号楼房地产抵押价值预评估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4">
        <f ca="1">ROUND(IF(D2="——",C52/10000,C52/10000-E2),4)</f>
        <v>34233.1682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8867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7335214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7335214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7335214</v>
      </c>
      <c r="D10" s="845">
        <f ca="1">IF(B1="",'数据-汇总表'!E6,IF(INDIRECT("'数据-取费表'!c"&amp;$G$1)="住宅",INDIRECT("'数据-取费表'!s"&amp;$G$1),INDIRECT("'数据-取费表'!k"&amp;$G$1)+INDIRECT("'数据-取费表'!s"&amp;$G$1)))</f>
        <v>38606.39</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7721278</v>
      </c>
      <c r="D19" s="849">
        <f ca="1">D9+D10</f>
        <v>38606.39</v>
      </c>
      <c r="E19" s="211">
        <f>'数据-取费表'!B31</f>
        <v>200</v>
      </c>
      <c r="F19" s="231"/>
      <c r="G19" s="1856"/>
    </row>
    <row r="20" spans="1:7" s="214" customFormat="1" ht="13.5" customHeight="1">
      <c r="A20" s="255" t="s">
        <v>1573</v>
      </c>
      <c r="B20" s="210" t="s">
        <v>1574</v>
      </c>
      <c r="C20" s="232">
        <f ca="1">ROUND((C5+C19)*F20,0)</f>
        <v>301130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793615</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382853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403003</v>
      </c>
      <c r="D24" s="238"/>
      <c r="E24" s="238"/>
      <c r="F24" s="239"/>
      <c r="G24" s="240" t="s">
        <v>1585</v>
      </c>
    </row>
    <row r="25" spans="1:7" s="214" customFormat="1" ht="24">
      <c r="A25" s="780" t="s">
        <v>1475</v>
      </c>
      <c r="B25" s="215" t="s">
        <v>1586</v>
      </c>
      <c r="C25" s="1128">
        <f ca="1">ROUND(IF('数据-取费表'!B22&lt;=1,C20*F22*'数据-取费表'!B22/2,C20*(POWER((1+F22),'数据-取费表'!B22/2)-1)),0)</f>
        <v>7759</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2303643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2303643</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19970653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288830038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263951888</v>
      </c>
      <c r="D34" s="217"/>
      <c r="E34" s="220"/>
      <c r="F34" s="257"/>
      <c r="G34" s="219"/>
    </row>
    <row r="35" spans="1:7" ht="13.5" customHeight="1">
      <c r="A35" s="780" t="s">
        <v>351</v>
      </c>
      <c r="B35" s="215" t="s">
        <v>1526</v>
      </c>
      <c r="C35" s="220">
        <f ca="1">ROUND(C34*F35,0)</f>
        <v>13197594</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7721278</v>
      </c>
      <c r="D37" s="217">
        <f ca="1">D19</f>
        <v>38606.39</v>
      </c>
      <c r="E37" s="249">
        <f>'数据-取费表'!B35</f>
        <v>200</v>
      </c>
      <c r="F37" s="259"/>
      <c r="G37" s="261"/>
    </row>
    <row r="38" spans="1:7" ht="13.5" customHeight="1">
      <c r="A38" s="780" t="s">
        <v>354</v>
      </c>
      <c r="B38" s="215" t="s">
        <v>1532</v>
      </c>
      <c r="C38" s="220">
        <f ca="1">ROUND(C34*F38,0)</f>
        <v>3959278</v>
      </c>
      <c r="D38" s="220"/>
      <c r="E38" s="220"/>
      <c r="F38" s="259">
        <f>'数据-取费表'!B36</f>
        <v>1.4999999999999999E-2</v>
      </c>
      <c r="G38" s="219" t="s">
        <v>1527</v>
      </c>
    </row>
    <row r="39" spans="1:7" s="214" customFormat="1" ht="13.5" customHeight="1">
      <c r="A39" s="255" t="s">
        <v>1533</v>
      </c>
      <c r="B39" s="210" t="s">
        <v>1534</v>
      </c>
      <c r="C39" s="232">
        <f ca="1">ROUND(C33*F20,0)</f>
        <v>5776601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7590536</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7441702</v>
      </c>
      <c r="D42" s="238"/>
      <c r="E42" s="238"/>
      <c r="F42" s="239"/>
      <c r="G42" s="3632" t="s">
        <v>1590</v>
      </c>
    </row>
    <row r="43" spans="1:7" ht="13.5" customHeight="1">
      <c r="A43" s="780" t="s">
        <v>347</v>
      </c>
      <c r="B43" s="215" t="s">
        <v>1544</v>
      </c>
      <c r="C43" s="238">
        <f ca="1">ROUND(IF('数据-取费表'!B22&lt;=1,C39*F22*'数据-取费表'!B20/2,C39*(POWER((1+F22),'数据-取费表'!B20/2)-1)),0)</f>
        <v>148834</v>
      </c>
      <c r="D43" s="238"/>
      <c r="E43" s="238"/>
      <c r="F43" s="239"/>
      <c r="G43" s="3633"/>
    </row>
    <row r="44" spans="1:7" ht="13.5" customHeight="1">
      <c r="A44" s="780" t="s">
        <v>348</v>
      </c>
      <c r="B44" s="215" t="s">
        <v>1545</v>
      </c>
      <c r="C44" s="238">
        <f ca="1">ROUND(IF('数据-取费表'!B22&lt;=1,C40*F22*'数据-取费表'!B20/2,C40*(POWER((1+F22),'数据-取费表'!B20/2)-1)),4)</f>
        <v>5.0000000000000001E-4</v>
      </c>
      <c r="D44" s="238"/>
      <c r="E44" s="238"/>
      <c r="F44" s="239"/>
      <c r="G44" s="3634"/>
    </row>
    <row r="45" spans="1:7" s="214" customFormat="1" ht="13.5" customHeight="1">
      <c r="A45" s="255" t="s">
        <v>1546</v>
      </c>
      <c r="B45" s="244" t="s">
        <v>1512</v>
      </c>
      <c r="C45" s="245">
        <f ca="1">C46</f>
        <v>44190996</v>
      </c>
      <c r="D45" s="235">
        <f ca="1">C47</f>
        <v>3.0000000000000001E-3</v>
      </c>
      <c r="E45" s="236" t="s">
        <v>1538</v>
      </c>
      <c r="F45" s="246">
        <f ca="1">F27</f>
        <v>0.15</v>
      </c>
      <c r="G45" s="247" t="s">
        <v>1547</v>
      </c>
    </row>
    <row r="46" spans="1:7" s="214" customFormat="1" ht="13.5" customHeight="1">
      <c r="A46" s="780" t="s">
        <v>346</v>
      </c>
      <c r="B46" s="248" t="s">
        <v>1548</v>
      </c>
      <c r="C46" s="249">
        <f ca="1">ROUND((C33+C39)*F27,0)</f>
        <v>44190996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374838406</v>
      </c>
      <c r="D49" s="232"/>
      <c r="E49" s="232"/>
      <c r="F49" s="264"/>
      <c r="G49" s="234" t="s">
        <v>1553</v>
      </c>
    </row>
    <row r="50" spans="1:7" s="258" customFormat="1">
      <c r="A50" s="255" t="s">
        <v>1554</v>
      </c>
      <c r="B50" s="210" t="s">
        <v>1555</v>
      </c>
      <c r="C50" s="232"/>
      <c r="D50" s="232"/>
      <c r="E50" s="232"/>
      <c r="F50" s="264">
        <f>IF('数据-取费表'!B24=0,'数据-取费表'!N16,1)</f>
        <v>0.86</v>
      </c>
      <c r="G50" s="247"/>
    </row>
    <row r="51" spans="1:7" ht="16.5" customHeight="1">
      <c r="A51" s="255" t="s">
        <v>1557</v>
      </c>
      <c r="B51" s="210" t="s">
        <v>1592</v>
      </c>
      <c r="C51" s="232">
        <f ca="1">ROUND(C49*F50,0)</f>
        <v>322361029</v>
      </c>
      <c r="D51" s="232"/>
      <c r="E51" s="232"/>
      <c r="F51" s="264"/>
      <c r="G51" s="234" t="s">
        <v>1559</v>
      </c>
    </row>
    <row r="52" spans="1:7" s="208" customFormat="1" ht="16.5" thickBot="1">
      <c r="A52" s="265" t="s">
        <v>1560</v>
      </c>
      <c r="B52" s="266"/>
      <c r="C52" s="267">
        <f ca="1">C31+C51</f>
        <v>342331682</v>
      </c>
      <c r="D52" s="266"/>
      <c r="E52" s="266"/>
      <c r="F52" s="266"/>
      <c r="G52" s="268"/>
    </row>
    <row r="55" spans="1:7" ht="15">
      <c r="B55" s="270" t="s">
        <v>1561</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7</v>
      </c>
    </row>
    <row r="2" spans="1:33" ht="18" customHeight="1">
      <c r="A2" s="201" t="s">
        <v>1461</v>
      </c>
      <c r="B2" s="204">
        <f ca="1">C32</f>
        <v>0</v>
      </c>
      <c r="C2" s="276" t="s">
        <v>1594</v>
      </c>
      <c r="D2" s="276"/>
      <c r="E2" s="2806"/>
      <c r="F2" s="2806"/>
      <c r="G2" s="2806"/>
      <c r="H2" s="2806"/>
      <c r="I2" s="2806"/>
      <c r="J2" s="2806"/>
      <c r="K2" s="2806"/>
    </row>
    <row r="3" spans="1:33" ht="18" customHeight="1" thickBot="1">
      <c r="A3" s="203" t="s">
        <v>1463</v>
      </c>
      <c r="B3" s="204">
        <f ca="1">ROUND(B2*10000/IF(C1="",'数据-汇总表'!E3,INDIRECT("'数据-取费表'!K"&amp;$K$1)),0)</f>
        <v>0</v>
      </c>
      <c r="C3" s="276" t="s">
        <v>1595</v>
      </c>
      <c r="D3" s="276"/>
      <c r="E3" s="2806"/>
      <c r="F3" s="2806"/>
      <c r="G3" s="2806"/>
      <c r="H3" s="2806"/>
      <c r="I3" s="2806"/>
      <c r="J3" s="2806"/>
      <c r="K3" s="2806"/>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38606.39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38606.39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734</v>
      </c>
      <c r="D20" s="846">
        <f ca="1">IF(C1="",'数据-汇总表'!E6,IF(INDIRECT("'数据-取费表'!c"&amp;$K$1)="住宅",INDIRECT("'数据-取费表'!s"&amp;$K$1),INDIRECT("'数据-取费表'!k"&amp;$K$1)+INDIRECT("'数据-取费表'!s"&amp;$K$1)))</f>
        <v>38606.39</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33.31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-4547</v>
      </c>
      <c r="C2" s="1387" t="s">
        <v>805</v>
      </c>
      <c r="D2" s="1387"/>
      <c r="E2" s="1388"/>
      <c r="F2" s="1389"/>
      <c r="G2" s="2706"/>
      <c r="H2" s="2695"/>
      <c r="I2" s="2695"/>
      <c r="J2" s="2695"/>
      <c r="K2" s="2696"/>
      <c r="L2" s="2695"/>
      <c r="M2" s="2695"/>
    </row>
    <row r="3" spans="1:37" ht="18" customHeight="1" thickBot="1">
      <c r="A3" s="1390" t="s">
        <v>806</v>
      </c>
      <c r="B3" s="1391">
        <f ca="1">IF(ISERROR(B2*10000/F43),0,ROUND(B2*10000/F43,0))</f>
        <v>-1178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2108</v>
      </c>
      <c r="E6" s="302" t="s">
        <v>696</v>
      </c>
      <c r="F6" s="303">
        <f ca="1">INDIRECT("'数据-取费表'!u"&amp;$G$1)</f>
        <v>0</v>
      </c>
      <c r="G6" s="1384"/>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38606.39</v>
      </c>
      <c r="G7" s="1384"/>
      <c r="H7" s="304"/>
      <c r="I7" s="3638"/>
      <c r="J7" s="306"/>
      <c r="K7" s="307"/>
      <c r="L7" s="302" t="s">
        <v>697</v>
      </c>
      <c r="M7" s="303">
        <f ca="1">F7</f>
        <v>38606.39</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3395</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32236</v>
      </c>
      <c r="D13" s="1081" t="s">
        <v>705</v>
      </c>
      <c r="E13" s="1081" t="s">
        <v>706</v>
      </c>
      <c r="F13" s="1082">
        <f ca="1">INDIRECT("'数据-取费表'!y"&amp;$G$1)</f>
        <v>0.86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26395</v>
      </c>
      <c r="D14" s="1345" t="s">
        <v>708</v>
      </c>
      <c r="E14" s="1342"/>
      <c r="F14" s="319"/>
      <c r="G14" s="1384"/>
      <c r="H14" s="982" t="s">
        <v>398</v>
      </c>
      <c r="I14" s="302" t="s">
        <v>709</v>
      </c>
      <c r="J14" s="21">
        <f ca="1">C29</f>
        <v>37484</v>
      </c>
      <c r="K14" s="12"/>
      <c r="L14" s="807"/>
      <c r="M14" s="808"/>
    </row>
    <row r="15" spans="1:37" s="1397" customFormat="1" ht="18" customHeight="1" thickBot="1">
      <c r="A15" s="982" t="s">
        <v>399</v>
      </c>
      <c r="B15" s="302" t="s">
        <v>710</v>
      </c>
      <c r="C15" s="21">
        <f ca="1">ROUND(C14*F15,0)</f>
        <v>1320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381</v>
      </c>
      <c r="K16" s="1087" t="s">
        <v>715</v>
      </c>
      <c r="L16" s="1088"/>
      <c r="M16" s="1072"/>
    </row>
    <row r="17" spans="1:37" s="1397" customFormat="1" ht="18" customHeight="1">
      <c r="A17" s="982" t="s">
        <v>681</v>
      </c>
      <c r="B17" s="302" t="s">
        <v>716</v>
      </c>
      <c r="C17" s="21">
        <f ca="1">ROUND(F17*(F43+INDIRECT("'数据-取费表'!S"&amp;$G$1))/10000,0)</f>
        <v>772</v>
      </c>
      <c r="D17" s="302" t="s">
        <v>717</v>
      </c>
      <c r="E17" s="302" t="s">
        <v>718</v>
      </c>
      <c r="F17" s="23">
        <f>'数据-取费表'!B35</f>
        <v>200</v>
      </c>
      <c r="G17" s="1396"/>
      <c r="H17" s="982" t="s">
        <v>398</v>
      </c>
      <c r="I17" s="302" t="s">
        <v>719</v>
      </c>
      <c r="J17" s="2316">
        <f ca="1">ROUND(IF(AND(项目基本情况!B11="自然人",项目基本情况!B10="北京市"),J6*M17/(1+'数据-取费表'!C42),J18+J19+J20),2)</f>
        <v>6.08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28883</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578</v>
      </c>
      <c r="D20" s="323" t="s">
        <v>729</v>
      </c>
      <c r="E20" s="302" t="s">
        <v>712</v>
      </c>
      <c r="F20" s="322">
        <f>'数据-取费表'!B37</f>
        <v>0.02</v>
      </c>
      <c r="G20" s="1396"/>
      <c r="H20" s="982" t="s">
        <v>680</v>
      </c>
      <c r="I20" s="155" t="s">
        <v>730</v>
      </c>
      <c r="J20" s="22">
        <f ca="1">ROUND(M20*M21/10000,2)</f>
        <v>6.08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40534.06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374.84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759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-381</v>
      </c>
      <c r="K25" s="1095" t="s">
        <v>753</v>
      </c>
      <c r="L25" s="1096"/>
      <c r="M25" s="1097"/>
    </row>
    <row r="26" spans="1:37">
      <c r="A26" s="982" t="s">
        <v>397</v>
      </c>
      <c r="B26" s="302" t="s">
        <v>754</v>
      </c>
      <c r="C26" s="21">
        <f ca="1">ROUND((C19+C20)*F26,0)</f>
        <v>4419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37484</v>
      </c>
      <c r="D29" s="1092"/>
      <c r="E29" s="1090"/>
      <c r="F29" s="1093"/>
      <c r="G29" s="1396"/>
      <c r="H29" s="334" t="s">
        <v>396</v>
      </c>
      <c r="I29" s="335" t="s">
        <v>768</v>
      </c>
      <c r="J29" s="336">
        <f ca="1">ROUND(J26/(1+F40)^F41,0)</f>
        <v>0</v>
      </c>
      <c r="K29" s="337" t="s">
        <v>769</v>
      </c>
      <c r="L29" s="338"/>
      <c r="M29" s="339">
        <f ca="1">INDIRECT("'数据-取费表'!k"&amp;$G$1)</f>
        <v>38606.39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6.08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6.08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40534.06</v>
      </c>
      <c r="G35" s="1384"/>
      <c r="H35" s="2697"/>
      <c r="I35" s="1398"/>
      <c r="J35" s="1399"/>
      <c r="K35" s="2701"/>
      <c r="L35" s="2700"/>
      <c r="M35" s="2700"/>
    </row>
    <row r="36" spans="1:18" ht="18" customHeight="1">
      <c r="A36" s="1102" t="s">
        <v>402</v>
      </c>
      <c r="B36" s="302" t="s">
        <v>738</v>
      </c>
      <c r="C36" s="21">
        <f ca="1">ROUND(C29*F36,2)</f>
        <v>374.84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32.24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-413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-5895</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33.31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-1527</v>
      </c>
      <c r="D43" s="337" t="s">
        <v>777</v>
      </c>
      <c r="E43" s="338" t="s">
        <v>778</v>
      </c>
      <c r="F43" s="339">
        <f ca="1">INDIRECT("'数据-取费表'!k"&amp;$G$1)</f>
        <v>38606.39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1348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-5895</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33.31</v>
      </c>
      <c r="O48" s="1418" t="s">
        <v>404</v>
      </c>
      <c r="P48" s="1419" t="s">
        <v>821</v>
      </c>
      <c r="Q48" s="1420">
        <f ca="1">J60</f>
        <v>1348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2010</v>
      </c>
      <c r="K49" s="1423" t="s">
        <v>824</v>
      </c>
      <c r="L49" s="1427"/>
      <c r="O49" s="1428" t="s">
        <v>405</v>
      </c>
      <c r="P49" s="1419" t="s">
        <v>825</v>
      </c>
      <c r="Q49" s="1420">
        <f ca="1">C29</f>
        <v>37484</v>
      </c>
      <c r="R49" s="1420" t="s">
        <v>818</v>
      </c>
    </row>
    <row r="50" spans="1:18" s="1384" customFormat="1" ht="13.5" thickBot="1">
      <c r="A50" s="976"/>
      <c r="B50" s="979"/>
      <c r="C50" s="1118"/>
      <c r="D50" s="953"/>
      <c r="E50" s="1056" t="s">
        <v>697</v>
      </c>
      <c r="F50" s="1057">
        <f ca="1">F7</f>
        <v>38606.39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-44402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33.31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33.31</v>
      </c>
      <c r="K53" s="3635" t="s">
        <v>837</v>
      </c>
      <c r="L53" s="3636"/>
      <c r="O53" s="1418" t="s">
        <v>409</v>
      </c>
      <c r="P53" s="1419" t="s">
        <v>838</v>
      </c>
      <c r="Q53" s="1420">
        <f ca="1">Q47+Q48</f>
        <v>-4547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32236</v>
      </c>
      <c r="D56" s="1447"/>
      <c r="E56" s="1448"/>
      <c r="F56" s="1440"/>
      <c r="I56" s="1449" t="s">
        <v>842</v>
      </c>
      <c r="J56" s="1450" t="s">
        <v>3398</v>
      </c>
      <c r="K56" s="1421" t="s">
        <v>843</v>
      </c>
      <c r="L56" s="1424" t="str">
        <f ca="1">IF(L48&lt;J51,"——",L48-J53)</f>
        <v>——</v>
      </c>
      <c r="O56" s="1418" t="s">
        <v>403</v>
      </c>
      <c r="P56" s="1419" t="s">
        <v>817</v>
      </c>
      <c r="Q56" s="1420">
        <f ca="1">C40+J29</f>
        <v>-5895</v>
      </c>
      <c r="R56" s="1420" t="s">
        <v>818</v>
      </c>
    </row>
    <row r="57" spans="1:18" s="1384" customFormat="1" ht="24.75" thickBot="1">
      <c r="A57" s="1451"/>
      <c r="B57" s="950" t="s">
        <v>767</v>
      </c>
      <c r="C57" s="238">
        <f ca="1">C29</f>
        <v>37484</v>
      </c>
      <c r="D57" s="1452"/>
      <c r="E57" s="1453"/>
      <c r="F57" s="1454"/>
      <c r="I57" s="1455" t="s">
        <v>844</v>
      </c>
      <c r="J57" s="1456">
        <f ca="1">IF(OR(M47="住宅",J51&lt;L48,J56="是"),"——",J51-L48)</f>
        <v>12.689999999999998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14994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1348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6.08</v>
      </c>
      <c r="D62" s="965" t="s">
        <v>786</v>
      </c>
      <c r="E62" s="950" t="s">
        <v>787</v>
      </c>
      <c r="F62" s="325">
        <f t="shared" si="0"/>
        <v>1.5</v>
      </c>
      <c r="I62" s="1462" t="s">
        <v>858</v>
      </c>
      <c r="J62" s="1463" t="s">
        <v>859</v>
      </c>
      <c r="K62" s="1463" t="s">
        <v>860</v>
      </c>
      <c r="L62" s="1463" t="s">
        <v>861</v>
      </c>
      <c r="M62" s="1464" t="s">
        <v>862</v>
      </c>
      <c r="O62" s="1418" t="s">
        <v>409</v>
      </c>
      <c r="P62" s="1419" t="s">
        <v>863</v>
      </c>
      <c r="Q62" s="1420">
        <f ca="1">Q56+Q57</f>
        <v>-5895</v>
      </c>
      <c r="R62" s="1420" t="s">
        <v>410</v>
      </c>
    </row>
    <row r="63" spans="1:18" s="1384" customFormat="1" ht="13.5" thickBot="1">
      <c r="A63" s="326"/>
      <c r="B63" s="956"/>
      <c r="C63" s="26"/>
      <c r="D63" s="966"/>
      <c r="E63" s="950" t="s">
        <v>788</v>
      </c>
      <c r="F63" s="303">
        <f t="shared" ca="1" si="0"/>
        <v>40534.06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374.84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32.24</v>
      </c>
      <c r="D65" s="964" t="s">
        <v>743</v>
      </c>
      <c r="E65" s="950" t="s">
        <v>744</v>
      </c>
      <c r="F65" s="330">
        <f t="shared" ca="1" si="0"/>
        <v>1E-3</v>
      </c>
      <c r="I65" s="1462" t="s">
        <v>867</v>
      </c>
      <c r="J65" s="1463">
        <v>40</v>
      </c>
      <c r="K65" s="1463">
        <v>30</v>
      </c>
      <c r="L65" s="1463">
        <v>50</v>
      </c>
      <c r="M65" s="1465">
        <v>0.02</v>
      </c>
      <c r="O65" s="1418" t="s">
        <v>403</v>
      </c>
      <c r="P65" s="1419" t="s">
        <v>868</v>
      </c>
      <c r="Q65" s="1420">
        <f ca="1">C40+J29</f>
        <v>-5895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-413</v>
      </c>
      <c r="D67" s="963" t="s">
        <v>753</v>
      </c>
      <c r="E67" s="968"/>
      <c r="F67" s="969"/>
      <c r="O67" s="1428" t="s">
        <v>405</v>
      </c>
      <c r="P67" s="1419" t="s">
        <v>850</v>
      </c>
      <c r="Q67" s="1466">
        <f ca="1">L51</f>
        <v>-44402</v>
      </c>
      <c r="R67" s="1420" t="s">
        <v>870</v>
      </c>
    </row>
    <row r="68" spans="1:18" s="1384" customFormat="1" ht="16.5" thickBot="1">
      <c r="A68" s="947" t="s">
        <v>395</v>
      </c>
      <c r="B68" s="948" t="s">
        <v>774</v>
      </c>
      <c r="C68" s="301">
        <f ca="1">ROUND(C67*(1-((1+F70)/(1+F68))^F69)/(F68-F70),0)</f>
        <v>-5895</v>
      </c>
      <c r="D68" s="965" t="s">
        <v>758</v>
      </c>
      <c r="E68" s="950" t="s">
        <v>759</v>
      </c>
      <c r="F68" s="312">
        <f ca="1">F40</f>
        <v>0.06</v>
      </c>
      <c r="O68" s="1428" t="s">
        <v>406</v>
      </c>
      <c r="P68" s="1467" t="s">
        <v>871</v>
      </c>
      <c r="Q68" s="1420">
        <f ca="1">ROUND(Q69-Q70*Q71,0)</f>
        <v>-2670</v>
      </c>
      <c r="R68" s="1420" t="s">
        <v>414</v>
      </c>
    </row>
    <row r="69" spans="1:18" s="1384" customFormat="1" ht="13.5" thickBot="1">
      <c r="A69" s="951"/>
      <c r="B69" s="952"/>
      <c r="C69" s="306"/>
      <c r="D69" s="970" t="s">
        <v>762</v>
      </c>
      <c r="E69" s="950" t="s">
        <v>763</v>
      </c>
      <c r="F69" s="333">
        <f ca="1">F41</f>
        <v>33.31</v>
      </c>
      <c r="O69" s="1428" t="s">
        <v>411</v>
      </c>
      <c r="P69" s="1467" t="s">
        <v>872</v>
      </c>
      <c r="Q69" s="1420">
        <f ca="1">C39</f>
        <v>-413</v>
      </c>
      <c r="R69" s="1420" t="s">
        <v>818</v>
      </c>
    </row>
    <row r="70" spans="1:18" s="1384" customFormat="1" ht="13.5" thickBot="1">
      <c r="A70" s="954"/>
      <c r="B70" s="955"/>
      <c r="C70" s="310"/>
      <c r="D70" s="966"/>
      <c r="E70" s="950" t="s">
        <v>766</v>
      </c>
      <c r="F70" s="1054"/>
      <c r="O70" s="1428" t="s">
        <v>412</v>
      </c>
      <c r="P70" s="1467" t="s">
        <v>873</v>
      </c>
      <c r="Q70" s="1420">
        <f ca="1">C13</f>
        <v>32236</v>
      </c>
      <c r="R70" s="1420" t="s">
        <v>818</v>
      </c>
    </row>
    <row r="71" spans="1:18" s="1384" customFormat="1" ht="13.5" thickBot="1">
      <c r="A71" s="971" t="s">
        <v>396</v>
      </c>
      <c r="B71" s="972" t="s">
        <v>776</v>
      </c>
      <c r="C71" s="336">
        <f ca="1">ROUND(C68*10000/F71,0)</f>
        <v>-1527</v>
      </c>
      <c r="D71" s="973" t="s">
        <v>777</v>
      </c>
      <c r="E71" s="974" t="s">
        <v>778</v>
      </c>
      <c r="F71" s="339">
        <f ca="1">F43</f>
        <v>38606.39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2257</v>
      </c>
      <c r="D75" s="1384"/>
      <c r="E75" s="1384"/>
      <c r="F75" s="1384"/>
      <c r="K75" s="1402"/>
      <c r="L75" s="1384"/>
      <c r="O75" s="1418" t="s">
        <v>409</v>
      </c>
      <c r="P75" s="1419" t="s">
        <v>838</v>
      </c>
      <c r="Q75" s="1420">
        <f ca="1">Q65+Q66</f>
        <v>-5895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6.4649999999999999</v>
      </c>
    </row>
    <row r="80" spans="1:18">
      <c r="B80" s="340" t="s">
        <v>800</v>
      </c>
      <c r="C80" s="274">
        <f ca="1">ROUND(C75/C39,3)</f>
        <v>-5.4649999999999999</v>
      </c>
    </row>
    <row r="81" spans="2:3">
      <c r="B81" s="270" t="s">
        <v>801</v>
      </c>
      <c r="C81" s="238"/>
    </row>
    <row r="82" spans="2:3">
      <c r="B82" s="273" t="s">
        <v>802</v>
      </c>
      <c r="C82" s="275">
        <f ca="1">1-C83</f>
        <v>6.468</v>
      </c>
    </row>
    <row r="83" spans="2:3">
      <c r="B83" s="273" t="s">
        <v>803</v>
      </c>
      <c r="C83" s="274">
        <f ca="1">ROUND(C13/C40,3)</f>
        <v>-5.468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2105</v>
      </c>
      <c r="E6" s="302" t="s">
        <v>696</v>
      </c>
      <c r="F6" s="303">
        <f ca="1">INDIRECT("'数据-取费表'!u"&amp;$G$1)</f>
        <v>0</v>
      </c>
      <c r="G6" s="1384"/>
      <c r="H6" s="1069" t="s">
        <v>398</v>
      </c>
      <c r="I6" s="3637" t="s">
        <v>694</v>
      </c>
      <c r="J6" s="301">
        <f ca="1">ROUND(M6*M8*M7*(1-M9),0)</f>
        <v>0</v>
      </c>
      <c r="K6" s="1376"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#DIV/0!</v>
      </c>
      <c r="D45" s="3432"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abSelected="1" zoomScale="80" zoomScaleNormal="80" workbookViewId="0">
      <selection activeCell="I35" sqref="I35"/>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 ca="1">IF(D2="——",C40,C40+E2)</f>
        <v>33684</v>
      </c>
      <c r="C2" s="2844" t="s">
        <v>2319</v>
      </c>
      <c r="D2" s="3443" t="s">
        <v>3353</v>
      </c>
      <c r="E2" s="3444">
        <f ca="1">收益法!L46</f>
        <v>1348</v>
      </c>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 ca="1">ROUND(B2*10000/B4,0)</f>
        <v>8725</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f>'数据-汇总表'!E3</f>
        <v>38606.39</v>
      </c>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f>'数据-汇总表'!D3</f>
        <v>40534.06</v>
      </c>
      <c r="C5" s="2844"/>
      <c r="D5" s="2866"/>
      <c r="E5" s="2846"/>
      <c r="F5" s="2846"/>
      <c r="G5" s="2847"/>
      <c r="H5" s="2848"/>
      <c r="I5" s="2849"/>
      <c r="J5" s="2867" t="s">
        <v>2334</v>
      </c>
      <c r="K5" s="2868"/>
      <c r="L5" s="2868"/>
      <c r="M5" s="2869"/>
      <c r="N5" s="2869"/>
      <c r="O5" s="2869"/>
      <c r="P5" s="2869"/>
      <c r="Q5" s="2869"/>
      <c r="R5" s="2852">
        <f>SUM(R14,R19,R24,R25,R27,R28)</f>
        <v>5812</v>
      </c>
      <c r="S5" s="2841"/>
      <c r="T5" s="2841" t="s">
        <v>2335</v>
      </c>
      <c r="U5" s="2841" t="e">
        <f>ROUND(R5*10000/365/R3,1)</f>
        <v>#DIV/0!</v>
      </c>
      <c r="V5" s="2849"/>
    </row>
    <row r="6" spans="1:22" s="2853" customFormat="1" ht="13.15" customHeight="1" thickBot="1">
      <c r="A6" s="3654" t="s">
        <v>2336</v>
      </c>
      <c r="B6" s="3655"/>
      <c r="C6" s="3656"/>
      <c r="D6" s="2870">
        <f>R5</f>
        <v>5812</v>
      </c>
      <c r="E6" s="2871"/>
      <c r="F6" s="2872"/>
      <c r="G6" s="2873"/>
      <c r="H6" s="2848"/>
      <c r="I6" s="2849"/>
      <c r="J6" s="3640">
        <v>1</v>
      </c>
      <c r="K6" s="364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 ca="1">SUM(D9,D10,D11,D17,0)</f>
        <v>3256</v>
      </c>
      <c r="E7" s="2880">
        <f ca="1">E9+E10+E11+E17</f>
        <v>0.56028905712319332</v>
      </c>
      <c r="F7" s="2881"/>
      <c r="G7" s="2882"/>
      <c r="H7" s="2848"/>
      <c r="I7" s="2849"/>
      <c r="J7" s="3640"/>
      <c r="K7" s="3642"/>
      <c r="L7" s="3797" t="s">
        <v>3428</v>
      </c>
      <c r="M7" s="2884">
        <v>147</v>
      </c>
      <c r="N7" s="2860">
        <v>700</v>
      </c>
      <c r="O7" s="2885">
        <v>0.85</v>
      </c>
      <c r="P7" s="2885">
        <v>0.7</v>
      </c>
      <c r="Q7" s="2886">
        <v>365</v>
      </c>
      <c r="R7" s="2887">
        <f>ROUND(M7*N7*O7*P7*Q7/10000,0)</f>
        <v>2235</v>
      </c>
      <c r="S7" s="2841"/>
      <c r="T7" s="2841" t="s">
        <v>2347</v>
      </c>
      <c r="U7" s="2841"/>
      <c r="V7" s="2849"/>
    </row>
    <row r="8" spans="1:22" s="2853" customFormat="1" ht="13.15" customHeight="1">
      <c r="A8" s="2888" t="s">
        <v>2348</v>
      </c>
      <c r="B8" s="3657" t="s">
        <v>2349</v>
      </c>
      <c r="C8" s="3658"/>
      <c r="D8" s="2889" t="s">
        <v>2350</v>
      </c>
      <c r="E8" s="2890" t="s">
        <v>2351</v>
      </c>
      <c r="F8" s="2891" t="s">
        <v>2352</v>
      </c>
      <c r="G8" s="2892"/>
      <c r="H8" s="2848"/>
      <c r="I8" s="2849"/>
      <c r="J8" s="3640"/>
      <c r="K8" s="3642"/>
      <c r="L8" s="3797" t="s">
        <v>3429</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57" t="s">
        <v>2354</v>
      </c>
      <c r="C9" s="3658"/>
      <c r="D9" s="2889">
        <f>ROUND(D6*E9,0)</f>
        <v>1162</v>
      </c>
      <c r="E9" s="2893">
        <v>0.2</v>
      </c>
      <c r="F9" s="2894" t="s">
        <v>2355</v>
      </c>
      <c r="G9" s="2873"/>
      <c r="H9" s="2848"/>
      <c r="I9" s="2849"/>
      <c r="J9" s="3640"/>
      <c r="K9" s="3642"/>
      <c r="L9" s="3797" t="s">
        <v>3430</v>
      </c>
      <c r="M9" s="2884"/>
      <c r="N9" s="2860"/>
      <c r="O9" s="2885"/>
      <c r="P9" s="2885"/>
      <c r="Q9" s="2886">
        <v>365</v>
      </c>
      <c r="R9" s="2887">
        <f t="shared" si="0"/>
        <v>0</v>
      </c>
      <c r="S9" s="2841"/>
      <c r="T9" s="2841"/>
      <c r="U9" s="2841"/>
      <c r="V9" s="2849"/>
    </row>
    <row r="10" spans="1:22" s="2853" customFormat="1" ht="13.15" customHeight="1">
      <c r="A10" s="2888">
        <v>2</v>
      </c>
      <c r="B10" s="3657" t="s">
        <v>2356</v>
      </c>
      <c r="C10" s="3658"/>
      <c r="D10" s="2889">
        <f>ROUND(D6*E10,0)</f>
        <v>872</v>
      </c>
      <c r="E10" s="2893">
        <v>0.15</v>
      </c>
      <c r="F10" s="2894" t="s">
        <v>2357</v>
      </c>
      <c r="G10" s="2873"/>
      <c r="H10" s="2848"/>
      <c r="I10" s="2849"/>
      <c r="J10" s="3640"/>
      <c r="K10" s="3642"/>
      <c r="L10" s="2883"/>
      <c r="M10" s="2884"/>
      <c r="N10" s="2860"/>
      <c r="O10" s="2885"/>
      <c r="P10" s="2885"/>
      <c r="Q10" s="2886">
        <v>365</v>
      </c>
      <c r="R10" s="2887">
        <f t="shared" si="0"/>
        <v>0</v>
      </c>
      <c r="S10" s="2841"/>
      <c r="T10" s="2841"/>
      <c r="U10" s="2841"/>
      <c r="V10" s="2849"/>
    </row>
    <row r="11" spans="1:22" s="2853" customFormat="1" ht="13.15" customHeight="1">
      <c r="A11" s="2888">
        <v>3</v>
      </c>
      <c r="B11" s="3657" t="s">
        <v>2358</v>
      </c>
      <c r="C11" s="3658"/>
      <c r="D11" s="2889">
        <f ca="1">D12+D14+D15+D16</f>
        <v>641</v>
      </c>
      <c r="E11" s="2895">
        <f ca="1">D11/D6</f>
        <v>0.1102890571231934</v>
      </c>
      <c r="F11" s="2891"/>
      <c r="G11" s="2892"/>
      <c r="H11" s="2848"/>
      <c r="I11" s="2849"/>
      <c r="J11" s="3640"/>
      <c r="K11" s="3642"/>
      <c r="L11" s="2883"/>
      <c r="M11" s="2884"/>
      <c r="N11" s="2860"/>
      <c r="O11" s="2885"/>
      <c r="P11" s="2885"/>
      <c r="Q11" s="2886">
        <v>365</v>
      </c>
      <c r="R11" s="2887">
        <f t="shared" si="0"/>
        <v>0</v>
      </c>
      <c r="S11" s="2841"/>
      <c r="T11" s="2841"/>
      <c r="U11" s="2841"/>
      <c r="V11" s="2849"/>
    </row>
    <row r="12" spans="1:22" s="2853" customFormat="1" ht="13.15" customHeight="1">
      <c r="A12" s="2896" t="s">
        <v>2359</v>
      </c>
      <c r="B12" s="3650" t="s">
        <v>2360</v>
      </c>
      <c r="C12" s="3651"/>
      <c r="D12" s="2897">
        <f ca="1">ROUND(D13*1.2%*(1-30%),0)</f>
        <v>315</v>
      </c>
      <c r="E12" s="2898">
        <v>1.2E-2</v>
      </c>
      <c r="F12" s="2891" t="s">
        <v>2361</v>
      </c>
      <c r="G12" s="2892"/>
      <c r="H12" s="2848"/>
      <c r="I12" s="2849"/>
      <c r="J12" s="3640"/>
      <c r="K12" s="3642"/>
      <c r="L12" s="2883"/>
      <c r="M12" s="2884"/>
      <c r="N12" s="2860"/>
      <c r="O12" s="2885"/>
      <c r="P12" s="2885"/>
      <c r="Q12" s="2886">
        <v>365</v>
      </c>
      <c r="R12" s="2887">
        <f t="shared" si="0"/>
        <v>0</v>
      </c>
      <c r="S12" s="2841"/>
      <c r="T12" s="2841"/>
      <c r="U12" s="2841"/>
      <c r="V12" s="2849"/>
    </row>
    <row r="13" spans="1:22" s="2853" customFormat="1" ht="13.15" customHeight="1">
      <c r="A13" s="2896"/>
      <c r="B13" s="2899"/>
      <c r="C13" s="2900" t="s">
        <v>2362</v>
      </c>
      <c r="D13" s="2901">
        <f ca="1">收益法!C29</f>
        <v>37484</v>
      </c>
      <c r="E13" s="2902"/>
      <c r="F13" s="2891"/>
      <c r="G13" s="2892"/>
      <c r="H13" s="2848"/>
      <c r="I13" s="2849"/>
      <c r="J13" s="3640"/>
      <c r="K13" s="3642"/>
      <c r="L13" s="2883"/>
      <c r="M13" s="2884"/>
      <c r="N13" s="2860"/>
      <c r="O13" s="2885"/>
      <c r="P13" s="2885"/>
      <c r="Q13" s="2886">
        <v>365</v>
      </c>
      <c r="R13" s="2887">
        <f t="shared" si="0"/>
        <v>0</v>
      </c>
      <c r="S13" s="2841"/>
      <c r="T13" s="2841"/>
      <c r="U13" s="2841"/>
      <c r="V13" s="2849"/>
    </row>
    <row r="14" spans="1:22" s="2853" customFormat="1" ht="13.15" customHeight="1">
      <c r="A14" s="2896" t="s">
        <v>2363</v>
      </c>
      <c r="B14" s="3650" t="s">
        <v>2364</v>
      </c>
      <c r="C14" s="3651"/>
      <c r="D14" s="2897">
        <f>ROUND(E14*B5/10000,0)</f>
        <v>6</v>
      </c>
      <c r="E14" s="3796">
        <f>收益法!F34</f>
        <v>1.5</v>
      </c>
      <c r="F14" s="2891" t="s">
        <v>2365</v>
      </c>
      <c r="G14" s="2892"/>
      <c r="H14" s="2848"/>
      <c r="I14" s="2849"/>
      <c r="J14" s="3640"/>
      <c r="K14" s="3643"/>
      <c r="L14" s="2903" t="s">
        <v>2366</v>
      </c>
      <c r="M14" s="2904">
        <f>SUM(M7:M13)</f>
        <v>147</v>
      </c>
      <c r="N14" s="2904">
        <f>ROUND((N7*M7+N8*M8+N9*M9+N10*M10+N11*M11+N12*M12+N13*M13)/M14,0)</f>
        <v>700</v>
      </c>
      <c r="O14" s="2905"/>
      <c r="P14" s="2905"/>
      <c r="Q14" s="2906"/>
      <c r="R14" s="2852">
        <f>SUM(R7:R13)</f>
        <v>2235</v>
      </c>
      <c r="S14" s="2841"/>
      <c r="T14" s="2841"/>
      <c r="U14" s="2841"/>
      <c r="V14" s="2849"/>
    </row>
    <row r="15" spans="1:22" s="2853" customFormat="1" ht="13.15" customHeight="1">
      <c r="A15" s="2896" t="s">
        <v>2367</v>
      </c>
      <c r="B15" s="3650" t="s">
        <v>2368</v>
      </c>
      <c r="C15" s="3651"/>
      <c r="D15" s="2897">
        <f>ROUND(D6*E15,0)</f>
        <v>320</v>
      </c>
      <c r="E15" s="2898">
        <v>5.5E-2</v>
      </c>
      <c r="F15" s="2891" t="s">
        <v>2369</v>
      </c>
      <c r="G15" s="2873"/>
      <c r="H15" s="2848"/>
      <c r="I15" s="2849"/>
      <c r="J15" s="3640">
        <v>2</v>
      </c>
      <c r="K15" s="3641" t="s">
        <v>2370</v>
      </c>
      <c r="L15" s="2883" t="s">
        <v>2371</v>
      </c>
      <c r="M15" s="2884" t="s">
        <v>2372</v>
      </c>
      <c r="N15" s="2884" t="s">
        <v>2373</v>
      </c>
      <c r="O15" s="2885" t="s">
        <v>2374</v>
      </c>
      <c r="P15" s="2885" t="s">
        <v>2343</v>
      </c>
      <c r="Q15" s="2860" t="s">
        <v>2375</v>
      </c>
      <c r="R15" s="2907" t="s">
        <v>2344</v>
      </c>
      <c r="S15" s="2841"/>
      <c r="T15" s="2841"/>
      <c r="U15" s="2841"/>
      <c r="V15" s="2849"/>
    </row>
    <row r="16" spans="1:22" s="2853" customFormat="1" ht="13.15" customHeight="1">
      <c r="A16" s="2896" t="s">
        <v>2376</v>
      </c>
      <c r="B16" s="3650" t="s">
        <v>2377</v>
      </c>
      <c r="C16" s="3651"/>
      <c r="D16" s="2908">
        <f>D6*E16</f>
        <v>0</v>
      </c>
      <c r="E16" s="2909"/>
      <c r="F16" s="2894" t="s">
        <v>2378</v>
      </c>
      <c r="G16" s="2873"/>
      <c r="H16" s="2848"/>
      <c r="I16" s="2849"/>
      <c r="J16" s="3640"/>
      <c r="K16" s="3642"/>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2380</v>
      </c>
      <c r="C17" s="3653"/>
      <c r="D17" s="2911">
        <f>ROUND(D6*E17,0)</f>
        <v>581</v>
      </c>
      <c r="E17" s="2912">
        <v>0.1</v>
      </c>
      <c r="F17" s="2913" t="s">
        <v>2381</v>
      </c>
      <c r="G17" s="2873"/>
      <c r="H17" s="2848"/>
      <c r="I17" s="2849"/>
      <c r="J17" s="3640"/>
      <c r="K17" s="3642"/>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291</v>
      </c>
      <c r="E18" s="2915">
        <v>0.05</v>
      </c>
      <c r="F18" s="2916" t="s">
        <v>2384</v>
      </c>
      <c r="G18" s="2873"/>
      <c r="H18" s="2848"/>
      <c r="I18" s="2849"/>
      <c r="J18" s="3640"/>
      <c r="K18" s="3642"/>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640"/>
      <c r="K19" s="3643"/>
      <c r="L19" s="2903" t="s">
        <v>2366</v>
      </c>
      <c r="M19" s="2904"/>
      <c r="N19" s="2904">
        <f>SUM(N16:N18)</f>
        <v>0</v>
      </c>
      <c r="O19" s="2905"/>
      <c r="P19" s="2918" t="s">
        <v>3433</v>
      </c>
      <c r="Q19" s="2885">
        <v>0.5</v>
      </c>
      <c r="R19" s="2919">
        <f>ROUND(IF(P19="按比例",R14*Q19,SUM(R16:R18)),0)</f>
        <v>1118</v>
      </c>
      <c r="S19" s="2841"/>
      <c r="T19" s="2841"/>
      <c r="U19" s="2841"/>
      <c r="V19" s="2849"/>
    </row>
    <row r="20" spans="1:22" s="2853" customFormat="1" ht="13.15" customHeight="1">
      <c r="A20" s="2876"/>
      <c r="B20" s="2877"/>
      <c r="C20" s="2877"/>
      <c r="D20" s="2877"/>
      <c r="E20" s="2877"/>
      <c r="F20" s="2920"/>
      <c r="G20" s="2892"/>
      <c r="H20" s="2848"/>
      <c r="I20" s="2849"/>
      <c r="J20" s="3640">
        <v>3</v>
      </c>
      <c r="K20" s="3641"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640"/>
      <c r="K21" s="3642"/>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640"/>
      <c r="K22" s="3642"/>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5812</v>
      </c>
      <c r="D23" s="2934">
        <f>C23*(1+D24)</f>
        <v>5812</v>
      </c>
      <c r="E23" s="2935">
        <f>D23*(1+E24)</f>
        <v>5812</v>
      </c>
      <c r="F23" s="2936"/>
      <c r="G23" s="2937"/>
      <c r="H23" s="2848"/>
      <c r="I23" s="2849"/>
      <c r="J23" s="3640"/>
      <c r="K23" s="3642"/>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640"/>
      <c r="K24" s="3643"/>
      <c r="L24" s="2903" t="s">
        <v>2366</v>
      </c>
      <c r="M24" s="2904">
        <f>SUM(M21:M23)</f>
        <v>0</v>
      </c>
      <c r="N24" s="2904"/>
      <c r="O24" s="2905"/>
      <c r="P24" s="2918" t="s">
        <v>3433</v>
      </c>
      <c r="Q24" s="2885">
        <v>0.3</v>
      </c>
      <c r="R24" s="2919">
        <f>ROUND(IF(P24="按比例",R14*Q24,SUM(R21:R23)),0)</f>
        <v>671</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0.8</v>
      </c>
      <c r="R25" s="2919">
        <f>ROUND(R14*Q25,0)</f>
        <v>1788</v>
      </c>
      <c r="S25" s="2841"/>
      <c r="T25" s="2841"/>
      <c r="U25" s="2841"/>
      <c r="V25" s="2949"/>
    </row>
    <row r="26" spans="1:22" s="2950" customFormat="1" ht="13.15" customHeight="1">
      <c r="A26" s="2931">
        <v>2</v>
      </c>
      <c r="B26" s="2932" t="s">
        <v>2407</v>
      </c>
      <c r="C26" s="2933">
        <f ca="1">D7</f>
        <v>3256</v>
      </c>
      <c r="D26" s="2934">
        <f>D23*D27</f>
        <v>0</v>
      </c>
      <c r="E26" s="2935">
        <f>E23*E27</f>
        <v>0</v>
      </c>
      <c r="F26" s="2936"/>
      <c r="G26" s="2937"/>
      <c r="H26" s="2848"/>
      <c r="I26" s="2849"/>
      <c r="J26" s="3644">
        <v>5</v>
      </c>
      <c r="K26" s="2951" t="s">
        <v>2408</v>
      </c>
      <c r="L26" s="2952"/>
      <c r="M26" s="2953"/>
      <c r="N26" s="2954" t="s">
        <v>2409</v>
      </c>
      <c r="O26" s="2954" t="s">
        <v>2410</v>
      </c>
      <c r="P26" s="2955" t="s">
        <v>2411</v>
      </c>
      <c r="Q26" s="2955" t="s">
        <v>2412</v>
      </c>
      <c r="R26" s="2858" t="s">
        <v>2344</v>
      </c>
      <c r="S26" s="2956"/>
      <c r="T26" s="2956"/>
      <c r="U26" s="2956"/>
      <c r="V26" s="2949"/>
    </row>
    <row r="27" spans="1:22" s="2853" customFormat="1" ht="13.15" customHeight="1">
      <c r="A27" s="2938"/>
      <c r="B27" s="2939" t="s">
        <v>2413</v>
      </c>
      <c r="C27" s="2957">
        <f ca="1">E7</f>
        <v>0.56028905712319332</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290.60000000000002</v>
      </c>
      <c r="D29" s="2934">
        <f>D23*C30</f>
        <v>290.60000000000002</v>
      </c>
      <c r="E29" s="2935">
        <f>E23*C30</f>
        <v>290.60000000000002</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 ca="1">C23-C26-C29</f>
        <v>2265.4</v>
      </c>
      <c r="D32" s="2934">
        <f>D23-D26-D29</f>
        <v>5521.4</v>
      </c>
      <c r="E32" s="2935">
        <f>E23-E26-E29</f>
        <v>5521.4</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f ca="1">收益法!F40</f>
        <v>0.06</v>
      </c>
      <c r="D34" s="2978">
        <f ca="1">C34</f>
        <v>0.06</v>
      </c>
      <c r="E34" s="2979">
        <f ca="1">C34</f>
        <v>0.06</v>
      </c>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f ca="1">收益法!F42</f>
        <v>0</v>
      </c>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2424</v>
      </c>
      <c r="C36" s="2987">
        <f ca="1">收益法!F41</f>
        <v>33.31</v>
      </c>
      <c r="D36" s="2988"/>
      <c r="E36" s="2989"/>
      <c r="F36" s="2990">
        <f ca="1">C36+D36+E36</f>
        <v>33.31</v>
      </c>
      <c r="G36" s="2930"/>
      <c r="H36" s="2848"/>
      <c r="I36" s="2849"/>
      <c r="J36" s="3640">
        <v>1</v>
      </c>
      <c r="K36" s="3641" t="s">
        <v>2425</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2347</v>
      </c>
      <c r="U37" s="2841"/>
      <c r="V37" s="2849"/>
    </row>
    <row r="38" spans="1:23" s="2853" customFormat="1" ht="13.15" customHeight="1">
      <c r="A38" s="2931">
        <v>8</v>
      </c>
      <c r="B38" s="2932"/>
      <c r="C38" s="2889">
        <f ca="1">ROUND(C32*(1-((1+C35)/(1+C34))^C36)/(C34-C35),0)</f>
        <v>32336</v>
      </c>
      <c r="D38" s="2889">
        <f ca="1">IF(D23=0,0,ROUND(D32*(1-((1+D35)/(1+D34))^D36)/(D34-D35),0))</f>
        <v>0</v>
      </c>
      <c r="E38" s="2889">
        <f ca="1">IF(E23=0,0,ROUND(E32*(1-((1+E35)/(1+E34))^E36)/(E34-E35),0))</f>
        <v>0</v>
      </c>
      <c r="F38" s="2936"/>
      <c r="G38" s="2930"/>
      <c r="H38" s="2848"/>
      <c r="I38" s="2849"/>
      <c r="J38" s="3640"/>
      <c r="K38" s="3642"/>
      <c r="L38" s="2883"/>
      <c r="M38" s="2884"/>
      <c r="N38" s="2860"/>
      <c r="O38" s="2885"/>
      <c r="P38" s="2885"/>
      <c r="Q38" s="2886"/>
      <c r="R38" s="2887"/>
      <c r="S38" s="2922"/>
      <c r="T38" s="2841" t="s">
        <v>2353</v>
      </c>
      <c r="U38" s="2841"/>
      <c r="V38" s="2849"/>
    </row>
    <row r="39" spans="1:23" s="2853" customFormat="1" ht="13.15" customHeight="1">
      <c r="A39" s="2931">
        <v>9</v>
      </c>
      <c r="B39" s="2932" t="s">
        <v>2426</v>
      </c>
      <c r="C39" s="2897">
        <f ca="1">C38</f>
        <v>32336</v>
      </c>
      <c r="D39" s="2932">
        <f ca="1">D38/(1+D34)^C36</f>
        <v>0</v>
      </c>
      <c r="E39" s="2932">
        <f ca="1">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2427</v>
      </c>
      <c r="C40" s="2993">
        <f ca="1">C39+D39+E39</f>
        <v>32336</v>
      </c>
      <c r="D40" s="2994"/>
      <c r="E40" s="2994"/>
      <c r="F40" s="2995"/>
      <c r="G40" s="2930"/>
      <c r="H40" s="2848"/>
      <c r="I40" s="2849"/>
      <c r="J40" s="3640"/>
      <c r="K40" s="3643"/>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f ca="1">ROUND(C40*10000/B4,0)</f>
        <v>8376</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2408</v>
      </c>
      <c r="L42" s="2952"/>
      <c r="M42" s="2953"/>
      <c r="N42" s="2954" t="s">
        <v>2409</v>
      </c>
      <c r="O42" s="2954" t="s">
        <v>2410</v>
      </c>
      <c r="P42" s="2955" t="s">
        <v>2411</v>
      </c>
      <c r="Q42" s="2955" t="s">
        <v>2412</v>
      </c>
      <c r="R42" s="2858" t="s">
        <v>2344</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-4547</v>
      </c>
      <c r="C2" s="1872" t="s">
        <v>1650</v>
      </c>
      <c r="D2" s="1873" t="s">
        <v>1651</v>
      </c>
      <c r="E2" s="2607">
        <f>SUM(E6:E13)</f>
        <v>38606.39</v>
      </c>
      <c r="F2" s="2707"/>
      <c r="G2" s="1489"/>
      <c r="H2" s="1489"/>
      <c r="I2" s="1489"/>
      <c r="J2" s="1489"/>
      <c r="K2" s="1489"/>
      <c r="L2" s="1489"/>
      <c r="M2" s="1489"/>
      <c r="N2" s="1489"/>
      <c r="O2" s="1489"/>
      <c r="P2" s="1489"/>
      <c r="Q2" s="1489"/>
      <c r="R2" s="1489"/>
      <c r="S2" s="1489"/>
    </row>
    <row r="3" spans="1:22" ht="15.75">
      <c r="A3" s="1870" t="s">
        <v>686</v>
      </c>
      <c r="B3" s="2601">
        <f ca="1">ROUND(B2*10000/E2,0)</f>
        <v>-1178</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659" t="s">
        <v>1653</v>
      </c>
      <c r="C5" s="3660"/>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-4547</v>
      </c>
      <c r="C6" s="1872" t="s">
        <v>1650</v>
      </c>
      <c r="D6" s="2709"/>
      <c r="E6" s="2606">
        <f>IF(OR(A6=0,F6="否"),0,'数据-取费表'!K6+'数据-取费表'!S6)</f>
        <v>38606.39</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38606.39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79" t="s">
        <v>1666</v>
      </c>
      <c r="D4" s="3680"/>
      <c r="E4" s="3681" t="s">
        <v>1667</v>
      </c>
      <c r="F4" s="3682"/>
      <c r="G4" s="3679" t="s">
        <v>1668</v>
      </c>
      <c r="H4" s="3680"/>
      <c r="I4" s="3679" t="s">
        <v>1669</v>
      </c>
      <c r="J4" s="3680"/>
      <c r="K4" s="1889" t="s">
        <v>1670</v>
      </c>
      <c r="L4" s="2715"/>
      <c r="M4" s="2716"/>
      <c r="N4" s="2716"/>
      <c r="O4" s="2716"/>
      <c r="P4" s="3683" t="s">
        <v>1671</v>
      </c>
      <c r="Q4" s="3684"/>
      <c r="R4" s="3689" t="s">
        <v>1667</v>
      </c>
      <c r="S4" s="3690"/>
      <c r="T4" s="3689" t="s">
        <v>1668</v>
      </c>
      <c r="U4" s="3690"/>
      <c r="V4" s="3695" t="s">
        <v>1669</v>
      </c>
      <c r="W4" s="3695"/>
      <c r="X4" s="1355"/>
      <c r="Y4" s="3689" t="s">
        <v>1671</v>
      </c>
      <c r="Z4" s="3690"/>
      <c r="AA4" s="3676" t="s">
        <v>1667</v>
      </c>
      <c r="AB4" s="3676" t="s">
        <v>1668</v>
      </c>
      <c r="AC4" s="3676" t="s">
        <v>1669</v>
      </c>
    </row>
    <row r="5" spans="1:29" ht="15">
      <c r="A5" s="358"/>
      <c r="B5" s="359"/>
      <c r="C5" s="3698" t="s">
        <v>1672</v>
      </c>
      <c r="D5" s="3699"/>
      <c r="E5" s="3705" t="s">
        <v>1673</v>
      </c>
      <c r="F5" s="3706"/>
      <c r="G5" s="3698" t="s">
        <v>1674</v>
      </c>
      <c r="H5" s="3699"/>
      <c r="I5" s="3698" t="s">
        <v>1675</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1676</v>
      </c>
      <c r="D6" s="3697"/>
      <c r="E6" s="3703" t="s">
        <v>1676</v>
      </c>
      <c r="F6" s="3704"/>
      <c r="G6" s="3696" t="s">
        <v>1676</v>
      </c>
      <c r="H6" s="3697"/>
      <c r="I6" s="3696" t="s">
        <v>1676</v>
      </c>
      <c r="J6" s="3697"/>
      <c r="K6" s="1890" t="s">
        <v>1677</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1678</v>
      </c>
      <c r="B7" s="363"/>
      <c r="C7" s="364">
        <f>'数据-取费表'!B2</f>
        <v>45327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1679</v>
      </c>
      <c r="Q7" s="3702"/>
      <c r="R7" s="701" t="s">
        <v>20</v>
      </c>
      <c r="S7" s="702">
        <f t="shared" ref="S7:S15" si="0">F7</f>
        <v>0</v>
      </c>
      <c r="T7" s="701" t="s">
        <v>20</v>
      </c>
      <c r="U7" s="702">
        <f t="shared" ref="U7:U15" si="1">H7</f>
        <v>0</v>
      </c>
      <c r="V7" s="701" t="s">
        <v>20</v>
      </c>
      <c r="W7" s="702">
        <f t="shared" ref="W7:W15" si="2">J7</f>
        <v>0</v>
      </c>
      <c r="X7" s="703"/>
      <c r="Y7" s="3700" t="s">
        <v>1679</v>
      </c>
      <c r="Z7" s="370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1682</v>
      </c>
      <c r="Q8" s="3701"/>
      <c r="R8" s="701" t="s">
        <v>20</v>
      </c>
      <c r="S8" s="702">
        <f t="shared" si="0"/>
        <v>100</v>
      </c>
      <c r="T8" s="701" t="s">
        <v>20</v>
      </c>
      <c r="U8" s="702">
        <f t="shared" si="1"/>
        <v>100</v>
      </c>
      <c r="V8" s="701" t="s">
        <v>20</v>
      </c>
      <c r="W8" s="702">
        <f t="shared" si="2"/>
        <v>100</v>
      </c>
      <c r="X8" s="703"/>
      <c r="Y8" s="3700" t="s">
        <v>1682</v>
      </c>
      <c r="Z8" s="370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1685</v>
      </c>
      <c r="Q9" s="1343" t="str">
        <f t="shared" ref="Q9:Q15" si="6">B9</f>
        <v>用途</v>
      </c>
      <c r="R9" s="701" t="s">
        <v>14</v>
      </c>
      <c r="S9" s="702">
        <f t="shared" si="0"/>
        <v>100</v>
      </c>
      <c r="T9" s="701" t="s">
        <v>14</v>
      </c>
      <c r="U9" s="702">
        <f t="shared" si="1"/>
        <v>100</v>
      </c>
      <c r="V9" s="701" t="s">
        <v>14</v>
      </c>
      <c r="W9" s="702">
        <f t="shared" si="2"/>
        <v>100</v>
      </c>
      <c r="X9" s="703"/>
      <c r="Y9" s="3539"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1690</v>
      </c>
      <c r="Q15" s="1352" t="str">
        <f t="shared" si="6"/>
        <v>居住社区成熟度</v>
      </c>
      <c r="R15" s="705" t="s">
        <v>18</v>
      </c>
      <c r="S15" s="706">
        <f t="shared" si="0"/>
        <v>100</v>
      </c>
      <c r="T15" s="705" t="s">
        <v>18</v>
      </c>
      <c r="U15" s="706">
        <f t="shared" si="1"/>
        <v>100</v>
      </c>
      <c r="V15" s="705" t="s">
        <v>18</v>
      </c>
      <c r="W15" s="706">
        <f t="shared" si="2"/>
        <v>100</v>
      </c>
      <c r="X15" s="1355"/>
      <c r="Y15" s="366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1695</v>
      </c>
      <c r="Q32" s="1352" t="str">
        <f t="shared" si="11"/>
        <v>建筑类型</v>
      </c>
      <c r="R32" s="705" t="s">
        <v>18</v>
      </c>
      <c r="S32" s="706">
        <f t="shared" si="12"/>
        <v>100</v>
      </c>
      <c r="T32" s="705" t="s">
        <v>18</v>
      </c>
      <c r="U32" s="706">
        <f t="shared" si="13"/>
        <v>100</v>
      </c>
      <c r="V32" s="705" t="s">
        <v>18</v>
      </c>
      <c r="W32" s="706">
        <f t="shared" si="14"/>
        <v>100</v>
      </c>
      <c r="X32" s="1355"/>
      <c r="Y32" s="367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1695</v>
      </c>
      <c r="Q38" s="1352" t="str">
        <f t="shared" si="11"/>
        <v>物业管理</v>
      </c>
      <c r="R38" s="705" t="s">
        <v>18</v>
      </c>
      <c r="S38" s="706">
        <f t="shared" si="12"/>
        <v>100</v>
      </c>
      <c r="T38" s="705" t="s">
        <v>18</v>
      </c>
      <c r="U38" s="706">
        <f t="shared" si="13"/>
        <v>100</v>
      </c>
      <c r="V38" s="705" t="s">
        <v>18</v>
      </c>
      <c r="W38" s="706">
        <f t="shared" si="14"/>
        <v>100</v>
      </c>
      <c r="X38" s="1355"/>
      <c r="Y38" s="367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38606.39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89" t="s">
        <v>1770</v>
      </c>
      <c r="S4" s="3690"/>
      <c r="T4" s="3689" t="s">
        <v>1771</v>
      </c>
      <c r="U4" s="3690"/>
      <c r="V4" s="3695" t="s">
        <v>1772</v>
      </c>
      <c r="W4" s="3695"/>
      <c r="X4" s="1355"/>
      <c r="Y4" s="3689" t="s">
        <v>1774</v>
      </c>
      <c r="Z4" s="3690"/>
      <c r="AA4" s="3676" t="s">
        <v>1770</v>
      </c>
      <c r="AB4" s="3695" t="s">
        <v>1771</v>
      </c>
      <c r="AC4" s="3676" t="s">
        <v>1772</v>
      </c>
    </row>
    <row r="5" spans="1:29" ht="15">
      <c r="A5" s="358"/>
      <c r="B5" s="359"/>
      <c r="C5" s="3698" t="s">
        <v>1672</v>
      </c>
      <c r="D5" s="3699"/>
      <c r="E5" s="3705" t="s">
        <v>1673</v>
      </c>
      <c r="F5" s="3706"/>
      <c r="G5" s="3698" t="s">
        <v>1674</v>
      </c>
      <c r="H5" s="3699"/>
      <c r="I5" s="3698" t="s">
        <v>1675</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1676</v>
      </c>
      <c r="D6" s="3697"/>
      <c r="E6" s="3703" t="s">
        <v>1676</v>
      </c>
      <c r="F6" s="3704"/>
      <c r="G6" s="3696" t="s">
        <v>1676</v>
      </c>
      <c r="H6" s="3697"/>
      <c r="I6" s="3696" t="s">
        <v>1676</v>
      </c>
      <c r="J6" s="3697"/>
      <c r="K6" s="559" t="s">
        <v>1677</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1678</v>
      </c>
      <c r="B7" s="363"/>
      <c r="C7" s="364">
        <f>'数据-取费表'!B2</f>
        <v>45327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1679</v>
      </c>
      <c r="Q7" s="3702"/>
      <c r="R7" s="701" t="s">
        <v>14</v>
      </c>
      <c r="S7" s="702">
        <f t="shared" ref="S7:S15" si="0">F7</f>
        <v>0</v>
      </c>
      <c r="T7" s="701" t="s">
        <v>14</v>
      </c>
      <c r="U7" s="702">
        <f t="shared" ref="U7:U15" si="1">H7</f>
        <v>0</v>
      </c>
      <c r="V7" s="701" t="s">
        <v>14</v>
      </c>
      <c r="W7" s="702">
        <f t="shared" ref="W7:W15" si="2">J7</f>
        <v>0</v>
      </c>
      <c r="X7" s="703"/>
      <c r="Y7" s="3700" t="s">
        <v>1679</v>
      </c>
      <c r="Z7" s="370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1682</v>
      </c>
      <c r="Q8" s="3701"/>
      <c r="R8" s="701" t="s">
        <v>14</v>
      </c>
      <c r="S8" s="702">
        <f t="shared" si="0"/>
        <v>100</v>
      </c>
      <c r="T8" s="701" t="s">
        <v>14</v>
      </c>
      <c r="U8" s="702">
        <f t="shared" si="1"/>
        <v>100</v>
      </c>
      <c r="V8" s="701" t="s">
        <v>14</v>
      </c>
      <c r="W8" s="702">
        <f t="shared" si="2"/>
        <v>100</v>
      </c>
      <c r="X8" s="703"/>
      <c r="Y8" s="3700" t="s">
        <v>1682</v>
      </c>
      <c r="Z8" s="370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1685</v>
      </c>
      <c r="Q9" s="1343" t="str">
        <f t="shared" ref="Q9:Q15" si="6">B9</f>
        <v>用途</v>
      </c>
      <c r="R9" s="701" t="s">
        <v>14</v>
      </c>
      <c r="S9" s="702">
        <f t="shared" si="0"/>
        <v>100</v>
      </c>
      <c r="T9" s="701" t="s">
        <v>14</v>
      </c>
      <c r="U9" s="702">
        <f t="shared" si="1"/>
        <v>100</v>
      </c>
      <c r="V9" s="701" t="s">
        <v>14</v>
      </c>
      <c r="W9" s="702">
        <f t="shared" si="2"/>
        <v>100</v>
      </c>
      <c r="X9" s="703"/>
      <c r="Y9" s="3539"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1690</v>
      </c>
      <c r="Q15" s="1352" t="str">
        <f t="shared" si="6"/>
        <v>商业繁华度</v>
      </c>
      <c r="R15" s="705" t="s">
        <v>14</v>
      </c>
      <c r="S15" s="706">
        <f t="shared" si="0"/>
        <v>100</v>
      </c>
      <c r="T15" s="705" t="s">
        <v>14</v>
      </c>
      <c r="U15" s="706">
        <f t="shared" si="1"/>
        <v>100</v>
      </c>
      <c r="V15" s="705" t="s">
        <v>14</v>
      </c>
      <c r="W15" s="706">
        <f t="shared" si="2"/>
        <v>100</v>
      </c>
      <c r="X15" s="1355"/>
      <c r="Y15" s="366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1695</v>
      </c>
      <c r="Q32" s="1352" t="str">
        <f t="shared" si="11"/>
        <v>商业类型</v>
      </c>
      <c r="R32" s="705" t="s">
        <v>14</v>
      </c>
      <c r="S32" s="706">
        <f t="shared" si="12"/>
        <v>100</v>
      </c>
      <c r="T32" s="705" t="s">
        <v>14</v>
      </c>
      <c r="U32" s="706">
        <f t="shared" si="13"/>
        <v>100</v>
      </c>
      <c r="V32" s="705" t="s">
        <v>14</v>
      </c>
      <c r="W32" s="706">
        <f t="shared" si="14"/>
        <v>100</v>
      </c>
      <c r="X32" s="1355"/>
      <c r="Y32" s="367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1695</v>
      </c>
      <c r="Q38" s="1352" t="str">
        <f t="shared" si="11"/>
        <v>业态</v>
      </c>
      <c r="R38" s="705" t="s">
        <v>14</v>
      </c>
      <c r="S38" s="706">
        <f t="shared" si="12"/>
        <v>100</v>
      </c>
      <c r="T38" s="705" t="s">
        <v>14</v>
      </c>
      <c r="U38" s="706">
        <f t="shared" si="13"/>
        <v>100</v>
      </c>
      <c r="V38" s="705" t="s">
        <v>14</v>
      </c>
      <c r="W38" s="706">
        <f t="shared" si="14"/>
        <v>100</v>
      </c>
      <c r="X38" s="1355"/>
      <c r="Y38" s="367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38606.39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79" t="s">
        <v>1769</v>
      </c>
      <c r="D4" s="3680"/>
      <c r="E4" s="3681" t="s">
        <v>1770</v>
      </c>
      <c r="F4" s="3682"/>
      <c r="G4" s="3679" t="s">
        <v>1771</v>
      </c>
      <c r="H4" s="3680"/>
      <c r="I4" s="3679" t="s">
        <v>1772</v>
      </c>
      <c r="J4" s="3680"/>
      <c r="K4" s="559" t="s">
        <v>1773</v>
      </c>
      <c r="L4" s="2715"/>
      <c r="M4" s="2716"/>
      <c r="N4" s="2716"/>
      <c r="O4" s="2716"/>
      <c r="P4" s="3713" t="s">
        <v>1774</v>
      </c>
      <c r="Q4" s="3714"/>
      <c r="R4" s="3717" t="s">
        <v>1770</v>
      </c>
      <c r="S4" s="3718"/>
      <c r="T4" s="3717" t="s">
        <v>1771</v>
      </c>
      <c r="U4" s="3718"/>
      <c r="V4" s="3719" t="s">
        <v>1772</v>
      </c>
      <c r="W4" s="3719"/>
      <c r="X4" s="1958"/>
      <c r="Y4" s="3717" t="s">
        <v>1774</v>
      </c>
      <c r="Z4" s="3718"/>
      <c r="AA4" s="3721" t="s">
        <v>1770</v>
      </c>
      <c r="AB4" s="3721" t="s">
        <v>1771</v>
      </c>
      <c r="AC4" s="3710" t="s">
        <v>1772</v>
      </c>
    </row>
    <row r="5" spans="1:29" ht="15">
      <c r="A5" s="358"/>
      <c r="B5" s="359"/>
      <c r="C5" s="3698" t="s">
        <v>1672</v>
      </c>
      <c r="D5" s="3699"/>
      <c r="E5" s="3705" t="s">
        <v>1673</v>
      </c>
      <c r="F5" s="3706"/>
      <c r="G5" s="3698" t="s">
        <v>1674</v>
      </c>
      <c r="H5" s="3699"/>
      <c r="I5" s="3698" t="s">
        <v>1675</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1676</v>
      </c>
      <c r="D6" s="3697"/>
      <c r="E6" s="3703" t="s">
        <v>1676</v>
      </c>
      <c r="F6" s="3704"/>
      <c r="G6" s="3696" t="s">
        <v>1676</v>
      </c>
      <c r="H6" s="3697"/>
      <c r="I6" s="3696" t="s">
        <v>1676</v>
      </c>
      <c r="J6" s="3697"/>
      <c r="K6" s="559" t="s">
        <v>1677</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1678</v>
      </c>
      <c r="B7" s="363"/>
      <c r="C7" s="364">
        <f>'数据-取费表'!B2</f>
        <v>45327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1679</v>
      </c>
      <c r="Q7" s="3702"/>
      <c r="R7" s="701" t="s">
        <v>14</v>
      </c>
      <c r="S7" s="702">
        <f t="shared" ref="S7:S15" si="0">F7</f>
        <v>0</v>
      </c>
      <c r="T7" s="701" t="s">
        <v>14</v>
      </c>
      <c r="U7" s="702">
        <f t="shared" ref="U7:U15" si="1">H7</f>
        <v>0</v>
      </c>
      <c r="V7" s="701" t="s">
        <v>14</v>
      </c>
      <c r="W7" s="702">
        <f t="shared" ref="W7:W15" si="2">J7</f>
        <v>0</v>
      </c>
      <c r="X7" s="703"/>
      <c r="Y7" s="3700" t="s">
        <v>1679</v>
      </c>
      <c r="Z7" s="3701"/>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1682</v>
      </c>
      <c r="Q8" s="3701"/>
      <c r="R8" s="701" t="s">
        <v>14</v>
      </c>
      <c r="S8" s="702">
        <f t="shared" si="0"/>
        <v>100</v>
      </c>
      <c r="T8" s="701" t="s">
        <v>14</v>
      </c>
      <c r="U8" s="702">
        <f t="shared" si="1"/>
        <v>100</v>
      </c>
      <c r="V8" s="701" t="s">
        <v>14</v>
      </c>
      <c r="W8" s="702">
        <f t="shared" si="2"/>
        <v>100</v>
      </c>
      <c r="X8" s="703"/>
      <c r="Y8" s="3700" t="s">
        <v>1682</v>
      </c>
      <c r="Z8" s="3701"/>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1685</v>
      </c>
      <c r="Q9" s="1343" t="str">
        <f t="shared" ref="Q9:Q15" si="6">B9</f>
        <v>用途</v>
      </c>
      <c r="R9" s="701" t="s">
        <v>14</v>
      </c>
      <c r="S9" s="702">
        <f t="shared" si="0"/>
        <v>100</v>
      </c>
      <c r="T9" s="701" t="s">
        <v>14</v>
      </c>
      <c r="U9" s="702">
        <f t="shared" si="1"/>
        <v>100</v>
      </c>
      <c r="V9" s="701" t="s">
        <v>14</v>
      </c>
      <c r="W9" s="702">
        <f t="shared" si="2"/>
        <v>100</v>
      </c>
      <c r="X9" s="703"/>
      <c r="Y9" s="3539"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1690</v>
      </c>
      <c r="Q15" s="1352" t="str">
        <f t="shared" si="6"/>
        <v>办公集聚程度</v>
      </c>
      <c r="R15" s="705" t="s">
        <v>14</v>
      </c>
      <c r="S15" s="706">
        <f t="shared" si="0"/>
        <v>100</v>
      </c>
      <c r="T15" s="705" t="s">
        <v>14</v>
      </c>
      <c r="U15" s="706">
        <f t="shared" si="1"/>
        <v>100</v>
      </c>
      <c r="V15" s="705" t="s">
        <v>14</v>
      </c>
      <c r="W15" s="706">
        <f t="shared" si="2"/>
        <v>100</v>
      </c>
      <c r="X15" s="1355"/>
      <c r="Y15" s="366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1695</v>
      </c>
      <c r="Q33" s="1352" t="str">
        <f t="shared" si="11"/>
        <v>建筑类型</v>
      </c>
      <c r="R33" s="705" t="s">
        <v>14</v>
      </c>
      <c r="S33" s="706">
        <f t="shared" si="12"/>
        <v>100</v>
      </c>
      <c r="T33" s="705" t="s">
        <v>14</v>
      </c>
      <c r="U33" s="706">
        <f t="shared" si="13"/>
        <v>100</v>
      </c>
      <c r="V33" s="705" t="s">
        <v>14</v>
      </c>
      <c r="W33" s="706">
        <f t="shared" si="14"/>
        <v>100</v>
      </c>
      <c r="X33" s="1355"/>
      <c r="Y33" s="367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1695</v>
      </c>
      <c r="Q39" s="1352" t="str">
        <f t="shared" si="11"/>
        <v>物业管理</v>
      </c>
      <c r="R39" s="705" t="s">
        <v>14</v>
      </c>
      <c r="S39" s="706">
        <f t="shared" si="12"/>
        <v>100</v>
      </c>
      <c r="T39" s="705" t="s">
        <v>14</v>
      </c>
      <c r="U39" s="706">
        <f t="shared" si="13"/>
        <v>100</v>
      </c>
      <c r="V39" s="705" t="s">
        <v>14</v>
      </c>
      <c r="W39" s="706">
        <f t="shared" si="14"/>
        <v>100</v>
      </c>
      <c r="X39" s="1355"/>
      <c r="Y39" s="367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38606.39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913"/>
      <c r="M4" s="914"/>
      <c r="N4" s="914"/>
      <c r="O4" s="914"/>
      <c r="P4" s="3683" t="s">
        <v>1774</v>
      </c>
      <c r="Q4" s="3684"/>
      <c r="R4" s="3689" t="s">
        <v>1770</v>
      </c>
      <c r="S4" s="3690"/>
      <c r="T4" s="3689" t="s">
        <v>1771</v>
      </c>
      <c r="U4" s="3690"/>
      <c r="V4" s="3695" t="s">
        <v>1772</v>
      </c>
      <c r="W4" s="3695"/>
      <c r="X4" s="1355"/>
      <c r="Y4" s="3689" t="s">
        <v>1774</v>
      </c>
      <c r="Z4" s="3690"/>
      <c r="AA4" s="3676" t="s">
        <v>1770</v>
      </c>
      <c r="AB4" s="3677" t="s">
        <v>1771</v>
      </c>
      <c r="AC4" s="3676" t="s">
        <v>1772</v>
      </c>
    </row>
    <row r="5" spans="1:29" ht="15">
      <c r="A5" s="358"/>
      <c r="B5" s="359"/>
      <c r="C5" s="3698" t="s">
        <v>1672</v>
      </c>
      <c r="D5" s="3699"/>
      <c r="E5" s="3705" t="s">
        <v>1673</v>
      </c>
      <c r="F5" s="3706"/>
      <c r="G5" s="3698" t="s">
        <v>1674</v>
      </c>
      <c r="H5" s="3699"/>
      <c r="I5" s="3698" t="s">
        <v>1675</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1676</v>
      </c>
      <c r="D6" s="3697"/>
      <c r="E6" s="3703" t="s">
        <v>1676</v>
      </c>
      <c r="F6" s="3704"/>
      <c r="G6" s="3696" t="s">
        <v>1676</v>
      </c>
      <c r="H6" s="3697"/>
      <c r="I6" s="3696" t="s">
        <v>1676</v>
      </c>
      <c r="J6" s="3697"/>
      <c r="K6" s="559" t="s">
        <v>1677</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1678</v>
      </c>
      <c r="B7" s="363"/>
      <c r="C7" s="364">
        <f>'数据-取费表'!B2</f>
        <v>45327</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1679</v>
      </c>
      <c r="Q7" s="3702"/>
      <c r="R7" s="701" t="s">
        <v>14</v>
      </c>
      <c r="S7" s="702">
        <f t="shared" ref="S7:S15" si="0">F7</f>
        <v>0</v>
      </c>
      <c r="T7" s="701" t="s">
        <v>14</v>
      </c>
      <c r="U7" s="702">
        <f t="shared" ref="U7:U15" si="1">H7</f>
        <v>0</v>
      </c>
      <c r="V7" s="701" t="s">
        <v>14</v>
      </c>
      <c r="W7" s="702">
        <f t="shared" ref="W7:W15" si="2">J7</f>
        <v>0</v>
      </c>
      <c r="X7" s="703"/>
      <c r="Y7" s="3700" t="s">
        <v>1679</v>
      </c>
      <c r="Z7" s="370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1682</v>
      </c>
      <c r="Q8" s="3701"/>
      <c r="R8" s="701" t="s">
        <v>14</v>
      </c>
      <c r="S8" s="702">
        <f t="shared" si="0"/>
        <v>100</v>
      </c>
      <c r="T8" s="701" t="s">
        <v>14</v>
      </c>
      <c r="U8" s="702">
        <f t="shared" si="1"/>
        <v>100</v>
      </c>
      <c r="V8" s="701" t="s">
        <v>14</v>
      </c>
      <c r="W8" s="702">
        <f t="shared" si="2"/>
        <v>100</v>
      </c>
      <c r="X8" s="703"/>
      <c r="Y8" s="3700" t="s">
        <v>1682</v>
      </c>
      <c r="Z8" s="370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1685</v>
      </c>
      <c r="Q9" s="1343" t="str">
        <f t="shared" ref="Q9:Q15" si="6">B9</f>
        <v>用途</v>
      </c>
      <c r="R9" s="701" t="s">
        <v>14</v>
      </c>
      <c r="S9" s="702">
        <f t="shared" si="0"/>
        <v>100</v>
      </c>
      <c r="T9" s="701" t="s">
        <v>14</v>
      </c>
      <c r="U9" s="702">
        <f t="shared" si="1"/>
        <v>100</v>
      </c>
      <c r="V9" s="701" t="s">
        <v>14</v>
      </c>
      <c r="W9" s="702">
        <f t="shared" si="2"/>
        <v>100</v>
      </c>
      <c r="X9" s="703"/>
      <c r="Y9" s="3539"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1690</v>
      </c>
      <c r="Q15" s="1352" t="str">
        <f t="shared" si="6"/>
        <v>产业集聚程度</v>
      </c>
      <c r="R15" s="705" t="s">
        <v>14</v>
      </c>
      <c r="S15" s="706">
        <f t="shared" si="0"/>
        <v>100</v>
      </c>
      <c r="T15" s="705" t="s">
        <v>14</v>
      </c>
      <c r="U15" s="706">
        <f t="shared" si="1"/>
        <v>100</v>
      </c>
      <c r="V15" s="705" t="s">
        <v>14</v>
      </c>
      <c r="W15" s="706">
        <f t="shared" si="2"/>
        <v>100</v>
      </c>
      <c r="X15" s="1355"/>
      <c r="Y15" s="366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1695</v>
      </c>
      <c r="Q29" s="1352" t="str">
        <f t="shared" si="11"/>
        <v>建筑类型</v>
      </c>
      <c r="R29" s="705" t="s">
        <v>14</v>
      </c>
      <c r="S29" s="706">
        <f t="shared" si="12"/>
        <v>100</v>
      </c>
      <c r="T29" s="705" t="s">
        <v>14</v>
      </c>
      <c r="U29" s="706">
        <f t="shared" si="13"/>
        <v>100</v>
      </c>
      <c r="V29" s="705" t="s">
        <v>14</v>
      </c>
      <c r="W29" s="706">
        <f t="shared" si="14"/>
        <v>100</v>
      </c>
      <c r="X29" s="1355"/>
      <c r="Y29" s="367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1695</v>
      </c>
      <c r="Q35" s="1352" t="str">
        <f t="shared" si="11"/>
        <v>市政基础设施</v>
      </c>
      <c r="R35" s="705" t="s">
        <v>14</v>
      </c>
      <c r="S35" s="706">
        <f t="shared" si="12"/>
        <v>100</v>
      </c>
      <c r="T35" s="705" t="s">
        <v>14</v>
      </c>
      <c r="U35" s="706">
        <f t="shared" si="13"/>
        <v>100</v>
      </c>
      <c r="V35" s="705" t="s">
        <v>14</v>
      </c>
      <c r="W35" s="706">
        <f t="shared" si="14"/>
        <v>100</v>
      </c>
      <c r="X35" s="1355"/>
      <c r="Y35" s="367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受贵公司委托，我公司对北京市昌平区枫丹丽舍西路1号楼房地产抵押价值进行了预评估。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估价对象为北京市昌平区枫丹丽舍西路1号楼房地产，为所有。根据《国有土地使用证》[]，估价对象（分摊）出让国有建设用地使用权面积为40534.06平方米，建筑面积为38606.39平方米。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枫丹丽舍西路1号楼房地产,属开发建设的，该项目尚在开发建设中。根据《国有土地使用证》[]，估价对象（分摊）出让国有建设用地使用权面积为40534.06平方米，规划建筑面积为38606.39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89" t="s">
        <v>1770</v>
      </c>
      <c r="S4" s="3690"/>
      <c r="T4" s="3689" t="s">
        <v>1771</v>
      </c>
      <c r="U4" s="3690"/>
      <c r="V4" s="3695" t="s">
        <v>1772</v>
      </c>
      <c r="W4" s="3695"/>
      <c r="X4" s="1355"/>
      <c r="Y4" s="3689" t="s">
        <v>1774</v>
      </c>
      <c r="Z4" s="3690"/>
      <c r="AA4" s="3676" t="s">
        <v>1770</v>
      </c>
      <c r="AB4" s="3677" t="s">
        <v>1771</v>
      </c>
      <c r="AC4" s="3676" t="s">
        <v>1772</v>
      </c>
    </row>
    <row r="5" spans="1:29" ht="15">
      <c r="A5" s="358"/>
      <c r="B5" s="359"/>
      <c r="C5" s="3698" t="s">
        <v>1672</v>
      </c>
      <c r="D5" s="3699"/>
      <c r="E5" s="3705" t="s">
        <v>1673</v>
      </c>
      <c r="F5" s="3706"/>
      <c r="G5" s="3698" t="s">
        <v>1674</v>
      </c>
      <c r="H5" s="3699"/>
      <c r="I5" s="3698" t="s">
        <v>1675</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1676</v>
      </c>
      <c r="D6" s="3697"/>
      <c r="E6" s="3703" t="s">
        <v>1676</v>
      </c>
      <c r="F6" s="3704"/>
      <c r="G6" s="3696" t="s">
        <v>1676</v>
      </c>
      <c r="H6" s="3697"/>
      <c r="I6" s="3696" t="s">
        <v>1676</v>
      </c>
      <c r="J6" s="3697"/>
      <c r="K6" s="559" t="s">
        <v>1677</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1678</v>
      </c>
      <c r="B7" s="363"/>
      <c r="C7" s="364">
        <f>'数据-取费表'!B2</f>
        <v>45327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1679</v>
      </c>
      <c r="Q7" s="3702"/>
      <c r="R7" s="701" t="s">
        <v>14</v>
      </c>
      <c r="S7" s="702">
        <f t="shared" ref="S7:S14" si="0">F7</f>
        <v>0</v>
      </c>
      <c r="T7" s="701" t="s">
        <v>14</v>
      </c>
      <c r="U7" s="702">
        <f t="shared" ref="U7:U14" si="1">H7</f>
        <v>0</v>
      </c>
      <c r="V7" s="701" t="s">
        <v>14</v>
      </c>
      <c r="W7" s="702">
        <f t="shared" ref="W7:W14" si="2">J7</f>
        <v>0</v>
      </c>
      <c r="X7" s="703"/>
      <c r="Y7" s="3700" t="s">
        <v>1679</v>
      </c>
      <c r="Z7" s="370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1682</v>
      </c>
      <c r="Q8" s="3701"/>
      <c r="R8" s="701" t="s">
        <v>14</v>
      </c>
      <c r="S8" s="702">
        <f t="shared" si="0"/>
        <v>100</v>
      </c>
      <c r="T8" s="701" t="s">
        <v>14</v>
      </c>
      <c r="U8" s="702">
        <f t="shared" si="1"/>
        <v>100</v>
      </c>
      <c r="V8" s="701" t="s">
        <v>14</v>
      </c>
      <c r="W8" s="702">
        <f t="shared" si="2"/>
        <v>100</v>
      </c>
      <c r="X8" s="703"/>
      <c r="Y8" s="3700" t="s">
        <v>1682</v>
      </c>
      <c r="Z8" s="370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1685</v>
      </c>
      <c r="Q9" s="1343" t="str">
        <f t="shared" ref="Q9:Q14" si="6">B9</f>
        <v>用途</v>
      </c>
      <c r="R9" s="701" t="s">
        <v>14</v>
      </c>
      <c r="S9" s="702">
        <f t="shared" si="0"/>
        <v>100</v>
      </c>
      <c r="T9" s="701" t="s">
        <v>14</v>
      </c>
      <c r="U9" s="702">
        <f t="shared" si="1"/>
        <v>100</v>
      </c>
      <c r="V9" s="701" t="s">
        <v>14</v>
      </c>
      <c r="W9" s="702">
        <f t="shared" si="2"/>
        <v>100</v>
      </c>
      <c r="X9" s="703"/>
      <c r="Y9" s="3539"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1690</v>
      </c>
      <c r="Q14" s="1352" t="str">
        <f t="shared" si="6"/>
        <v>交通便捷度</v>
      </c>
      <c r="R14" s="705" t="s">
        <v>14</v>
      </c>
      <c r="S14" s="706">
        <f t="shared" si="0"/>
        <v>100</v>
      </c>
      <c r="T14" s="705" t="s">
        <v>14</v>
      </c>
      <c r="U14" s="706">
        <f t="shared" si="1"/>
        <v>100</v>
      </c>
      <c r="V14" s="705" t="s">
        <v>14</v>
      </c>
      <c r="W14" s="706">
        <f t="shared" si="2"/>
        <v>100</v>
      </c>
      <c r="X14" s="1355"/>
      <c r="Y14" s="366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1695</v>
      </c>
      <c r="Q32" s="1352" t="str">
        <f t="shared" si="11"/>
        <v>车位类型</v>
      </c>
      <c r="R32" s="705" t="s">
        <v>14</v>
      </c>
      <c r="S32" s="706">
        <f t="shared" si="12"/>
        <v>100</v>
      </c>
      <c r="T32" s="705" t="s">
        <v>14</v>
      </c>
      <c r="U32" s="706">
        <f t="shared" si="13"/>
        <v>100</v>
      </c>
      <c r="V32" s="705" t="s">
        <v>14</v>
      </c>
      <c r="W32" s="706">
        <f t="shared" si="14"/>
        <v>100</v>
      </c>
      <c r="X32" s="1355"/>
      <c r="Y32" s="367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1843</v>
      </c>
      <c r="B37" s="1973" t="s">
        <v>3348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89" t="s">
        <v>1770</v>
      </c>
      <c r="S4" s="3690"/>
      <c r="T4" s="3689" t="s">
        <v>1771</v>
      </c>
      <c r="U4" s="3690"/>
      <c r="V4" s="3695" t="s">
        <v>1772</v>
      </c>
      <c r="W4" s="3695"/>
      <c r="X4" s="1355"/>
      <c r="Y4" s="3689" t="s">
        <v>1774</v>
      </c>
      <c r="Z4" s="3690"/>
      <c r="AA4" s="3676" t="s">
        <v>1770</v>
      </c>
      <c r="AB4" s="3677" t="s">
        <v>1771</v>
      </c>
      <c r="AC4" s="3676" t="s">
        <v>1772</v>
      </c>
    </row>
    <row r="5" spans="1:29" ht="15">
      <c r="A5" s="358"/>
      <c r="B5" s="359"/>
      <c r="C5" s="3698" t="s">
        <v>1672</v>
      </c>
      <c r="D5" s="3699"/>
      <c r="E5" s="3705" t="s">
        <v>1673</v>
      </c>
      <c r="F5" s="3706"/>
      <c r="G5" s="3698" t="s">
        <v>1674</v>
      </c>
      <c r="H5" s="3699"/>
      <c r="I5" s="3698" t="s">
        <v>1675</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1676</v>
      </c>
      <c r="D6" s="3697"/>
      <c r="E6" s="3703" t="s">
        <v>1676</v>
      </c>
      <c r="F6" s="3704"/>
      <c r="G6" s="3696" t="s">
        <v>1676</v>
      </c>
      <c r="H6" s="3697"/>
      <c r="I6" s="3696" t="s">
        <v>1676</v>
      </c>
      <c r="J6" s="3697"/>
      <c r="K6" s="559" t="s">
        <v>1677</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1678</v>
      </c>
      <c r="B7" s="363"/>
      <c r="C7" s="364">
        <f>'数据-取费表'!B2</f>
        <v>45327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1679</v>
      </c>
      <c r="Q7" s="3702"/>
      <c r="R7" s="701" t="s">
        <v>14</v>
      </c>
      <c r="S7" s="702">
        <f t="shared" ref="S7:S14" si="0">F7</f>
        <v>0</v>
      </c>
      <c r="T7" s="701" t="s">
        <v>14</v>
      </c>
      <c r="U7" s="702">
        <f t="shared" ref="U7:U14" si="1">H7</f>
        <v>0</v>
      </c>
      <c r="V7" s="701" t="s">
        <v>14</v>
      </c>
      <c r="W7" s="702">
        <f t="shared" ref="W7:W14" si="2">J7</f>
        <v>0</v>
      </c>
      <c r="X7" s="703"/>
      <c r="Y7" s="3700" t="s">
        <v>1679</v>
      </c>
      <c r="Z7" s="370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1682</v>
      </c>
      <c r="Q8" s="3701"/>
      <c r="R8" s="701" t="s">
        <v>14</v>
      </c>
      <c r="S8" s="702">
        <f t="shared" si="0"/>
        <v>100</v>
      </c>
      <c r="T8" s="701" t="s">
        <v>14</v>
      </c>
      <c r="U8" s="702">
        <f t="shared" si="1"/>
        <v>100</v>
      </c>
      <c r="V8" s="701" t="s">
        <v>14</v>
      </c>
      <c r="W8" s="702">
        <f t="shared" si="2"/>
        <v>100</v>
      </c>
      <c r="X8" s="703"/>
      <c r="Y8" s="3700" t="s">
        <v>1682</v>
      </c>
      <c r="Z8" s="370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1685</v>
      </c>
      <c r="Q9" s="1343" t="str">
        <f t="shared" ref="Q9:Q14" si="6">B9</f>
        <v>用途</v>
      </c>
      <c r="R9" s="701" t="s">
        <v>14</v>
      </c>
      <c r="S9" s="702">
        <f t="shared" si="0"/>
        <v>100</v>
      </c>
      <c r="T9" s="701" t="s">
        <v>14</v>
      </c>
      <c r="U9" s="702">
        <f t="shared" si="1"/>
        <v>100</v>
      </c>
      <c r="V9" s="701" t="s">
        <v>14</v>
      </c>
      <c r="W9" s="702">
        <f t="shared" si="2"/>
        <v>100</v>
      </c>
      <c r="X9" s="703"/>
      <c r="Y9" s="3539"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1690</v>
      </c>
      <c r="Q14" s="1352" t="str">
        <f t="shared" si="6"/>
        <v>交通便捷度</v>
      </c>
      <c r="R14" s="705" t="s">
        <v>14</v>
      </c>
      <c r="S14" s="706">
        <f t="shared" si="0"/>
        <v>100</v>
      </c>
      <c r="T14" s="705" t="s">
        <v>14</v>
      </c>
      <c r="U14" s="706">
        <f t="shared" si="1"/>
        <v>100</v>
      </c>
      <c r="V14" s="705" t="s">
        <v>14</v>
      </c>
      <c r="W14" s="706">
        <f t="shared" si="2"/>
        <v>100</v>
      </c>
      <c r="X14" s="1355"/>
      <c r="Y14" s="366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1695</v>
      </c>
      <c r="Q32" s="1352">
        <f t="shared" si="11"/>
        <v>111</v>
      </c>
      <c r="R32" s="705" t="s">
        <v>14</v>
      </c>
      <c r="S32" s="706">
        <f t="shared" si="12"/>
        <v>100</v>
      </c>
      <c r="T32" s="705" t="s">
        <v>14</v>
      </c>
      <c r="U32" s="706">
        <f t="shared" si="13"/>
        <v>100</v>
      </c>
      <c r="V32" s="705" t="s">
        <v>14</v>
      </c>
      <c r="W32" s="706">
        <f t="shared" si="14"/>
        <v>100</v>
      </c>
      <c r="X32" s="1355"/>
      <c r="Y32" s="367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89" t="s">
        <v>1770</v>
      </c>
      <c r="S4" s="3690"/>
      <c r="T4" s="3689" t="s">
        <v>1771</v>
      </c>
      <c r="U4" s="3690"/>
      <c r="V4" s="3695" t="s">
        <v>1772</v>
      </c>
      <c r="W4" s="3695"/>
      <c r="X4" s="1355"/>
      <c r="Y4" s="3689" t="s">
        <v>1774</v>
      </c>
      <c r="Z4" s="3690"/>
      <c r="AA4" s="3676" t="s">
        <v>1770</v>
      </c>
      <c r="AB4" s="3677" t="s">
        <v>1771</v>
      </c>
      <c r="AC4" s="3676" t="s">
        <v>1772</v>
      </c>
    </row>
    <row r="5" spans="1:30" ht="15">
      <c r="A5" s="358"/>
      <c r="B5" s="359"/>
      <c r="C5" s="3698" t="s">
        <v>1672</v>
      </c>
      <c r="D5" s="3699"/>
      <c r="E5" s="3705" t="s">
        <v>1673</v>
      </c>
      <c r="F5" s="3706"/>
      <c r="G5" s="3698" t="s">
        <v>1674</v>
      </c>
      <c r="H5" s="3699"/>
      <c r="I5" s="3698" t="s">
        <v>1675</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1676</v>
      </c>
      <c r="D6" s="3697"/>
      <c r="E6" s="3703" t="s">
        <v>1676</v>
      </c>
      <c r="F6" s="3704"/>
      <c r="G6" s="3696" t="s">
        <v>1676</v>
      </c>
      <c r="H6" s="3697"/>
      <c r="I6" s="3696" t="s">
        <v>1676</v>
      </c>
      <c r="J6" s="3697"/>
      <c r="K6" s="559" t="s">
        <v>1677</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1678</v>
      </c>
      <c r="B7" s="363"/>
      <c r="C7" s="364">
        <f>'数据-取费表'!B2</f>
        <v>45327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1679</v>
      </c>
      <c r="Q7" s="3702"/>
      <c r="R7" s="701" t="s">
        <v>14</v>
      </c>
      <c r="S7" s="702">
        <f t="shared" ref="S7:S15" si="0">F7</f>
        <v>0</v>
      </c>
      <c r="T7" s="701" t="s">
        <v>14</v>
      </c>
      <c r="U7" s="702">
        <f t="shared" ref="U7:U15" si="1">H7</f>
        <v>0</v>
      </c>
      <c r="V7" s="701" t="s">
        <v>14</v>
      </c>
      <c r="W7" s="702">
        <f t="shared" ref="W7:W15" si="2">J7</f>
        <v>0</v>
      </c>
      <c r="X7" s="703"/>
      <c r="Y7" s="3700" t="s">
        <v>1679</v>
      </c>
      <c r="Z7" s="370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1682</v>
      </c>
      <c r="Q8" s="3701"/>
      <c r="R8" s="701" t="s">
        <v>14</v>
      </c>
      <c r="S8" s="702">
        <f t="shared" si="0"/>
        <v>0</v>
      </c>
      <c r="T8" s="701" t="s">
        <v>14</v>
      </c>
      <c r="U8" s="702">
        <f t="shared" si="1"/>
        <v>0</v>
      </c>
      <c r="V8" s="701" t="s">
        <v>14</v>
      </c>
      <c r="W8" s="702">
        <f t="shared" si="2"/>
        <v>0</v>
      </c>
      <c r="X8" s="703"/>
      <c r="Y8" s="3700" t="s">
        <v>1682</v>
      </c>
      <c r="Z8" s="370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1685</v>
      </c>
      <c r="Q9" s="1343" t="str">
        <f t="shared" ref="Q9:Q15" si="6">B9</f>
        <v>用途</v>
      </c>
      <c r="R9" s="701" t="s">
        <v>14</v>
      </c>
      <c r="S9" s="702">
        <f t="shared" si="0"/>
        <v>100</v>
      </c>
      <c r="T9" s="701" t="s">
        <v>14</v>
      </c>
      <c r="U9" s="702">
        <f t="shared" si="1"/>
        <v>100</v>
      </c>
      <c r="V9" s="701" t="s">
        <v>14</v>
      </c>
      <c r="W9" s="702">
        <f t="shared" si="2"/>
        <v>100</v>
      </c>
      <c r="X9" s="703"/>
      <c r="Y9" s="353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64"/>
      <c r="Q10" s="1343" t="str">
        <f t="shared" si="6"/>
        <v>土地使用年限（年）</v>
      </c>
      <c r="R10" s="701" t="s">
        <v>14</v>
      </c>
      <c r="S10" s="702">
        <f t="shared" si="0"/>
        <v>112</v>
      </c>
      <c r="T10" s="701" t="s">
        <v>14</v>
      </c>
      <c r="U10" s="702">
        <f t="shared" si="1"/>
        <v>112</v>
      </c>
      <c r="V10" s="701" t="s">
        <v>14</v>
      </c>
      <c r="W10" s="702">
        <f t="shared" si="2"/>
        <v>112</v>
      </c>
      <c r="X10" s="703"/>
      <c r="Y10" s="3539"/>
      <c r="Z10" s="52" t="str">
        <f t="shared" si="7"/>
        <v>土地使用年限（年）</v>
      </c>
      <c r="AA10" s="704">
        <f t="shared" si="3"/>
        <v>0.8928571428571429</v>
      </c>
      <c r="AB10" s="704">
        <f t="shared" si="4"/>
        <v>0.8928571428571429</v>
      </c>
      <c r="AC10" s="704">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1690</v>
      </c>
      <c r="Q15" s="1352" t="str">
        <f t="shared" si="6"/>
        <v>居住社区成熟度</v>
      </c>
      <c r="R15" s="705" t="s">
        <v>14</v>
      </c>
      <c r="S15" s="706">
        <f t="shared" si="0"/>
        <v>100</v>
      </c>
      <c r="T15" s="705" t="s">
        <v>14</v>
      </c>
      <c r="U15" s="706">
        <f t="shared" si="1"/>
        <v>100</v>
      </c>
      <c r="V15" s="705" t="s">
        <v>14</v>
      </c>
      <c r="W15" s="706">
        <f t="shared" si="2"/>
        <v>100</v>
      </c>
      <c r="X15" s="1355"/>
      <c r="Y15" s="366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1695</v>
      </c>
      <c r="Q36" s="1352">
        <f t="shared" si="8"/>
        <v>111</v>
      </c>
      <c r="R36" s="705" t="s">
        <v>14</v>
      </c>
      <c r="S36" s="706">
        <f t="shared" si="10"/>
        <v>100</v>
      </c>
      <c r="T36" s="705" t="s">
        <v>14</v>
      </c>
      <c r="U36" s="706">
        <f t="shared" si="11"/>
        <v>100</v>
      </c>
      <c r="V36" s="705" t="s">
        <v>14</v>
      </c>
      <c r="W36" s="706">
        <f t="shared" si="12"/>
        <v>100</v>
      </c>
      <c r="X36" s="1355"/>
      <c r="Y36" s="367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1695</v>
      </c>
      <c r="Q42" s="1352" t="str">
        <f t="shared" si="14"/>
        <v>工程地质条件</v>
      </c>
      <c r="R42" s="705" t="s">
        <v>14</v>
      </c>
      <c r="S42" s="706">
        <f t="shared" si="10"/>
        <v>100</v>
      </c>
      <c r="T42" s="705" t="s">
        <v>14</v>
      </c>
      <c r="U42" s="706">
        <f t="shared" si="11"/>
        <v>100</v>
      </c>
      <c r="V42" s="705" t="s">
        <v>14</v>
      </c>
      <c r="W42" s="706">
        <f t="shared" si="12"/>
        <v>100</v>
      </c>
      <c r="X42" s="1355"/>
      <c r="Y42" s="367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679" t="s">
        <v>1886</v>
      </c>
      <c r="H55" s="3726"/>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22449.65</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0.25</v>
      </c>
      <c r="D60" s="945">
        <v>0.25</v>
      </c>
      <c r="E60" s="217">
        <f>'数据-汇总表'!E11</f>
        <v>16156.74</v>
      </c>
      <c r="F60" s="886" t="e">
        <f t="shared" si="15"/>
        <v>#DIV/0!</v>
      </c>
      <c r="G60" s="1987" t="s">
        <v>1895</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38606.39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89" t="s">
        <v>1770</v>
      </c>
      <c r="S4" s="3690"/>
      <c r="T4" s="3689" t="s">
        <v>1771</v>
      </c>
      <c r="U4" s="3690"/>
      <c r="V4" s="3695" t="s">
        <v>1772</v>
      </c>
      <c r="W4" s="3695"/>
      <c r="X4" s="1355"/>
      <c r="Y4" s="3689" t="s">
        <v>1774</v>
      </c>
      <c r="Z4" s="3690"/>
      <c r="AA4" s="3676" t="s">
        <v>1770</v>
      </c>
      <c r="AB4" s="3677" t="s">
        <v>1771</v>
      </c>
      <c r="AC4" s="3676" t="s">
        <v>1772</v>
      </c>
    </row>
    <row r="5" spans="1:29" ht="15">
      <c r="A5" s="358"/>
      <c r="B5" s="359"/>
      <c r="C5" s="3698" t="s">
        <v>1672</v>
      </c>
      <c r="D5" s="3699"/>
      <c r="E5" s="3705" t="s">
        <v>1673</v>
      </c>
      <c r="F5" s="3706"/>
      <c r="G5" s="3698" t="s">
        <v>1674</v>
      </c>
      <c r="H5" s="3699"/>
      <c r="I5" s="3698" t="s">
        <v>1675</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1918</v>
      </c>
      <c r="D6" s="3728"/>
      <c r="E6" s="3729" t="s">
        <v>1918</v>
      </c>
      <c r="F6" s="3730"/>
      <c r="G6" s="3727" t="s">
        <v>1918</v>
      </c>
      <c r="H6" s="3728"/>
      <c r="I6" s="3727" t="s">
        <v>1918</v>
      </c>
      <c r="J6" s="3728"/>
      <c r="K6" s="559" t="s">
        <v>1677</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1678</v>
      </c>
      <c r="B7" s="363"/>
      <c r="C7" s="364">
        <f>'数据-取费表'!B2</f>
        <v>45327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1679</v>
      </c>
      <c r="Q7" s="3702"/>
      <c r="R7" s="701" t="s">
        <v>14</v>
      </c>
      <c r="S7" s="702">
        <f t="shared" ref="S7:S15" si="0">F7</f>
        <v>0</v>
      </c>
      <c r="T7" s="701" t="s">
        <v>14</v>
      </c>
      <c r="U7" s="702">
        <f t="shared" ref="U7:U15" si="1">H7</f>
        <v>0</v>
      </c>
      <c r="V7" s="701" t="s">
        <v>14</v>
      </c>
      <c r="W7" s="702">
        <f t="shared" ref="W7:W15" si="2">J7</f>
        <v>0</v>
      </c>
      <c r="X7" s="703"/>
      <c r="Y7" s="3700" t="s">
        <v>1679</v>
      </c>
      <c r="Z7" s="370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1682</v>
      </c>
      <c r="Q8" s="3701"/>
      <c r="R8" s="701" t="s">
        <v>14</v>
      </c>
      <c r="S8" s="702">
        <f t="shared" si="0"/>
        <v>0</v>
      </c>
      <c r="T8" s="701" t="s">
        <v>14</v>
      </c>
      <c r="U8" s="702">
        <f t="shared" si="1"/>
        <v>0</v>
      </c>
      <c r="V8" s="701" t="s">
        <v>14</v>
      </c>
      <c r="W8" s="702">
        <f t="shared" si="2"/>
        <v>0</v>
      </c>
      <c r="X8" s="703"/>
      <c r="Y8" s="3700" t="s">
        <v>1682</v>
      </c>
      <c r="Z8" s="370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1685</v>
      </c>
      <c r="Q9" s="1343" t="str">
        <f t="shared" ref="Q9:Q15" si="6">B9</f>
        <v>用途</v>
      </c>
      <c r="R9" s="701" t="s">
        <v>14</v>
      </c>
      <c r="S9" s="702">
        <f t="shared" si="0"/>
        <v>100</v>
      </c>
      <c r="T9" s="701" t="s">
        <v>14</v>
      </c>
      <c r="U9" s="702">
        <f t="shared" si="1"/>
        <v>100</v>
      </c>
      <c r="V9" s="701" t="s">
        <v>14</v>
      </c>
      <c r="W9" s="702">
        <f t="shared" si="2"/>
        <v>100</v>
      </c>
      <c r="X9" s="703"/>
      <c r="Y9" s="353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64"/>
      <c r="Q10" s="1343" t="str">
        <f t="shared" si="6"/>
        <v>土地使用年限（年）</v>
      </c>
      <c r="R10" s="701" t="s">
        <v>14</v>
      </c>
      <c r="S10" s="702">
        <f t="shared" si="0"/>
        <v>112</v>
      </c>
      <c r="T10" s="701" t="s">
        <v>14</v>
      </c>
      <c r="U10" s="702">
        <f t="shared" si="1"/>
        <v>112</v>
      </c>
      <c r="V10" s="701" t="s">
        <v>14</v>
      </c>
      <c r="W10" s="702">
        <f t="shared" si="2"/>
        <v>112</v>
      </c>
      <c r="X10" s="703"/>
      <c r="Y10" s="3539"/>
      <c r="Z10" s="52" t="str">
        <f t="shared" si="7"/>
        <v>土地使用年限（年）</v>
      </c>
      <c r="AA10" s="704">
        <f t="shared" si="3"/>
        <v>0.8928571428571429</v>
      </c>
      <c r="AB10" s="704">
        <f t="shared" si="4"/>
        <v>0.8928571428571429</v>
      </c>
      <c r="AC10" s="704">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1690</v>
      </c>
      <c r="Q15" s="1352" t="str">
        <f t="shared" si="6"/>
        <v>产业集聚程度</v>
      </c>
      <c r="R15" s="705" t="s">
        <v>14</v>
      </c>
      <c r="S15" s="706">
        <f t="shared" si="0"/>
        <v>100</v>
      </c>
      <c r="T15" s="705" t="s">
        <v>14</v>
      </c>
      <c r="U15" s="706">
        <f t="shared" si="1"/>
        <v>100</v>
      </c>
      <c r="V15" s="705" t="s">
        <v>14</v>
      </c>
      <c r="W15" s="706">
        <f t="shared" si="2"/>
        <v>100</v>
      </c>
      <c r="X15" s="1355"/>
      <c r="Y15" s="366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1695</v>
      </c>
      <c r="Q32" s="1352">
        <f t="shared" si="8"/>
        <v>111</v>
      </c>
      <c r="R32" s="705" t="s">
        <v>14</v>
      </c>
      <c r="S32" s="706">
        <f t="shared" si="10"/>
        <v>100</v>
      </c>
      <c r="T32" s="705" t="s">
        <v>14</v>
      </c>
      <c r="U32" s="706">
        <f t="shared" si="11"/>
        <v>100</v>
      </c>
      <c r="V32" s="705" t="s">
        <v>14</v>
      </c>
      <c r="W32" s="706">
        <f t="shared" si="12"/>
        <v>100</v>
      </c>
      <c r="X32" s="1355"/>
      <c r="Y32" s="367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1695</v>
      </c>
      <c r="Q37" s="1352" t="str">
        <f t="shared" si="14"/>
        <v>工程地质条件</v>
      </c>
      <c r="R37" s="705" t="s">
        <v>14</v>
      </c>
      <c r="S37" s="706">
        <f t="shared" si="10"/>
        <v>100</v>
      </c>
      <c r="T37" s="705" t="s">
        <v>14</v>
      </c>
      <c r="U37" s="706">
        <f t="shared" si="11"/>
        <v>100</v>
      </c>
      <c r="V37" s="705" t="s">
        <v>14</v>
      </c>
      <c r="W37" s="706">
        <f t="shared" si="12"/>
        <v>100</v>
      </c>
      <c r="X37" s="1355"/>
      <c r="Y37" s="367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679" t="s">
        <v>1886</v>
      </c>
      <c r="H50" s="3726"/>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22449.65</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0.25</v>
      </c>
      <c r="D56" s="945">
        <v>0.25</v>
      </c>
      <c r="E56" s="217">
        <f>'数据-汇总表'!E11</f>
        <v>16156.74</v>
      </c>
      <c r="F56" s="639" t="e">
        <f t="shared" si="15"/>
        <v>#DIV/0!</v>
      </c>
      <c r="G56" s="1987" t="s">
        <v>1895</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40534.06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4" t="s">
        <v>2083</v>
      </c>
      <c r="D1" s="3735"/>
      <c r="E1" s="3735"/>
      <c r="F1" s="3735"/>
      <c r="G1" s="3735"/>
      <c r="H1" s="3735"/>
      <c r="I1" s="3735"/>
      <c r="J1" s="3735"/>
      <c r="K1" s="3735"/>
      <c r="L1" s="3735"/>
      <c r="M1" s="3735"/>
      <c r="N1" s="3735"/>
      <c r="O1" s="3735"/>
      <c r="P1" s="3735"/>
      <c r="Q1" s="3735"/>
      <c r="R1" s="3735"/>
      <c r="S1" s="373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57214</v>
      </c>
      <c r="C2" s="2145" t="s">
        <v>2073</v>
      </c>
      <c r="D2" s="2145" t="s">
        <v>2074</v>
      </c>
      <c r="E2" s="2612">
        <f ca="1">SUMIF(E6:E13,"&lt;&gt;#ref!",E6:E13)</f>
        <v>40534.06</v>
      </c>
      <c r="F2" s="2793"/>
      <c r="G2" s="2793"/>
      <c r="H2" s="2793"/>
      <c r="I2" s="2793"/>
      <c r="J2" s="2793"/>
      <c r="K2" s="2793"/>
      <c r="L2" s="2793"/>
      <c r="M2" s="2793"/>
      <c r="N2" s="2793"/>
      <c r="O2" s="2793"/>
      <c r="P2" s="2793"/>
    </row>
    <row r="3" spans="1:16" ht="15.75">
      <c r="A3" s="2145" t="s">
        <v>2075</v>
      </c>
      <c r="B3" s="2602">
        <f ca="1">ROUND(B2*10000/E2,0)</f>
        <v>14115</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57214</v>
      </c>
      <c r="C6" s="2145" t="s">
        <v>2073</v>
      </c>
      <c r="D6" s="2793"/>
      <c r="E6" s="2612">
        <f ca="1">SUMIF(INDIRECT("'"&amp;A6&amp;"'"&amp;"!C:C"),"建筑面积",INDIRECT("'"&amp;A6&amp;"'"&amp;"!D:D"))</f>
        <v>40534.06</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40534.06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57214</v>
      </c>
      <c r="C2" s="1999" t="s">
        <v>1934</v>
      </c>
      <c r="D2" s="2000" t="s">
        <v>1935</v>
      </c>
      <c r="E2" s="3422" t="s">
        <v>21</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Ⅵ-01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17436</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14115</v>
      </c>
      <c r="C3" s="1999" t="s">
        <v>1940</v>
      </c>
      <c r="D3" s="2000" t="s">
        <v>1941</v>
      </c>
      <c r="E3" s="3420" t="s">
        <v>3399</v>
      </c>
      <c r="F3" s="2004" t="s">
        <v>3400</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13743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11615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12353</v>
      </c>
      <c r="D5" s="1339">
        <f>ROUND(C6*C17+C20,0)</f>
        <v>12230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10244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12250</v>
      </c>
      <c r="D6" s="2017"/>
      <c r="E6" s="2018"/>
      <c r="F6" s="2018"/>
      <c r="G6" s="2019"/>
      <c r="H6" s="2019"/>
      <c r="I6" s="2019"/>
      <c r="J6" s="2020"/>
      <c r="K6" s="1384"/>
      <c r="L6" s="2003" t="s">
        <v>1950</v>
      </c>
      <c r="M6" s="864">
        <f>SUMPRODUCT((区片价!B127:B189=I2)*(区片价!C3:G3=E2)*(区片价!C127:G189))</f>
        <v>12250</v>
      </c>
      <c r="N6" s="866">
        <f>SUMPRODUCT((因素修正幅度!B127:B189=I2)*(因素修正幅度!C3:G3=E2)*(因素修正幅度!C127:G189))</f>
        <v>0.121</v>
      </c>
      <c r="O6" s="1119"/>
      <c r="P6" s="1119"/>
      <c r="Q6" s="1119"/>
      <c r="R6" s="1212">
        <v>5</v>
      </c>
      <c r="S6" s="3361">
        <f>ROUND(SUMPRODUCT((B106:B110=R6)*(C105:N105=G2)*(C106:N110)),4)</f>
        <v>0.84799999999999998</v>
      </c>
      <c r="T6" s="3361">
        <f t="shared" si="0"/>
        <v>9845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六级</v>
      </c>
      <c r="Y7" s="1214" t="s">
        <v>1955</v>
      </c>
      <c r="Z7" s="1215">
        <f>G3</f>
        <v>1</v>
      </c>
      <c r="AA7" s="1216"/>
      <c r="AB7" s="1216"/>
      <c r="AC7" s="1217"/>
      <c r="AD7" s="1218"/>
      <c r="AE7" s="1218"/>
      <c r="AF7" s="1218"/>
      <c r="AG7" s="1218"/>
      <c r="AH7" s="1218"/>
      <c r="AI7" s="1218"/>
      <c r="AJ7" s="1219"/>
    </row>
    <row r="8" spans="1:36" ht="25.5">
      <c r="A8" s="3299"/>
      <c r="B8" s="170" t="s">
        <v>1956</v>
      </c>
      <c r="C8" s="2026" t="s">
        <v>3401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1959</v>
      </c>
      <c r="X8" s="374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v>1.01</v>
      </c>
      <c r="D12" s="3307" t="s">
        <v>3235</v>
      </c>
      <c r="E12" s="3308" t="s">
        <v>3236</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3249</v>
      </c>
      <c r="B20" s="167" t="s">
        <v>1993</v>
      </c>
      <c r="C20" s="3325">
        <f>ROUND(IF(F21="与级别开发程度一致",0,(G21-E21)/C21),0)</f>
        <v>-20</v>
      </c>
      <c r="D20" s="3341" t="s">
        <v>1997</v>
      </c>
      <c r="E20" s="3342"/>
      <c r="F20" s="3754" t="s">
        <v>1994</v>
      </c>
      <c r="G20" s="3755"/>
      <c r="H20" s="3326" t="s">
        <v>3404</v>
      </c>
      <c r="I20" s="3326" t="s">
        <v>3403</v>
      </c>
      <c r="J20" s="3327" t="s">
        <v>3405</v>
      </c>
      <c r="K20" s="2047" t="s">
        <v>3406</v>
      </c>
      <c r="L20" s="2047" t="s">
        <v>3407</v>
      </c>
      <c r="M20" s="2047" t="s">
        <v>3408</v>
      </c>
      <c r="N20" s="2047" t="s">
        <v>3409</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2001</v>
      </c>
      <c r="E23" s="761">
        <v>44197</v>
      </c>
      <c r="F23" s="2054" t="s">
        <v>2002</v>
      </c>
      <c r="G23" s="762">
        <f>'数据-取费表'!B2</f>
        <v>45327</v>
      </c>
      <c r="H23" s="3343" t="s">
        <v>3250</v>
      </c>
      <c r="I23" s="3344" t="str">
        <f>IF(H23="季度增幅（自定义）",SUMIF(N25:N28,E2,O25:O28),"")</f>
        <v/>
      </c>
      <c r="J23" s="3446" t="s">
        <v>3410</v>
      </c>
      <c r="K23" s="1125"/>
      <c r="L23" s="2055" t="s">
        <v>2003</v>
      </c>
      <c r="M23" s="1328">
        <f>ROUND(SUMIF(地价!B2:G2,E2,地价!B16:G16),0)</f>
        <v>350</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0.89339999999999997</v>
      </c>
      <c r="D24" s="2060" t="s">
        <v>2006</v>
      </c>
      <c r="E24" s="1335">
        <f>存贷款利率!E24/100</f>
        <v>4.3499999999999997E-2</v>
      </c>
      <c r="F24" s="2060" t="s">
        <v>1998</v>
      </c>
      <c r="G24" s="768">
        <f>SUMIF(M30:Q30,E2,M33:Q33)</f>
        <v>5.5E-2</v>
      </c>
      <c r="H24" s="2060" t="s">
        <v>2007</v>
      </c>
      <c r="I24" s="769">
        <f>SUMIF('数据-取费表'!C6:C15,E2,'数据-取费表'!F6:F15)/COUNTIF('数据-取费表'!C6:C15,E2)</f>
        <v>33.31</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1.2158</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3251</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5" t="s">
        <v>3252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1.0216000000000001</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57214</v>
      </c>
      <c r="D30" s="2083"/>
      <c r="E30" s="2046"/>
      <c r="F30" s="2084"/>
      <c r="G30" s="2046"/>
      <c r="H30" s="2046"/>
      <c r="I30" s="2046"/>
      <c r="J30" s="2085"/>
      <c r="K30" s="1119"/>
      <c r="L30" s="3351" t="s">
        <v>1935</v>
      </c>
      <c r="M30" s="3352" t="s">
        <v>1989</v>
      </c>
      <c r="N30" s="3352" t="s">
        <v>1990</v>
      </c>
      <c r="O30" s="3352" t="s">
        <v>1991</v>
      </c>
      <c r="P30" s="3352" t="s">
        <v>1992</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14115</v>
      </c>
      <c r="D33" s="2098">
        <f>'数据-汇总表'!D3</f>
        <v>40534.06</v>
      </c>
      <c r="E33" s="773">
        <f>ROUND(C33*D33/10000,0)</f>
        <v>57214</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3529</v>
      </c>
      <c r="D34" s="2103"/>
      <c r="E34" s="773">
        <f>ROUND(IF(B25="楼层修正",SUM(V2:V16)*M40,C34*D34/10000),0)</f>
        <v>0</v>
      </c>
      <c r="F34" s="2104" t="s">
        <v>2031</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3259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2035</v>
      </c>
      <c r="C37" s="175">
        <f>ROUND(D5*C22*C23*C24*C28*F37,0)</f>
        <v>6896</v>
      </c>
      <c r="D37" s="2098"/>
      <c r="E37" s="171">
        <f>ROUND(C37*D37/10000,0)</f>
        <v>0</v>
      </c>
      <c r="F37" s="171">
        <f>SUMIF(修正!A57:A68,G2,修正!B57:B68)</f>
        <v>0.6</v>
      </c>
      <c r="G37" s="171">
        <f>ROUND(IF(E2="工业",C37*$M$42,C37*$M$41),0)</f>
        <v>1724</v>
      </c>
      <c r="H37" s="171">
        <f>D37</f>
        <v>0</v>
      </c>
      <c r="I37" s="171">
        <f>ROUND(G37*H37/10000,0)</f>
        <v>0</v>
      </c>
      <c r="J37" s="3012"/>
      <c r="K37" s="3359" t="s">
        <v>3260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2036</v>
      </c>
      <c r="C38" s="175">
        <f>ROUND(D5*C22*C23*C24*C28*F38,0)</f>
        <v>3448</v>
      </c>
      <c r="D38" s="2098"/>
      <c r="E38" s="171">
        <f t="shared" ref="E38:E42" si="4">ROUND(C38*D38/10000,0)</f>
        <v>0</v>
      </c>
      <c r="F38" s="171">
        <f>SUMIF(修正!A57:A68,G2,修正!C57:C68)</f>
        <v>0.3</v>
      </c>
      <c r="G38" s="171">
        <f>ROUND(IF(E2="工业",C38*$M$42,C38*$M$41),0)</f>
        <v>862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3253</v>
      </c>
      <c r="C39" s="175">
        <f>ROUND(D5*C22*C23*C24*C28*F39,0)</f>
        <v>2873</v>
      </c>
      <c r="D39" s="2098"/>
      <c r="E39" s="171">
        <f t="shared" si="4"/>
        <v>0</v>
      </c>
      <c r="F39" s="171">
        <f>SUMIF(修正!A57:A68,G2,修正!D57:D68)</f>
        <v>0.25</v>
      </c>
      <c r="G39" s="171">
        <f>ROUND(IF(E2="工业",C39*$M$42,C39*$M$41),0)</f>
        <v>718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2873</v>
      </c>
      <c r="D40" s="2098"/>
      <c r="E40" s="171">
        <f t="shared" si="4"/>
        <v>0</v>
      </c>
      <c r="F40" s="175">
        <f>SUMIF(修正!A57:A68,G2,修正!E57:E68)</f>
        <v>0.25</v>
      </c>
      <c r="G40" s="171">
        <f>ROUND(IF(E2="工业",C40*$M$42,C40*$M$41),0)</f>
        <v>718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1.0216000000000001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3411</v>
      </c>
      <c r="D61" s="1065">
        <f t="shared" ref="D61:D69" si="12">SUMIF($J$60:$N$60,C61,J61:N61)</f>
        <v>-1.5100000000000001E-2</v>
      </c>
      <c r="E61" s="744">
        <f>ROUND(SUM(D61:D69),4)</f>
        <v>2.1600000000000001E-2</v>
      </c>
      <c r="F61" s="1814">
        <f>IF(E2="办公",SUMIF(L1:L12,G2,N1:N12),"——")</f>
        <v>0.121</v>
      </c>
      <c r="G61" s="1063">
        <v>1.5100000000000001E-2</v>
      </c>
      <c r="H61" s="1066">
        <f t="shared" ref="H61:H69" si="13">IFERROR(ROUNDDOWN($F$61*I61/2,4),"——")</f>
        <v>1.5100000000000001E-2</v>
      </c>
      <c r="I61" s="3367">
        <v>0.25</v>
      </c>
      <c r="J61" s="1064">
        <f t="shared" ref="J61:J69" si="14">K61+$G61</f>
        <v>3.0200000000000001E-2</v>
      </c>
      <c r="K61" s="1064">
        <f t="shared" ref="K61:K69" si="15">$L61+$G61</f>
        <v>1.5100000000000001E-2</v>
      </c>
      <c r="L61" s="1064">
        <v>0</v>
      </c>
      <c r="M61" s="1064">
        <f t="shared" ref="M61:N69" si="16">L61-$G61</f>
        <v>-1.5100000000000001E-2</v>
      </c>
      <c r="N61" s="1064">
        <f t="shared" si="16"/>
        <v>-3.0200000000000001E-2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3412</v>
      </c>
      <c r="D62" s="1065">
        <f t="shared" si="12"/>
        <v>1.5699999999999999E-2</v>
      </c>
      <c r="E62" s="745"/>
      <c r="F62" s="1814"/>
      <c r="G62" s="1063">
        <v>1.5699999999999999E-2</v>
      </c>
      <c r="H62" s="1066">
        <f t="shared" si="13"/>
        <v>1.5699999999999999E-2</v>
      </c>
      <c r="I62" s="3367">
        <v>0.26</v>
      </c>
      <c r="J62" s="1064">
        <f t="shared" si="14"/>
        <v>3.1399999999999997E-2</v>
      </c>
      <c r="K62" s="1064">
        <f t="shared" si="15"/>
        <v>1.5699999999999999E-2</v>
      </c>
      <c r="L62" s="1064">
        <v>0</v>
      </c>
      <c r="M62" s="1064">
        <f t="shared" si="16"/>
        <v>-1.5699999999999999E-2</v>
      </c>
      <c r="N62" s="1064">
        <f t="shared" si="16"/>
        <v>-3.1399999999999997E-2</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t="s">
        <v>3413</v>
      </c>
      <c r="D63" s="1065">
        <f t="shared" si="12"/>
        <v>0</v>
      </c>
      <c r="E63" s="745"/>
      <c r="F63" s="1814"/>
      <c r="G63" s="1063">
        <v>6.6E-3</v>
      </c>
      <c r="H63" s="1066">
        <f t="shared" si="13"/>
        <v>6.6E-3</v>
      </c>
      <c r="I63" s="3367">
        <v>0.11</v>
      </c>
      <c r="J63" s="1064">
        <f t="shared" si="14"/>
        <v>1.32E-2</v>
      </c>
      <c r="K63" s="1064">
        <f t="shared" si="15"/>
        <v>6.6E-3</v>
      </c>
      <c r="L63" s="1064">
        <v>0</v>
      </c>
      <c r="M63" s="1064">
        <f t="shared" si="16"/>
        <v>-6.6E-3</v>
      </c>
      <c r="N63" s="1064">
        <f t="shared" si="16"/>
        <v>-1.32E-2</v>
      </c>
      <c r="AA63" s="1120"/>
      <c r="AB63" s="1120"/>
      <c r="AC63" s="1120"/>
      <c r="AD63" s="1120"/>
      <c r="AE63" s="1120"/>
      <c r="AF63" s="1120"/>
      <c r="AG63" s="1120"/>
      <c r="AH63" s="1120"/>
      <c r="AI63" s="1120"/>
      <c r="AJ63" s="1120"/>
      <c r="AK63" s="1120"/>
    </row>
    <row r="64" spans="1:37" s="1119" customFormat="1" ht="36.75">
      <c r="A64" s="2130" t="s">
        <v>2053</v>
      </c>
      <c r="B64" s="2135" t="s">
        <v>2054</v>
      </c>
      <c r="C64" s="2044" t="s">
        <v>3412</v>
      </c>
      <c r="D64" s="1065">
        <f t="shared" si="12"/>
        <v>3.0000000000000001E-3</v>
      </c>
      <c r="E64" s="745"/>
      <c r="F64" s="1814"/>
      <c r="G64" s="1063">
        <v>3.0000000000000001E-3</v>
      </c>
      <c r="H64" s="1066">
        <f t="shared" si="13"/>
        <v>3.0000000000000001E-3</v>
      </c>
      <c r="I64" s="3367">
        <v>0.05</v>
      </c>
      <c r="J64" s="1064">
        <f t="shared" si="14"/>
        <v>6.0000000000000001E-3</v>
      </c>
      <c r="K64" s="1064">
        <f t="shared" si="15"/>
        <v>3.0000000000000001E-3</v>
      </c>
      <c r="L64" s="1064">
        <v>0</v>
      </c>
      <c r="M64" s="1064">
        <f t="shared" si="16"/>
        <v>-3.0000000000000001E-3</v>
      </c>
      <c r="N64" s="1064">
        <f t="shared" si="16"/>
        <v>-6.0000000000000001E-3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3413</v>
      </c>
      <c r="D65" s="1065">
        <f t="shared" si="12"/>
        <v>0</v>
      </c>
      <c r="E65" s="745"/>
      <c r="F65" s="1814"/>
      <c r="G65" s="1063">
        <v>3.0000000000000001E-3</v>
      </c>
      <c r="H65" s="1066">
        <f t="shared" si="13"/>
        <v>3.0000000000000001E-3</v>
      </c>
      <c r="I65" s="3367">
        <v>0.05</v>
      </c>
      <c r="J65" s="1064">
        <f t="shared" si="14"/>
        <v>6.0000000000000001E-3</v>
      </c>
      <c r="K65" s="1064">
        <f t="shared" si="15"/>
        <v>3.0000000000000001E-3</v>
      </c>
      <c r="L65" s="1064">
        <v>0</v>
      </c>
      <c r="M65" s="1064">
        <f t="shared" si="16"/>
        <v>-3.0000000000000001E-3</v>
      </c>
      <c r="N65" s="1064">
        <f t="shared" si="16"/>
        <v>-6.0000000000000001E-3</v>
      </c>
      <c r="AA65" s="1120"/>
      <c r="AB65" s="1120"/>
      <c r="AC65" s="1120"/>
      <c r="AD65" s="1120"/>
      <c r="AE65" s="1120"/>
      <c r="AF65" s="1120"/>
      <c r="AG65" s="1120"/>
      <c r="AH65" s="1120"/>
      <c r="AI65" s="1120"/>
      <c r="AJ65" s="1120"/>
      <c r="AK65" s="1120"/>
    </row>
    <row r="66" spans="1:37" s="1119" customFormat="1" ht="24">
      <c r="A66" s="2130" t="s">
        <v>2056</v>
      </c>
      <c r="B66" s="2136" t="s">
        <v>2057</v>
      </c>
      <c r="C66" s="2044" t="s">
        <v>3412</v>
      </c>
      <c r="D66" s="1065">
        <f t="shared" si="12"/>
        <v>3.5999999999999999E-3</v>
      </c>
      <c r="E66" s="745"/>
      <c r="F66" s="1814"/>
      <c r="G66" s="1063">
        <v>3.5999999999999999E-3</v>
      </c>
      <c r="H66" s="1066">
        <f t="shared" si="13"/>
        <v>3.5999999999999999E-3</v>
      </c>
      <c r="I66" s="3367">
        <v>0.06</v>
      </c>
      <c r="J66" s="1064">
        <f t="shared" si="14"/>
        <v>7.1999999999999998E-3</v>
      </c>
      <c r="K66" s="1064">
        <f t="shared" si="15"/>
        <v>3.5999999999999999E-3</v>
      </c>
      <c r="L66" s="1064">
        <v>0</v>
      </c>
      <c r="M66" s="1064">
        <f t="shared" si="16"/>
        <v>-3.5999999999999999E-3</v>
      </c>
      <c r="N66" s="1064">
        <f t="shared" si="16"/>
        <v>-7.1999999999999998E-3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3412</v>
      </c>
      <c r="D67" s="1065">
        <f t="shared" si="12"/>
        <v>3.5999999999999999E-3</v>
      </c>
      <c r="E67" s="745"/>
      <c r="F67" s="1814"/>
      <c r="G67" s="1063">
        <v>3.5999999999999999E-3</v>
      </c>
      <c r="H67" s="1066">
        <f t="shared" si="13"/>
        <v>3.5999999999999999E-3</v>
      </c>
      <c r="I67" s="3367">
        <v>0.06</v>
      </c>
      <c r="J67" s="1064">
        <f t="shared" si="14"/>
        <v>7.1999999999999998E-3</v>
      </c>
      <c r="K67" s="1064">
        <f t="shared" si="15"/>
        <v>3.5999999999999999E-3</v>
      </c>
      <c r="L67" s="1064">
        <v>0</v>
      </c>
      <c r="M67" s="1064">
        <f t="shared" si="16"/>
        <v>-3.5999999999999999E-3</v>
      </c>
      <c r="N67" s="1064">
        <f t="shared" si="16"/>
        <v>-7.1999999999999998E-3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3414</v>
      </c>
      <c r="D68" s="1065">
        <f t="shared" si="12"/>
        <v>1.0800000000000001E-2</v>
      </c>
      <c r="E68" s="745"/>
      <c r="F68" s="1814"/>
      <c r="G68" s="1063">
        <v>5.4000000000000003E-3</v>
      </c>
      <c r="H68" s="1066">
        <f t="shared" si="13"/>
        <v>5.4000000000000003E-3</v>
      </c>
      <c r="I68" s="3367">
        <v>0.09</v>
      </c>
      <c r="J68" s="1064">
        <f t="shared" si="14"/>
        <v>1.0800000000000001E-2</v>
      </c>
      <c r="K68" s="1064">
        <f t="shared" si="15"/>
        <v>5.4000000000000003E-3</v>
      </c>
      <c r="L68" s="1064">
        <v>0</v>
      </c>
      <c r="M68" s="1064">
        <f t="shared" si="16"/>
        <v>-5.4000000000000003E-3</v>
      </c>
      <c r="N68" s="1064">
        <f t="shared" si="16"/>
        <v>-1.0800000000000001E-2</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3413</v>
      </c>
      <c r="D69" s="1065">
        <f t="shared" si="12"/>
        <v>0</v>
      </c>
      <c r="E69" s="746"/>
      <c r="F69" s="1814"/>
      <c r="G69" s="1063">
        <v>4.1999999999999997E-3</v>
      </c>
      <c r="H69" s="1066">
        <f t="shared" si="13"/>
        <v>4.1999999999999997E-3</v>
      </c>
      <c r="I69" s="3368">
        <v>7.0000000000000007E-2</v>
      </c>
      <c r="J69" s="1064">
        <f t="shared" si="14"/>
        <v>8.3999999999999995E-3</v>
      </c>
      <c r="K69" s="1064">
        <f t="shared" si="15"/>
        <v>4.1999999999999997E-3</v>
      </c>
      <c r="L69" s="1064">
        <v>0</v>
      </c>
      <c r="M69" s="1064">
        <f t="shared" si="16"/>
        <v>-4.1999999999999997E-3</v>
      </c>
      <c r="N69" s="1064">
        <f t="shared" si="16"/>
        <v>-8.3999999999999995E-3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3267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3268</v>
      </c>
      <c r="B96" s="3385" t="s">
        <v>3279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3269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3270</v>
      </c>
      <c r="B98" s="3386" t="s">
        <v>3280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3288</v>
      </c>
      <c r="B103" s="3750"/>
      <c r="C103" s="3750"/>
      <c r="D103" s="3750"/>
      <c r="E103" s="3750"/>
      <c r="F103" s="3750"/>
      <c r="G103" s="3750"/>
      <c r="H103" s="3750"/>
      <c r="I103" s="3750"/>
      <c r="J103" s="3750"/>
      <c r="K103" s="3390"/>
      <c r="L103" s="3390"/>
      <c r="M103" s="3390"/>
      <c r="N103" s="3390"/>
    </row>
    <row r="104" spans="1:14">
      <c r="A104" s="3751" t="s">
        <v>3289</v>
      </c>
      <c r="B104" s="3751" t="s">
        <v>3290</v>
      </c>
      <c r="C104" s="3391" t="s">
        <v>3291</v>
      </c>
      <c r="D104" s="3392"/>
      <c r="E104" s="3392"/>
      <c r="F104" s="3392"/>
      <c r="G104" s="3392"/>
      <c r="H104" s="3392"/>
      <c r="I104" s="3392"/>
      <c r="J104" s="3393"/>
      <c r="K104" s="3394"/>
      <c r="L104" s="3394"/>
      <c r="M104" s="3394"/>
      <c r="N104" s="3394"/>
    </row>
    <row r="105" spans="1:14">
      <c r="A105" s="3751"/>
      <c r="B105" s="3751"/>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37"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3305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0.92730000000000001</v>
      </c>
      <c r="E116" s="2000" t="s">
        <v>3308</v>
      </c>
      <c r="F116" s="3402" t="str">
        <f>E2</f>
        <v>办公</v>
      </c>
      <c r="G116" s="2000" t="s">
        <v>3309</v>
      </c>
      <c r="H116" s="3402" t="str">
        <f>G2</f>
        <v>六级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3323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3324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2607</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65" t="s">
        <v>2602</v>
      </c>
      <c r="B20" s="3760" t="s">
        <v>2623</v>
      </c>
      <c r="C20" s="3103" t="s">
        <v>2434</v>
      </c>
      <c r="D20" s="3104"/>
      <c r="E20" s="3105">
        <v>1</v>
      </c>
      <c r="F20" s="3106" t="s">
        <v>2435</v>
      </c>
      <c r="G20" s="3106"/>
    </row>
    <row r="21" spans="1:13" ht="19.5" customHeight="1">
      <c r="A21" s="3766"/>
      <c r="B21" s="3759"/>
      <c r="C21" s="3107" t="s">
        <v>2436</v>
      </c>
      <c r="D21" s="3108"/>
      <c r="E21" s="3109">
        <v>1</v>
      </c>
      <c r="F21" s="3106" t="s">
        <v>2437</v>
      </c>
      <c r="G21" s="3106"/>
    </row>
    <row r="22" spans="1:13" ht="19.5" customHeight="1">
      <c r="A22" s="3766"/>
      <c r="B22" s="3759"/>
      <c r="C22" s="3107" t="s">
        <v>2438</v>
      </c>
      <c r="D22" s="3108"/>
      <c r="E22" s="3109">
        <v>0.9</v>
      </c>
      <c r="F22" s="3106" t="s">
        <v>2439</v>
      </c>
      <c r="G22" s="3106"/>
    </row>
    <row r="23" spans="1:13" ht="19.5" customHeight="1">
      <c r="A23" s="3766"/>
      <c r="B23" s="3759"/>
      <c r="C23" s="3107" t="s">
        <v>2440</v>
      </c>
      <c r="D23" s="3108"/>
      <c r="E23" s="3109">
        <v>0.9</v>
      </c>
      <c r="F23" s="3106" t="s">
        <v>2441</v>
      </c>
      <c r="G23" s="3106"/>
    </row>
    <row r="24" spans="1:13" ht="19.5" customHeight="1">
      <c r="A24" s="3766"/>
      <c r="B24" s="3759"/>
      <c r="C24" s="3107" t="s">
        <v>2442</v>
      </c>
      <c r="D24" s="3108"/>
      <c r="E24" s="3109">
        <v>0.8</v>
      </c>
      <c r="F24" s="3106" t="s">
        <v>2443</v>
      </c>
      <c r="G24" s="3106"/>
    </row>
    <row r="25" spans="1:13" ht="19.5" customHeight="1" thickBot="1">
      <c r="A25" s="3767"/>
      <c r="B25" s="3761"/>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62" t="s">
        <v>2626</v>
      </c>
      <c r="B27" s="3760" t="s">
        <v>2607</v>
      </c>
      <c r="C27" s="3103" t="s">
        <v>2447</v>
      </c>
      <c r="D27" s="3104"/>
      <c r="E27" s="3105">
        <v>1</v>
      </c>
      <c r="F27" s="3106" t="s">
        <v>2448</v>
      </c>
      <c r="G27" s="3106"/>
    </row>
    <row r="28" spans="1:13" ht="19.5" customHeight="1">
      <c r="A28" s="3763"/>
      <c r="B28" s="3759"/>
      <c r="C28" s="3107" t="s">
        <v>2449</v>
      </c>
      <c r="D28" s="3108"/>
      <c r="E28" s="3109">
        <v>1</v>
      </c>
      <c r="F28" s="3106" t="s">
        <v>2450</v>
      </c>
      <c r="G28" s="3106"/>
    </row>
    <row r="29" spans="1:13" ht="19.5" customHeight="1">
      <c r="A29" s="3763"/>
      <c r="B29" s="3759"/>
      <c r="C29" s="3107" t="s">
        <v>2451</v>
      </c>
      <c r="D29" s="3108"/>
      <c r="E29" s="3109">
        <v>0.8</v>
      </c>
      <c r="F29" s="3106" t="s">
        <v>2452</v>
      </c>
      <c r="G29" s="3106"/>
    </row>
    <row r="30" spans="1:13" ht="19.5" customHeight="1">
      <c r="A30" s="3763"/>
      <c r="B30" s="3759"/>
      <c r="C30" s="3107" t="s">
        <v>2453</v>
      </c>
      <c r="D30" s="3108"/>
      <c r="E30" s="3109">
        <v>0.8</v>
      </c>
      <c r="F30" s="3106" t="s">
        <v>2454</v>
      </c>
      <c r="G30" s="3106"/>
    </row>
    <row r="31" spans="1:13" ht="19.5" customHeight="1">
      <c r="A31" s="3763"/>
      <c r="B31" s="3759"/>
      <c r="C31" s="3107" t="s">
        <v>2455</v>
      </c>
      <c r="D31" s="3108"/>
      <c r="E31" s="3109">
        <v>0.8</v>
      </c>
      <c r="F31" s="3106" t="s">
        <v>2456</v>
      </c>
      <c r="G31" s="3106"/>
    </row>
    <row r="32" spans="1:13" ht="19.5" customHeight="1">
      <c r="A32" s="3763"/>
      <c r="B32" s="3759"/>
      <c r="C32" s="3107" t="s">
        <v>2457</v>
      </c>
      <c r="D32" s="3108"/>
      <c r="E32" s="3109">
        <v>0.7</v>
      </c>
      <c r="F32" s="3106" t="s">
        <v>2458</v>
      </c>
      <c r="G32" s="3106"/>
    </row>
    <row r="33" spans="1:7" ht="19.5" customHeight="1">
      <c r="A33" s="3763"/>
      <c r="B33" s="3759"/>
      <c r="C33" s="3107" t="s">
        <v>2459</v>
      </c>
      <c r="D33" s="3108"/>
      <c r="E33" s="3109">
        <v>0.8</v>
      </c>
      <c r="F33" s="3106" t="s">
        <v>2460</v>
      </c>
      <c r="G33" s="3106"/>
    </row>
    <row r="34" spans="1:7" ht="19.5" customHeight="1">
      <c r="A34" s="3763"/>
      <c r="B34" s="3759"/>
      <c r="C34" s="3107" t="s">
        <v>2461</v>
      </c>
      <c r="D34" s="3108"/>
      <c r="E34" s="3109">
        <v>0.6</v>
      </c>
      <c r="F34" s="3106" t="s">
        <v>2462</v>
      </c>
      <c r="G34" s="3106"/>
    </row>
    <row r="35" spans="1:7" ht="19.5" customHeight="1">
      <c r="A35" s="3763"/>
      <c r="B35" s="3759"/>
      <c r="C35" s="3107" t="s">
        <v>2463</v>
      </c>
      <c r="D35" s="3108"/>
      <c r="E35" s="3109">
        <v>0.2</v>
      </c>
      <c r="F35" s="3106" t="s">
        <v>2464</v>
      </c>
      <c r="G35" s="3106"/>
    </row>
    <row r="36" spans="1:7" ht="19.5" customHeight="1">
      <c r="A36" s="3763"/>
      <c r="B36" s="3759"/>
      <c r="C36" s="3107" t="s">
        <v>2465</v>
      </c>
      <c r="D36" s="3108"/>
      <c r="E36" s="3109">
        <v>0.2</v>
      </c>
      <c r="F36" s="3106" t="s">
        <v>2466</v>
      </c>
      <c r="G36" s="3106"/>
    </row>
    <row r="37" spans="1:7" ht="19.5" customHeight="1">
      <c r="A37" s="3763"/>
      <c r="B37" s="3757" t="s">
        <v>2627</v>
      </c>
      <c r="C37" s="3107" t="s">
        <v>2467</v>
      </c>
      <c r="D37" s="3108"/>
      <c r="E37" s="3109">
        <v>0.6</v>
      </c>
      <c r="F37" s="3106" t="s">
        <v>2468</v>
      </c>
      <c r="G37" s="3106"/>
    </row>
    <row r="38" spans="1:7" ht="19.5" customHeight="1">
      <c r="A38" s="3763"/>
      <c r="B38" s="3759"/>
      <c r="C38" s="3107" t="s">
        <v>2469</v>
      </c>
      <c r="D38" s="3108"/>
      <c r="E38" s="3109">
        <v>0.6</v>
      </c>
      <c r="F38" s="3106" t="s">
        <v>2470</v>
      </c>
      <c r="G38" s="3106"/>
    </row>
    <row r="39" spans="1:7" ht="19.5" customHeight="1" thickBot="1">
      <c r="A39" s="3764"/>
      <c r="B39" s="3761"/>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65" t="s">
        <v>2605</v>
      </c>
      <c r="B41" s="3760" t="s">
        <v>2629</v>
      </c>
      <c r="C41" s="3103" t="s">
        <v>2474</v>
      </c>
      <c r="D41" s="3104"/>
      <c r="E41" s="3105">
        <v>1</v>
      </c>
      <c r="F41" s="3106" t="s">
        <v>2475</v>
      </c>
      <c r="G41" s="3106"/>
    </row>
    <row r="42" spans="1:7" ht="19.5" customHeight="1">
      <c r="A42" s="3766"/>
      <c r="B42" s="3759"/>
      <c r="C42" s="3107" t="s">
        <v>2476</v>
      </c>
      <c r="D42" s="3108"/>
      <c r="E42" s="3109">
        <v>1</v>
      </c>
      <c r="F42" s="3106" t="s">
        <v>2477</v>
      </c>
      <c r="G42" s="3106"/>
    </row>
    <row r="43" spans="1:7" ht="19.5" customHeight="1">
      <c r="A43" s="3766"/>
      <c r="B43" s="3758"/>
      <c r="C43" s="3107" t="s">
        <v>2478</v>
      </c>
      <c r="D43" s="3108"/>
      <c r="E43" s="3109">
        <v>1.5</v>
      </c>
      <c r="F43" s="3106" t="s">
        <v>2479</v>
      </c>
      <c r="G43" s="3106"/>
    </row>
    <row r="44" spans="1:7" ht="19.5" customHeight="1">
      <c r="A44" s="3766"/>
      <c r="B44" s="3118" t="s">
        <v>2630</v>
      </c>
      <c r="C44" s="3107" t="s">
        <v>2631</v>
      </c>
      <c r="D44" s="3108"/>
      <c r="E44" s="3109">
        <v>2</v>
      </c>
      <c r="F44" s="3106" t="s">
        <v>2480</v>
      </c>
      <c r="G44" s="3106"/>
    </row>
    <row r="45" spans="1:7" ht="19.5" customHeight="1">
      <c r="A45" s="3766"/>
      <c r="B45" s="3757" t="s">
        <v>2632</v>
      </c>
      <c r="C45" s="3107" t="s">
        <v>2481</v>
      </c>
      <c r="D45" s="3108"/>
      <c r="E45" s="3109">
        <v>1</v>
      </c>
      <c r="F45" s="3106" t="s">
        <v>2482</v>
      </c>
      <c r="G45" s="3106"/>
    </row>
    <row r="46" spans="1:7" ht="19.5" customHeight="1">
      <c r="A46" s="3766"/>
      <c r="B46" s="3759"/>
      <c r="C46" s="3107" t="s">
        <v>2483</v>
      </c>
      <c r="D46" s="3108"/>
      <c r="E46" s="3109">
        <v>1</v>
      </c>
      <c r="F46" s="3106" t="s">
        <v>2484</v>
      </c>
      <c r="G46" s="3106"/>
    </row>
    <row r="47" spans="1:7" ht="19.5" customHeight="1">
      <c r="A47" s="3766"/>
      <c r="B47" s="3759"/>
      <c r="C47" s="3107" t="s">
        <v>2485</v>
      </c>
      <c r="D47" s="3108"/>
      <c r="E47" s="3109">
        <v>1</v>
      </c>
      <c r="F47" s="3106" t="s">
        <v>2486</v>
      </c>
      <c r="G47" s="3106"/>
    </row>
    <row r="48" spans="1:7" ht="19.5" customHeight="1">
      <c r="A48" s="3766"/>
      <c r="B48" s="3759"/>
      <c r="C48" s="3107" t="s">
        <v>2487</v>
      </c>
      <c r="D48" s="3108"/>
      <c r="E48" s="3109">
        <v>1</v>
      </c>
      <c r="F48" s="3106" t="s">
        <v>2488</v>
      </c>
      <c r="G48" s="3106"/>
    </row>
    <row r="49" spans="1:7" ht="19.5" customHeight="1">
      <c r="A49" s="3766"/>
      <c r="B49" s="3759"/>
      <c r="C49" s="3107" t="s">
        <v>2489</v>
      </c>
      <c r="D49" s="3108"/>
      <c r="E49" s="3109">
        <v>1</v>
      </c>
      <c r="F49" s="3106" t="s">
        <v>2490</v>
      </c>
      <c r="G49" s="3106"/>
    </row>
    <row r="50" spans="1:7" ht="19.5" customHeight="1">
      <c r="A50" s="3766"/>
      <c r="B50" s="3759"/>
      <c r="C50" s="3107" t="s">
        <v>2491</v>
      </c>
      <c r="D50" s="3108"/>
      <c r="E50" s="3109">
        <v>1</v>
      </c>
      <c r="F50" s="3106" t="s">
        <v>2492</v>
      </c>
      <c r="G50" s="3106"/>
    </row>
    <row r="51" spans="1:7" ht="19.5" customHeight="1" thickBot="1">
      <c r="A51" s="3767"/>
      <c r="B51" s="3761"/>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57" t="s">
        <v>2646</v>
      </c>
      <c r="C73" s="3092" t="s">
        <v>2647</v>
      </c>
      <c r="D73" s="3092" t="s">
        <v>2648</v>
      </c>
      <c r="E73" s="3118">
        <v>0.2</v>
      </c>
      <c r="F73" s="3118">
        <v>25</v>
      </c>
    </row>
    <row r="74" spans="1:7" ht="24">
      <c r="A74" s="3118">
        <v>2</v>
      </c>
      <c r="B74" s="3759"/>
      <c r="C74" s="3092" t="s">
        <v>2649</v>
      </c>
      <c r="D74" s="3092" t="s">
        <v>2650</v>
      </c>
      <c r="E74" s="3118">
        <v>0.2</v>
      </c>
      <c r="F74" s="3118">
        <v>25</v>
      </c>
    </row>
    <row r="75" spans="1:7" ht="24">
      <c r="A75" s="3118">
        <v>3</v>
      </c>
      <c r="B75" s="3759"/>
      <c r="C75" s="3092" t="s">
        <v>2651</v>
      </c>
      <c r="D75" s="3092" t="s">
        <v>2652</v>
      </c>
      <c r="E75" s="3118">
        <v>0.2</v>
      </c>
      <c r="F75" s="3118">
        <v>25</v>
      </c>
    </row>
    <row r="76" spans="1:7" ht="13.5">
      <c r="A76" s="3118">
        <v>4</v>
      </c>
      <c r="B76" s="3759"/>
      <c r="C76" s="3092" t="s">
        <v>2653</v>
      </c>
      <c r="D76" s="3092" t="s">
        <v>2654</v>
      </c>
      <c r="E76" s="3118">
        <v>0.15</v>
      </c>
      <c r="F76" s="3118">
        <v>20</v>
      </c>
    </row>
    <row r="77" spans="1:7" ht="24">
      <c r="A77" s="3118">
        <v>5</v>
      </c>
      <c r="B77" s="3759"/>
      <c r="C77" s="3092" t="s">
        <v>2655</v>
      </c>
      <c r="D77" s="3092" t="s">
        <v>2656</v>
      </c>
      <c r="E77" s="3118">
        <v>0.15</v>
      </c>
      <c r="F77" s="3118">
        <v>20</v>
      </c>
    </row>
    <row r="78" spans="1:7" ht="24">
      <c r="A78" s="3118">
        <v>6</v>
      </c>
      <c r="B78" s="3759"/>
      <c r="C78" s="3092" t="s">
        <v>2657</v>
      </c>
      <c r="D78" s="3092" t="s">
        <v>2658</v>
      </c>
      <c r="E78" s="3118">
        <v>0.15</v>
      </c>
      <c r="F78" s="3118">
        <v>20</v>
      </c>
    </row>
    <row r="79" spans="1:7" ht="24">
      <c r="A79" s="3118">
        <v>7</v>
      </c>
      <c r="B79" s="3759"/>
      <c r="C79" s="3092" t="s">
        <v>2659</v>
      </c>
      <c r="D79" s="3092" t="s">
        <v>2660</v>
      </c>
      <c r="E79" s="3118">
        <v>0.15</v>
      </c>
      <c r="F79" s="3118">
        <v>20</v>
      </c>
    </row>
    <row r="80" spans="1:7" ht="24">
      <c r="A80" s="3118">
        <v>8</v>
      </c>
      <c r="B80" s="3759"/>
      <c r="C80" s="3092" t="s">
        <v>2661</v>
      </c>
      <c r="D80" s="3092" t="s">
        <v>2662</v>
      </c>
      <c r="E80" s="3118">
        <v>0.1</v>
      </c>
      <c r="F80" s="3118">
        <v>15</v>
      </c>
    </row>
    <row r="81" spans="1:6" ht="24">
      <c r="A81" s="3118">
        <v>9</v>
      </c>
      <c r="B81" s="3759"/>
      <c r="C81" s="3092" t="s">
        <v>2663</v>
      </c>
      <c r="D81" s="3092" t="s">
        <v>2664</v>
      </c>
      <c r="E81" s="3118">
        <v>0.1</v>
      </c>
      <c r="F81" s="3118">
        <v>15</v>
      </c>
    </row>
    <row r="82" spans="1:6" ht="24">
      <c r="A82" s="3118">
        <v>10</v>
      </c>
      <c r="B82" s="3759"/>
      <c r="C82" s="3092" t="s">
        <v>2665</v>
      </c>
      <c r="D82" s="3092" t="s">
        <v>2666</v>
      </c>
      <c r="E82" s="3118">
        <v>0.1</v>
      </c>
      <c r="F82" s="3118">
        <v>15</v>
      </c>
    </row>
    <row r="83" spans="1:6" ht="24">
      <c r="A83" s="3118">
        <v>11</v>
      </c>
      <c r="B83" s="3759"/>
      <c r="C83" s="3092" t="s">
        <v>2667</v>
      </c>
      <c r="D83" s="3092" t="s">
        <v>2668</v>
      </c>
      <c r="E83" s="3118">
        <v>0.1</v>
      </c>
      <c r="F83" s="3118">
        <v>15</v>
      </c>
    </row>
    <row r="84" spans="1:6" ht="24">
      <c r="A84" s="3118">
        <v>12</v>
      </c>
      <c r="B84" s="3759"/>
      <c r="C84" s="3092" t="s">
        <v>2669</v>
      </c>
      <c r="D84" s="3092" t="s">
        <v>2670</v>
      </c>
      <c r="E84" s="3118">
        <v>0.1</v>
      </c>
      <c r="F84" s="3118">
        <v>15</v>
      </c>
    </row>
    <row r="85" spans="1:6" ht="13.5">
      <c r="A85" s="3118">
        <v>13</v>
      </c>
      <c r="B85" s="3759"/>
      <c r="C85" s="3092" t="s">
        <v>2671</v>
      </c>
      <c r="D85" s="3092" t="s">
        <v>2672</v>
      </c>
      <c r="E85" s="3118">
        <v>0.1</v>
      </c>
      <c r="F85" s="3118">
        <v>15</v>
      </c>
    </row>
    <row r="86" spans="1:6" ht="13.5">
      <c r="A86" s="3118">
        <v>14</v>
      </c>
      <c r="B86" s="3759"/>
      <c r="C86" s="3092" t="s">
        <v>2673</v>
      </c>
      <c r="D86" s="3092" t="s">
        <v>2674</v>
      </c>
      <c r="E86" s="3118">
        <v>0.1</v>
      </c>
      <c r="F86" s="3118">
        <v>15</v>
      </c>
    </row>
    <row r="87" spans="1:6" ht="13.5">
      <c r="A87" s="3118">
        <v>15</v>
      </c>
      <c r="B87" s="3759"/>
      <c r="C87" s="3092" t="s">
        <v>2675</v>
      </c>
      <c r="D87" s="3092" t="s">
        <v>2676</v>
      </c>
      <c r="E87" s="3118">
        <v>0.1</v>
      </c>
      <c r="F87" s="3118">
        <v>15</v>
      </c>
    </row>
    <row r="88" spans="1:6" ht="24">
      <c r="A88" s="3118">
        <v>16</v>
      </c>
      <c r="B88" s="3759"/>
      <c r="C88" s="3092" t="s">
        <v>2677</v>
      </c>
      <c r="D88" s="3092" t="s">
        <v>2678</v>
      </c>
      <c r="E88" s="3118">
        <v>0.1</v>
      </c>
      <c r="F88" s="3118">
        <v>15</v>
      </c>
    </row>
    <row r="89" spans="1:6" ht="24">
      <c r="A89" s="3118">
        <v>17</v>
      </c>
      <c r="B89" s="3758"/>
      <c r="C89" s="3092" t="s">
        <v>2679</v>
      </c>
      <c r="D89" s="3092" t="s">
        <v>2680</v>
      </c>
      <c r="E89" s="3118">
        <v>0.1</v>
      </c>
      <c r="F89" s="3118">
        <v>15</v>
      </c>
    </row>
    <row r="90" spans="1:6" ht="13.5">
      <c r="A90" s="3118">
        <v>18</v>
      </c>
      <c r="B90" s="3757" t="s">
        <v>2681</v>
      </c>
      <c r="C90" s="3092" t="s">
        <v>2682</v>
      </c>
      <c r="D90" s="3092" t="s">
        <v>2683</v>
      </c>
      <c r="E90" s="3118">
        <v>0.2</v>
      </c>
      <c r="F90" s="3118">
        <v>25</v>
      </c>
    </row>
    <row r="91" spans="1:6" ht="24">
      <c r="A91" s="3118">
        <v>19</v>
      </c>
      <c r="B91" s="3759"/>
      <c r="C91" s="3092" t="s">
        <v>2684</v>
      </c>
      <c r="D91" s="3092" t="s">
        <v>2685</v>
      </c>
      <c r="E91" s="3118">
        <v>0.2</v>
      </c>
      <c r="F91" s="3118">
        <v>25</v>
      </c>
    </row>
    <row r="92" spans="1:6" ht="13.5">
      <c r="A92" s="3118">
        <v>20</v>
      </c>
      <c r="B92" s="3759"/>
      <c r="C92" s="3092" t="s">
        <v>2686</v>
      </c>
      <c r="D92" s="3092" t="s">
        <v>2687</v>
      </c>
      <c r="E92" s="3118">
        <v>0.15</v>
      </c>
      <c r="F92" s="3118">
        <v>20</v>
      </c>
    </row>
    <row r="93" spans="1:6" ht="13.5">
      <c r="A93" s="3118">
        <v>21</v>
      </c>
      <c r="B93" s="3759"/>
      <c r="C93" s="3092" t="s">
        <v>2688</v>
      </c>
      <c r="D93" s="3092" t="s">
        <v>2689</v>
      </c>
      <c r="E93" s="3118">
        <v>0.15</v>
      </c>
      <c r="F93" s="3118">
        <v>20</v>
      </c>
    </row>
    <row r="94" spans="1:6" ht="13.5">
      <c r="A94" s="3118">
        <v>22</v>
      </c>
      <c r="B94" s="3759"/>
      <c r="C94" s="3092" t="s">
        <v>2690</v>
      </c>
      <c r="D94" s="3092" t="s">
        <v>2691</v>
      </c>
      <c r="E94" s="3118">
        <v>0.15</v>
      </c>
      <c r="F94" s="3118">
        <v>20</v>
      </c>
    </row>
    <row r="95" spans="1:6" ht="36">
      <c r="A95" s="3118">
        <v>23</v>
      </c>
      <c r="B95" s="3759"/>
      <c r="C95" s="3092" t="s">
        <v>2692</v>
      </c>
      <c r="D95" s="3092" t="s">
        <v>2693</v>
      </c>
      <c r="E95" s="3118">
        <v>0.15</v>
      </c>
      <c r="F95" s="3118">
        <v>20</v>
      </c>
    </row>
    <row r="96" spans="1:6" ht="13.5">
      <c r="A96" s="3118">
        <v>24</v>
      </c>
      <c r="B96" s="3759"/>
      <c r="C96" s="3092" t="s">
        <v>2694</v>
      </c>
      <c r="D96" s="3092" t="s">
        <v>2695</v>
      </c>
      <c r="E96" s="3118">
        <v>0.1</v>
      </c>
      <c r="F96" s="3118">
        <v>15</v>
      </c>
    </row>
    <row r="97" spans="1:6" ht="13.5">
      <c r="A97" s="3118">
        <v>25</v>
      </c>
      <c r="B97" s="3759"/>
      <c r="C97" s="3092" t="s">
        <v>2696</v>
      </c>
      <c r="D97" s="3092" t="s">
        <v>2697</v>
      </c>
      <c r="E97" s="3118">
        <v>0.1</v>
      </c>
      <c r="F97" s="3118">
        <v>15</v>
      </c>
    </row>
    <row r="98" spans="1:6" ht="24">
      <c r="A98" s="3118">
        <v>26</v>
      </c>
      <c r="B98" s="3759"/>
      <c r="C98" s="3092" t="s">
        <v>2698</v>
      </c>
      <c r="D98" s="3092" t="s">
        <v>2699</v>
      </c>
      <c r="E98" s="3118">
        <v>0.1</v>
      </c>
      <c r="F98" s="3118">
        <v>15</v>
      </c>
    </row>
    <row r="99" spans="1:6" ht="24">
      <c r="A99" s="3118">
        <v>27</v>
      </c>
      <c r="B99" s="3759"/>
      <c r="C99" s="3092" t="s">
        <v>2700</v>
      </c>
      <c r="D99" s="3092" t="s">
        <v>2701</v>
      </c>
      <c r="E99" s="3118">
        <v>0.1</v>
      </c>
      <c r="F99" s="3118">
        <v>15</v>
      </c>
    </row>
    <row r="100" spans="1:6" ht="13.5">
      <c r="A100" s="3118">
        <v>28</v>
      </c>
      <c r="B100" s="3759"/>
      <c r="C100" s="3092" t="s">
        <v>2702</v>
      </c>
      <c r="D100" s="3092" t="s">
        <v>2703</v>
      </c>
      <c r="E100" s="3118">
        <v>0.1</v>
      </c>
      <c r="F100" s="3118">
        <v>15</v>
      </c>
    </row>
    <row r="101" spans="1:6" ht="13.5">
      <c r="A101" s="3118">
        <v>29</v>
      </c>
      <c r="B101" s="3759"/>
      <c r="C101" s="3092" t="s">
        <v>2704</v>
      </c>
      <c r="D101" s="3092" t="s">
        <v>2705</v>
      </c>
      <c r="E101" s="3118">
        <v>0.1</v>
      </c>
      <c r="F101" s="3118">
        <v>15</v>
      </c>
    </row>
    <row r="102" spans="1:6" ht="13.5">
      <c r="A102" s="3118">
        <v>30</v>
      </c>
      <c r="B102" s="3759"/>
      <c r="C102" s="3092" t="s">
        <v>2706</v>
      </c>
      <c r="D102" s="3092" t="s">
        <v>2707</v>
      </c>
      <c r="E102" s="3118">
        <v>0.1</v>
      </c>
      <c r="F102" s="3118">
        <v>15</v>
      </c>
    </row>
    <row r="103" spans="1:6" ht="24">
      <c r="A103" s="3118">
        <v>31</v>
      </c>
      <c r="B103" s="3759"/>
      <c r="C103" s="3092" t="s">
        <v>2708</v>
      </c>
      <c r="D103" s="3092" t="s">
        <v>2709</v>
      </c>
      <c r="E103" s="3118">
        <v>0.1</v>
      </c>
      <c r="F103" s="3118">
        <v>15</v>
      </c>
    </row>
    <row r="104" spans="1:6" ht="24">
      <c r="A104" s="3118">
        <v>32</v>
      </c>
      <c r="B104" s="3759"/>
      <c r="C104" s="3092" t="s">
        <v>2710</v>
      </c>
      <c r="D104" s="3092" t="s">
        <v>2711</v>
      </c>
      <c r="E104" s="3118">
        <v>0.1</v>
      </c>
      <c r="F104" s="3118">
        <v>15</v>
      </c>
    </row>
    <row r="105" spans="1:6" ht="24">
      <c r="A105" s="3118">
        <v>33</v>
      </c>
      <c r="B105" s="3759"/>
      <c r="C105" s="3092" t="s">
        <v>2712</v>
      </c>
      <c r="D105" s="3092" t="s">
        <v>2713</v>
      </c>
      <c r="E105" s="3118">
        <v>0.1</v>
      </c>
      <c r="F105" s="3118">
        <v>15</v>
      </c>
    </row>
    <row r="106" spans="1:6" ht="24">
      <c r="A106" s="3118">
        <v>34</v>
      </c>
      <c r="B106" s="3758"/>
      <c r="C106" s="3092" t="s">
        <v>2714</v>
      </c>
      <c r="D106" s="3092" t="s">
        <v>2715</v>
      </c>
      <c r="E106" s="3118">
        <v>0.1</v>
      </c>
      <c r="F106" s="3118">
        <v>15</v>
      </c>
    </row>
    <row r="107" spans="1:6" ht="24">
      <c r="A107" s="3118">
        <v>35</v>
      </c>
      <c r="B107" s="3757" t="s">
        <v>2716</v>
      </c>
      <c r="C107" s="3118" t="s">
        <v>2717</v>
      </c>
      <c r="D107" s="3092" t="s">
        <v>2718</v>
      </c>
      <c r="E107" s="3118">
        <v>0.15</v>
      </c>
      <c r="F107" s="3118">
        <v>20</v>
      </c>
    </row>
    <row r="108" spans="1:6" ht="13.5">
      <c r="A108" s="3118">
        <v>36</v>
      </c>
      <c r="B108" s="3759"/>
      <c r="C108" s="3118" t="s">
        <v>2719</v>
      </c>
      <c r="D108" s="3092" t="s">
        <v>2720</v>
      </c>
      <c r="E108" s="3118">
        <v>0.15</v>
      </c>
      <c r="F108" s="3118">
        <v>20</v>
      </c>
    </row>
    <row r="109" spans="1:6" ht="13.5">
      <c r="A109" s="3118">
        <v>37</v>
      </c>
      <c r="B109" s="3759"/>
      <c r="C109" s="3118" t="s">
        <v>2721</v>
      </c>
      <c r="D109" s="3092" t="s">
        <v>2722</v>
      </c>
      <c r="E109" s="3118">
        <v>0.15</v>
      </c>
      <c r="F109" s="3118">
        <v>20</v>
      </c>
    </row>
    <row r="110" spans="1:6" ht="13.5">
      <c r="A110" s="3118">
        <v>38</v>
      </c>
      <c r="B110" s="3759"/>
      <c r="C110" s="3118" t="s">
        <v>2723</v>
      </c>
      <c r="D110" s="3092" t="s">
        <v>2724</v>
      </c>
      <c r="E110" s="3118">
        <v>0.1</v>
      </c>
      <c r="F110" s="3118">
        <v>15</v>
      </c>
    </row>
    <row r="111" spans="1:6" ht="24">
      <c r="A111" s="3118">
        <v>39</v>
      </c>
      <c r="B111" s="3759"/>
      <c r="C111" s="3118" t="s">
        <v>2725</v>
      </c>
      <c r="D111" s="3092" t="s">
        <v>2726</v>
      </c>
      <c r="E111" s="3118">
        <v>0.1</v>
      </c>
      <c r="F111" s="3118">
        <v>15</v>
      </c>
    </row>
    <row r="112" spans="1:6" ht="24">
      <c r="A112" s="3118">
        <v>40</v>
      </c>
      <c r="B112" s="3758"/>
      <c r="C112" s="3118" t="s">
        <v>2727</v>
      </c>
      <c r="D112" s="3092" t="s">
        <v>2728</v>
      </c>
      <c r="E112" s="3118">
        <v>0.1</v>
      </c>
      <c r="F112" s="3118">
        <v>15</v>
      </c>
    </row>
    <row r="113" spans="1:6" ht="13.5">
      <c r="A113" s="3118">
        <v>41</v>
      </c>
      <c r="B113" s="3756" t="s">
        <v>2729</v>
      </c>
      <c r="C113" s="3118" t="s">
        <v>2730</v>
      </c>
      <c r="D113" s="3092" t="s">
        <v>2731</v>
      </c>
      <c r="E113" s="3118">
        <v>0.1</v>
      </c>
      <c r="F113" s="3118">
        <v>15</v>
      </c>
    </row>
    <row r="114" spans="1:6" ht="13.5">
      <c r="A114" s="3118">
        <v>42</v>
      </c>
      <c r="B114" s="3756"/>
      <c r="C114" s="3118" t="s">
        <v>2732</v>
      </c>
      <c r="D114" s="3092" t="s">
        <v>2733</v>
      </c>
      <c r="E114" s="3118">
        <v>0.1</v>
      </c>
      <c r="F114" s="3118">
        <v>15</v>
      </c>
    </row>
    <row r="115" spans="1:6" ht="24">
      <c r="A115" s="3118">
        <v>43</v>
      </c>
      <c r="B115" s="3756"/>
      <c r="C115" s="3118" t="s">
        <v>2734</v>
      </c>
      <c r="D115" s="3092" t="s">
        <v>2735</v>
      </c>
      <c r="E115" s="3118">
        <v>0.1</v>
      </c>
      <c r="F115" s="3118">
        <v>15</v>
      </c>
    </row>
    <row r="116" spans="1:6" ht="13.5">
      <c r="A116" s="3118">
        <v>44</v>
      </c>
      <c r="B116" s="3757" t="s">
        <v>2736</v>
      </c>
      <c r="C116" s="3118" t="s">
        <v>2737</v>
      </c>
      <c r="D116" s="3092" t="s">
        <v>2738</v>
      </c>
      <c r="E116" s="3118">
        <v>0.1</v>
      </c>
      <c r="F116" s="3118">
        <v>15</v>
      </c>
    </row>
    <row r="117" spans="1:6" ht="24">
      <c r="A117" s="3118">
        <v>45</v>
      </c>
      <c r="B117" s="3758"/>
      <c r="C117" s="3092" t="s">
        <v>2739</v>
      </c>
      <c r="D117" s="3092" t="s">
        <v>2740</v>
      </c>
      <c r="E117" s="3118">
        <v>0.1</v>
      </c>
      <c r="F117" s="3118">
        <v>15</v>
      </c>
    </row>
    <row r="118" spans="1:6" ht="24">
      <c r="A118" s="3118">
        <v>46</v>
      </c>
      <c r="B118" s="3757" t="s">
        <v>2741</v>
      </c>
      <c r="C118" s="3118" t="s">
        <v>2742</v>
      </c>
      <c r="D118" s="3092" t="s">
        <v>2743</v>
      </c>
      <c r="E118" s="3118">
        <v>0.1</v>
      </c>
      <c r="F118" s="3118">
        <v>15</v>
      </c>
    </row>
    <row r="119" spans="1:6" ht="24">
      <c r="A119" s="3118">
        <v>47</v>
      </c>
      <c r="B119" s="3758"/>
      <c r="C119" s="3118" t="s">
        <v>2744</v>
      </c>
      <c r="D119" s="3092" t="s">
        <v>2745</v>
      </c>
      <c r="E119" s="3118">
        <v>0.1</v>
      </c>
      <c r="F119" s="3118">
        <v>15</v>
      </c>
    </row>
    <row r="120" spans="1:6" ht="13.5">
      <c r="A120" s="3118">
        <v>48</v>
      </c>
      <c r="B120" s="3757" t="s">
        <v>2746</v>
      </c>
      <c r="C120" s="3118" t="s">
        <v>2747</v>
      </c>
      <c r="D120" s="3092" t="s">
        <v>2748</v>
      </c>
      <c r="E120" s="3118">
        <v>0.1</v>
      </c>
      <c r="F120" s="3118">
        <v>15</v>
      </c>
    </row>
    <row r="121" spans="1:6" ht="13.5">
      <c r="A121" s="3118">
        <v>49</v>
      </c>
      <c r="B121" s="3758"/>
      <c r="C121" s="3118" t="s">
        <v>2749</v>
      </c>
      <c r="D121" s="3092" t="s">
        <v>2750</v>
      </c>
      <c r="E121" s="3118">
        <v>0.1</v>
      </c>
      <c r="F121" s="3118">
        <v>15</v>
      </c>
    </row>
    <row r="122" spans="1:6" ht="24">
      <c r="A122" s="3118">
        <v>50</v>
      </c>
      <c r="B122" s="3756" t="s">
        <v>2751</v>
      </c>
      <c r="C122" s="3118" t="s">
        <v>2752</v>
      </c>
      <c r="D122" s="3092" t="s">
        <v>2753</v>
      </c>
      <c r="E122" s="3118">
        <v>0.1</v>
      </c>
      <c r="F122" s="3118">
        <v>15</v>
      </c>
    </row>
    <row r="123" spans="1:6" ht="24">
      <c r="A123" s="3118">
        <v>51</v>
      </c>
      <c r="B123" s="3756"/>
      <c r="C123" s="3118" t="s">
        <v>2754</v>
      </c>
      <c r="D123" s="3092" t="s">
        <v>2755</v>
      </c>
      <c r="E123" s="3118">
        <v>0.1</v>
      </c>
      <c r="F123" s="3118">
        <v>15</v>
      </c>
    </row>
    <row r="124" spans="1:6" ht="24">
      <c r="A124" s="3118">
        <v>52</v>
      </c>
      <c r="B124" s="3756" t="s">
        <v>2756</v>
      </c>
      <c r="C124" s="3118" t="s">
        <v>2757</v>
      </c>
      <c r="D124" s="3092" t="s">
        <v>2758</v>
      </c>
      <c r="E124" s="3118">
        <v>0.1</v>
      </c>
      <c r="F124" s="3118">
        <v>15</v>
      </c>
    </row>
    <row r="125" spans="1:6" ht="24">
      <c r="A125" s="3118">
        <v>53</v>
      </c>
      <c r="B125" s="3756"/>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56" t="s">
        <v>2764</v>
      </c>
      <c r="C127" s="3118" t="s">
        <v>2765</v>
      </c>
      <c r="D127" s="3092" t="s">
        <v>2766</v>
      </c>
      <c r="E127" s="3118">
        <v>0.1</v>
      </c>
      <c r="F127" s="3118">
        <v>15</v>
      </c>
    </row>
    <row r="128" spans="1:6" ht="13.5">
      <c r="A128" s="3118">
        <v>56</v>
      </c>
      <c r="B128" s="3756"/>
      <c r="C128" s="3118" t="s">
        <v>2767</v>
      </c>
      <c r="D128" s="3092" t="s">
        <v>2768</v>
      </c>
      <c r="E128" s="3118">
        <v>0.1</v>
      </c>
      <c r="F128" s="3118">
        <v>15</v>
      </c>
    </row>
    <row r="129" spans="1:6" ht="24">
      <c r="A129" s="3118">
        <v>57</v>
      </c>
      <c r="B129" s="3756"/>
      <c r="C129" s="3118" t="s">
        <v>2769</v>
      </c>
      <c r="D129" s="3092" t="s">
        <v>2770</v>
      </c>
      <c r="E129" s="3118">
        <v>0.1</v>
      </c>
      <c r="F129" s="3118">
        <v>15</v>
      </c>
    </row>
    <row r="130" spans="1:6" ht="24">
      <c r="A130" s="3118">
        <v>58</v>
      </c>
      <c r="B130" s="3756" t="s">
        <v>2771</v>
      </c>
      <c r="C130" s="3118" t="s">
        <v>2772</v>
      </c>
      <c r="D130" s="3092" t="s">
        <v>2773</v>
      </c>
      <c r="E130" s="3118">
        <v>0.1</v>
      </c>
      <c r="F130" s="3118">
        <v>15</v>
      </c>
    </row>
    <row r="131" spans="1:6" ht="13.5">
      <c r="A131" s="3118">
        <v>59</v>
      </c>
      <c r="B131" s="3756"/>
      <c r="C131" s="3118" t="s">
        <v>2774</v>
      </c>
      <c r="D131" s="3092" t="s">
        <v>2775</v>
      </c>
      <c r="E131" s="3118">
        <v>0.1</v>
      </c>
      <c r="F131" s="3118">
        <v>15</v>
      </c>
    </row>
    <row r="132" spans="1:6" ht="13.5">
      <c r="A132" s="3118">
        <v>60</v>
      </c>
      <c r="B132" s="3757" t="s">
        <v>2776</v>
      </c>
      <c r="C132" s="3118" t="s">
        <v>2777</v>
      </c>
      <c r="D132" s="3092" t="s">
        <v>2778</v>
      </c>
      <c r="E132" s="3118">
        <v>0.1</v>
      </c>
      <c r="F132" s="3118">
        <v>15</v>
      </c>
    </row>
    <row r="133" spans="1:6" ht="13.5">
      <c r="A133" s="3118">
        <v>61</v>
      </c>
      <c r="B133" s="3758"/>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56" t="s">
        <v>2784</v>
      </c>
      <c r="C135" s="3118" t="s">
        <v>2785</v>
      </c>
      <c r="D135" s="3092" t="s">
        <v>2786</v>
      </c>
      <c r="E135" s="3118">
        <v>0.1</v>
      </c>
      <c r="F135" s="3118">
        <v>15</v>
      </c>
    </row>
    <row r="136" spans="1:6" ht="13.5">
      <c r="A136" s="3118">
        <v>64</v>
      </c>
      <c r="B136" s="3756"/>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1.2158</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1.1565000000000001</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60596</v>
      </c>
      <c r="C2" s="2" t="s">
        <v>106</v>
      </c>
      <c r="D2" s="199"/>
      <c r="E2" s="199"/>
      <c r="F2" s="199"/>
      <c r="G2" s="199"/>
    </row>
    <row r="3" spans="1:7" s="200" customFormat="1" ht="18" customHeight="1" thickBot="1">
      <c r="A3" s="203" t="s">
        <v>58</v>
      </c>
      <c r="B3" s="204">
        <f ca="1">ROUND(B2*10000/'数据-汇总表'!E3,0)</f>
        <v>15696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734</v>
      </c>
      <c r="D10" s="845">
        <f>'数据-汇总表'!E6</f>
        <v>38606.39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772</v>
      </c>
      <c r="D19" s="849">
        <f>'数据-汇总表'!E3</f>
        <v>38606.39</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1127</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3272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28883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26395</v>
      </c>
      <c r="D34" s="217"/>
      <c r="E34" s="220"/>
      <c r="F34" s="257">
        <f>IF('数据-取费表'!B24=0,1,'数据-取费表'!N16)</f>
        <v>1</v>
      </c>
      <c r="G34" s="219" t="s">
        <v>89</v>
      </c>
    </row>
    <row r="35" spans="1:7" ht="13.5" customHeight="1">
      <c r="A35" s="780" t="s">
        <v>351</v>
      </c>
      <c r="B35" s="215" t="s">
        <v>33</v>
      </c>
      <c r="C35" s="220">
        <f>ROUND(C34*F35,0)</f>
        <v>1320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772</v>
      </c>
      <c r="D37" s="217">
        <f>'数据-汇总表'!E3</f>
        <v>38606.39</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759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744</v>
      </c>
      <c r="D42" s="238"/>
      <c r="E42" s="238"/>
      <c r="F42" s="239"/>
      <c r="G42" s="3632" t="s">
        <v>94</v>
      </c>
    </row>
    <row r="43" spans="1:7" ht="13.5" customHeight="1">
      <c r="A43" s="780" t="s">
        <v>347</v>
      </c>
      <c r="B43" s="215" t="s">
        <v>426</v>
      </c>
      <c r="C43" s="238">
        <f ca="1">ROUND(IF('数据-取费表'!B22&lt;=1,C39*F22*'数据-取费表'!B21/2,C39*(POWER((1+F22),'数据-取费表'!B21/2)-1)),0)</f>
        <v>15</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4419</v>
      </c>
      <c r="D45" s="235">
        <f>C47</f>
        <v>3.0000000000000001E-3</v>
      </c>
      <c r="E45" s="236" t="s">
        <v>102</v>
      </c>
      <c r="F45" s="246"/>
      <c r="G45" s="247" t="s">
        <v>434</v>
      </c>
    </row>
    <row r="46" spans="1:7" s="214" customFormat="1" ht="13.5" customHeight="1">
      <c r="A46" s="780" t="s">
        <v>349</v>
      </c>
      <c r="B46" s="248" t="s">
        <v>427</v>
      </c>
      <c r="C46" s="249">
        <f>ROUND((C33+C39)*F27,0)</f>
        <v>4419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37483</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32235</v>
      </c>
      <c r="D51" s="232"/>
      <c r="E51" s="232"/>
      <c r="F51" s="264"/>
      <c r="G51" s="234" t="s">
        <v>37</v>
      </c>
    </row>
    <row r="52" spans="1:7" s="208" customFormat="1" ht="16.5" thickBot="1">
      <c r="A52" s="265" t="s">
        <v>38</v>
      </c>
      <c r="B52" s="266"/>
      <c r="C52" s="267">
        <f ca="1">C31+C51</f>
        <v>60596</v>
      </c>
      <c r="D52" s="266"/>
      <c r="E52" s="266"/>
      <c r="F52" s="266"/>
      <c r="G52" s="268"/>
    </row>
    <row r="55" spans="1:7" ht="15">
      <c r="B55" s="270" t="s">
        <v>39</v>
      </c>
      <c r="C55" s="271"/>
    </row>
    <row r="56" spans="1:7">
      <c r="B56" s="273" t="s">
        <v>40</v>
      </c>
      <c r="C56" s="274">
        <f ca="1">ROUND(C51/C52,3)</f>
        <v>0.53200000000000003</v>
      </c>
    </row>
    <row r="57" spans="1:7">
      <c r="B57" s="273" t="s">
        <v>41</v>
      </c>
      <c r="C57" s="275">
        <f ca="1">1-C56</f>
        <v>0.46799999999999997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64775</v>
      </c>
      <c r="E5" s="1491"/>
    </row>
    <row r="6" spans="1:5" ht="15.75">
      <c r="A6" s="1491"/>
      <c r="B6" s="3451"/>
      <c r="C6" s="1494" t="s">
        <v>911</v>
      </c>
      <c r="D6" s="850" t="str">
        <f ca="1">NUMBERSTRING(INT(D5*10000),2)&amp;"元整"</f>
        <v>陆亿肆仟柒佰柒拾伍万元整</v>
      </c>
      <c r="E6" s="1491"/>
    </row>
    <row r="7" spans="1:5" ht="15.75">
      <c r="A7" s="1491"/>
      <c r="B7" s="3456"/>
      <c r="C7" s="1495" t="s">
        <v>912</v>
      </c>
      <c r="D7" s="851">
        <f ca="1">结果表!H102</f>
        <v>16778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64775</v>
      </c>
      <c r="E13" s="1491"/>
    </row>
    <row r="14" spans="1:5" ht="15.75">
      <c r="A14" s="1491"/>
      <c r="B14" s="3451"/>
      <c r="C14" s="1494" t="s">
        <v>911</v>
      </c>
      <c r="D14" s="850" t="str">
        <f ca="1">NUMBERSTRING(INT(D13*10000),2)&amp;"元整"</f>
        <v>陆亿肆仟柒佰柒拾伍万元整</v>
      </c>
      <c r="E14" s="1491"/>
    </row>
    <row r="15" spans="1:5" ht="15">
      <c r="A15" s="1491"/>
      <c r="B15" s="3456"/>
      <c r="C15" s="1495" t="s">
        <v>921</v>
      </c>
      <c r="D15" s="859">
        <f ca="1">结果表!H108</f>
        <v>16778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9" sqref="H29"/>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2834</v>
      </c>
      <c r="B1" s="3770"/>
      <c r="C1" s="3770"/>
      <c r="D1" s="3770"/>
      <c r="E1" s="3770"/>
      <c r="F1" s="3770"/>
      <c r="G1" s="3771"/>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768"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769"/>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3176</v>
      </c>
      <c r="B1" s="3772"/>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3227</v>
      </c>
      <c r="B1" s="3773"/>
      <c r="C1" s="3773"/>
      <c r="D1" s="3773"/>
      <c r="E1" s="3773"/>
      <c r="F1" s="3774"/>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45327</v>
      </c>
      <c r="B1" s="3210" t="s">
        <v>3365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3368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3369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3349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3360</v>
      </c>
    </row>
    <row r="21" spans="1:30" s="3009" customFormat="1">
      <c r="I21" s="3208" t="s">
        <v>2820</v>
      </c>
    </row>
    <row r="22" spans="1:30" s="3009" customFormat="1"/>
    <row r="23" spans="1:30" s="3209" customFormat="1" ht="12.75">
      <c r="B23" s="3210" t="s">
        <v>3366</v>
      </c>
      <c r="C23" s="3211"/>
      <c r="D23" s="3211"/>
      <c r="E23" s="3211"/>
      <c r="F23" s="3211"/>
      <c r="G23" s="3211"/>
      <c r="H23" s="3211"/>
      <c r="I23" s="3211"/>
      <c r="J23" s="3165"/>
      <c r="K23" s="3211" t="s">
        <v>2821</v>
      </c>
      <c r="L23" s="3211"/>
      <c r="M23" s="3211"/>
      <c r="N23" s="3211"/>
      <c r="O23" s="3211"/>
      <c r="P23" s="3211"/>
      <c r="Q23" s="3165"/>
      <c r="R23" s="3775" t="s">
        <v>2822</v>
      </c>
      <c r="S23" s="3776"/>
      <c r="T23" s="3776"/>
      <c r="U23" s="3776"/>
      <c r="V23" s="3776"/>
      <c r="W23" s="3776"/>
      <c r="X23" s="3165"/>
      <c r="Y23" s="3775" t="s">
        <v>2823</v>
      </c>
      <c r="Z23" s="3776"/>
      <c r="AA23" s="3776"/>
      <c r="AB23" s="3776"/>
      <c r="AC23" s="3776"/>
      <c r="AD23" s="3776"/>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3368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3369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3367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3359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3349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9" sqref="H2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45327</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北京市昌平区枫丹丽舍西路1号楼房地产</v>
      </c>
      <c r="B4" s="854">
        <f>项目基本情况!C17</f>
        <v>38606.39</v>
      </c>
      <c r="C4" s="854">
        <f>项目基本情况!C18</f>
        <v>40534.06</v>
      </c>
      <c r="D4" s="854">
        <f>结果表!D118</f>
        <v>0</v>
      </c>
      <c r="E4" s="854">
        <f>结果表!E118</f>
        <v>0</v>
      </c>
      <c r="F4" s="854">
        <f>结果表!F118</f>
        <v>0</v>
      </c>
      <c r="G4" s="854">
        <f>结果表!G118</f>
        <v>0</v>
      </c>
      <c r="H4" s="854">
        <f ca="1">结果表!H118</f>
        <v>64775</v>
      </c>
      <c r="I4" s="854">
        <f ca="1">结果表!I118</f>
        <v>16778</v>
      </c>
    </row>
    <row r="5" spans="1:9" ht="30" customHeight="1">
      <c r="A5" s="3463" t="s">
        <v>927</v>
      </c>
      <c r="B5" s="3463"/>
      <c r="C5" s="3463"/>
      <c r="D5" s="3463" t="str">
        <f>结果表!D119</f>
        <v>零元整</v>
      </c>
      <c r="E5" s="3463"/>
      <c r="F5" s="3463" t="str">
        <f>结果表!F119</f>
        <v>零元整</v>
      </c>
      <c r="G5" s="3463"/>
      <c r="H5" s="3463" t="str">
        <f ca="1">结果表!H119</f>
        <v>陆亿肆仟柒佰柒拾伍万元整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64775</v>
      </c>
      <c r="E8" s="3462"/>
      <c r="F8" s="3462"/>
      <c r="G8" s="3462"/>
      <c r="H8" s="3462"/>
      <c r="I8" s="3462"/>
    </row>
    <row r="9" spans="1:9" ht="15">
      <c r="A9" s="3463" t="s">
        <v>927</v>
      </c>
      <c r="B9" s="3463"/>
      <c r="C9" s="3463"/>
      <c r="D9" s="3463" t="str">
        <f ca="1">结果表!D123</f>
        <v>陆亿肆仟柒佰柒拾伍万元整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3"/>
      <c r="E18" s="3488" t="s">
        <v>2161</v>
      </c>
      <c r="F18" s="3487"/>
      <c r="G18" s="348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2024-02-18T05:59:18Z</dcterms:modified>
</cp:coreProperties>
</file>