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8\2018-1-0856-P04DYGJ1三亚\P05\"/>
    </mc:Choice>
  </mc:AlternateContent>
  <bookViews>
    <workbookView xWindow="480" yWindow="216" windowWidth="12120" windowHeight="7620" tabRatio="874" firstSheet="17"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土地案例" sheetId="68"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r:id="rId31"/>
    <sheet name="酒店收入计算" sheetId="57"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state="hidden" r:id="rId42"/>
    <sheet name="Sheet2" sheetId="70" state="hidden" r:id="rId43"/>
  </sheet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16" hidden="1">土地案例!$A$1:$WWZ$51</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I21" i="57" l="1"/>
  <c r="C29" i="57"/>
  <c r="D23" i="57"/>
  <c r="I6" i="57"/>
  <c r="I10" i="57"/>
  <c r="E73" i="39"/>
  <c r="F73" i="39"/>
  <c r="G73" i="39"/>
  <c r="H73" i="39"/>
  <c r="I73" i="39"/>
  <c r="J73" i="39"/>
  <c r="K73" i="39"/>
  <c r="L73" i="39"/>
  <c r="M73" i="39"/>
  <c r="N73" i="39"/>
  <c r="D73" i="39"/>
  <c r="I13" i="3"/>
  <c r="I9" i="39"/>
  <c r="G9" i="39"/>
  <c r="E9" i="39"/>
  <c r="I7" i="39"/>
  <c r="G7" i="39"/>
  <c r="E7" i="39"/>
  <c r="I40" i="39"/>
  <c r="G40" i="39"/>
  <c r="E40" i="39"/>
  <c r="I48" i="39"/>
  <c r="E48" i="39"/>
  <c r="G48" i="39"/>
  <c r="G19" i="6"/>
  <c r="AN13" i="3"/>
  <c r="A6" i="1"/>
  <c r="A7" i="1"/>
  <c r="G1" i="15"/>
  <c r="E20" i="6"/>
  <c r="K7" i="1"/>
  <c r="D3" i="4"/>
  <c r="C1" i="65"/>
  <c r="B43" i="1"/>
  <c r="B41" i="1"/>
  <c r="F32" i="15"/>
  <c r="F33" i="15"/>
  <c r="BC13" i="3"/>
  <c r="BB13" i="3"/>
  <c r="BD13" i="3"/>
  <c r="BE13" i="3"/>
  <c r="BF13" i="3"/>
  <c r="BG13" i="3"/>
  <c r="BH13" i="3"/>
  <c r="BI13" i="3"/>
  <c r="BJ13" i="3"/>
  <c r="BK13" i="3"/>
  <c r="BA13" i="3"/>
  <c r="BM13" i="3"/>
  <c r="BN13" i="3"/>
  <c r="BL13" i="3"/>
  <c r="AZ13" i="3"/>
  <c r="BO13" i="3"/>
  <c r="BP13" i="3"/>
  <c r="BQ13" i="3"/>
  <c r="BR13" i="3"/>
  <c r="BS13" i="3"/>
  <c r="BT13" i="3"/>
  <c r="BB14" i="3"/>
  <c r="BC14" i="3"/>
  <c r="BA14" i="3"/>
  <c r="AZ14" i="3"/>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A15" i="3"/>
  <c r="BM15" i="3"/>
  <c r="BN15" i="3"/>
  <c r="BL15" i="3"/>
  <c r="AZ15" i="3"/>
  <c r="BO15" i="3"/>
  <c r="BP15" i="3"/>
  <c r="BQ15" i="3"/>
  <c r="BR15" i="3"/>
  <c r="BS15" i="3"/>
  <c r="BT15" i="3"/>
  <c r="BB16" i="3"/>
  <c r="BC16" i="3"/>
  <c r="BA16" i="3"/>
  <c r="AZ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L17" i="3"/>
  <c r="AZ17" i="3"/>
  <c r="BO17" i="3"/>
  <c r="BP17" i="3"/>
  <c r="BQ17" i="3"/>
  <c r="BR17" i="3"/>
  <c r="BS17" i="3"/>
  <c r="BT17" i="3"/>
  <c r="BB18" i="3"/>
  <c r="BC18" i="3"/>
  <c r="BA18" i="3"/>
  <c r="AZ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L19" i="3"/>
  <c r="AZ19" i="3"/>
  <c r="BO19" i="3"/>
  <c r="BP19" i="3"/>
  <c r="BQ19" i="3"/>
  <c r="BR19" i="3"/>
  <c r="BS19" i="3"/>
  <c r="BT19" i="3"/>
  <c r="BB20" i="3"/>
  <c r="BC20" i="3"/>
  <c r="BA20" i="3"/>
  <c r="AZ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L21" i="3"/>
  <c r="AZ21" i="3"/>
  <c r="BO21" i="3"/>
  <c r="BP21" i="3"/>
  <c r="BQ21" i="3"/>
  <c r="BR21" i="3"/>
  <c r="BS21" i="3"/>
  <c r="BT21" i="3"/>
  <c r="BB22" i="3"/>
  <c r="BC22" i="3"/>
  <c r="BA22" i="3"/>
  <c r="AZ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L23" i="3"/>
  <c r="AZ23" i="3"/>
  <c r="BO23" i="3"/>
  <c r="BP23" i="3"/>
  <c r="BQ23" i="3"/>
  <c r="BR23" i="3"/>
  <c r="BS23" i="3"/>
  <c r="BT23" i="3"/>
  <c r="BB24" i="3"/>
  <c r="BC24" i="3"/>
  <c r="BA24" i="3"/>
  <c r="AZ24" i="3"/>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L25" i="3"/>
  <c r="AZ25" i="3"/>
  <c r="BO25" i="3"/>
  <c r="BP25" i="3"/>
  <c r="BQ25" i="3"/>
  <c r="BR25" i="3"/>
  <c r="BS25" i="3"/>
  <c r="BT25" i="3"/>
  <c r="BB26" i="3"/>
  <c r="BC26" i="3"/>
  <c r="BA26" i="3"/>
  <c r="AZ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L27" i="3"/>
  <c r="AZ27" i="3"/>
  <c r="BO27" i="3"/>
  <c r="BP27" i="3"/>
  <c r="BQ27" i="3"/>
  <c r="BR27" i="3"/>
  <c r="BS27" i="3"/>
  <c r="BT27" i="3"/>
  <c r="BB28" i="3"/>
  <c r="BC28" i="3"/>
  <c r="BA28" i="3"/>
  <c r="AZ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L29" i="3"/>
  <c r="AZ29" i="3"/>
  <c r="BO29" i="3"/>
  <c r="BP29" i="3"/>
  <c r="BQ29" i="3"/>
  <c r="BR29" i="3"/>
  <c r="BS29" i="3"/>
  <c r="BT29" i="3"/>
  <c r="BB30" i="3"/>
  <c r="BC30" i="3"/>
  <c r="BA30" i="3"/>
  <c r="AZ30" i="3"/>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L31" i="3"/>
  <c r="AZ31" i="3"/>
  <c r="BO31" i="3"/>
  <c r="BP31" i="3"/>
  <c r="BQ31" i="3"/>
  <c r="BR31" i="3"/>
  <c r="BS31" i="3"/>
  <c r="BT31" i="3"/>
  <c r="BB32" i="3"/>
  <c r="BC32" i="3"/>
  <c r="BA32" i="3"/>
  <c r="AZ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L33" i="3"/>
  <c r="AZ33" i="3"/>
  <c r="BO33" i="3"/>
  <c r="BP33" i="3"/>
  <c r="BQ33" i="3"/>
  <c r="BR33" i="3"/>
  <c r="BS33" i="3"/>
  <c r="BT33" i="3"/>
  <c r="BB34" i="3"/>
  <c r="BC34" i="3"/>
  <c r="BA34" i="3"/>
  <c r="AZ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L35" i="3"/>
  <c r="AZ35" i="3"/>
  <c r="BO35" i="3"/>
  <c r="BP35" i="3"/>
  <c r="BQ35" i="3"/>
  <c r="BR35" i="3"/>
  <c r="BS35" i="3"/>
  <c r="BT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L53" i="3"/>
  <c r="BB54" i="3"/>
  <c r="BC54" i="3"/>
  <c r="BD54" i="3"/>
  <c r="BE54" i="3"/>
  <c r="BF54" i="3"/>
  <c r="BG54" i="3"/>
  <c r="BH54" i="3"/>
  <c r="BI54" i="3"/>
  <c r="BJ54" i="3"/>
  <c r="BK54" i="3"/>
  <c r="BA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L55" i="3"/>
  <c r="BB56" i="3"/>
  <c r="BC56" i="3"/>
  <c r="BD56" i="3"/>
  <c r="BE56" i="3"/>
  <c r="BF56" i="3"/>
  <c r="BG56" i="3"/>
  <c r="BH56" i="3"/>
  <c r="BI56" i="3"/>
  <c r="BJ56" i="3"/>
  <c r="BK56" i="3"/>
  <c r="BA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L57" i="3"/>
  <c r="BB58" i="3"/>
  <c r="BC58" i="3"/>
  <c r="BD58" i="3"/>
  <c r="BE58" i="3"/>
  <c r="BF58" i="3"/>
  <c r="BG58" i="3"/>
  <c r="BH58" i="3"/>
  <c r="BI58" i="3"/>
  <c r="BJ58" i="3"/>
  <c r="BK58" i="3"/>
  <c r="BA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L59" i="3"/>
  <c r="BB60" i="3"/>
  <c r="BC60" i="3"/>
  <c r="BD60" i="3"/>
  <c r="BE60" i="3"/>
  <c r="BF60" i="3"/>
  <c r="BG60" i="3"/>
  <c r="BH60" i="3"/>
  <c r="BI60" i="3"/>
  <c r="BJ60" i="3"/>
  <c r="BK60" i="3"/>
  <c r="BA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L61" i="3"/>
  <c r="BB62" i="3"/>
  <c r="BC62" i="3"/>
  <c r="BD62" i="3"/>
  <c r="BE62" i="3"/>
  <c r="BF62" i="3"/>
  <c r="BG62" i="3"/>
  <c r="BH62" i="3"/>
  <c r="BI62" i="3"/>
  <c r="BJ62" i="3"/>
  <c r="BK62" i="3"/>
  <c r="BA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L63" i="3"/>
  <c r="BB64" i="3"/>
  <c r="BC64" i="3"/>
  <c r="BD64" i="3"/>
  <c r="BE64" i="3"/>
  <c r="BF64" i="3"/>
  <c r="BG64" i="3"/>
  <c r="BH64" i="3"/>
  <c r="BI64" i="3"/>
  <c r="BJ64" i="3"/>
  <c r="BK64" i="3"/>
  <c r="BA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L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A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L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L87" i="3"/>
  <c r="BB88" i="3"/>
  <c r="BC88" i="3"/>
  <c r="BD88" i="3"/>
  <c r="BE88" i="3"/>
  <c r="BF88" i="3"/>
  <c r="BG88" i="3"/>
  <c r="BH88" i="3"/>
  <c r="BI88" i="3"/>
  <c r="BJ88" i="3"/>
  <c r="BK88" i="3"/>
  <c r="BA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L89" i="3"/>
  <c r="BB90" i="3"/>
  <c r="BC90" i="3"/>
  <c r="BD90" i="3"/>
  <c r="BE90" i="3"/>
  <c r="BF90" i="3"/>
  <c r="BG90" i="3"/>
  <c r="BH90" i="3"/>
  <c r="BI90" i="3"/>
  <c r="BJ90" i="3"/>
  <c r="BK90" i="3"/>
  <c r="BA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L91" i="3"/>
  <c r="BB92" i="3"/>
  <c r="BC92" i="3"/>
  <c r="BD92" i="3"/>
  <c r="BE92" i="3"/>
  <c r="BF92" i="3"/>
  <c r="BG92" i="3"/>
  <c r="BH92" i="3"/>
  <c r="BI92" i="3"/>
  <c r="BJ92" i="3"/>
  <c r="BK92" i="3"/>
  <c r="BA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L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A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L311" i="3"/>
  <c r="BB312" i="3"/>
  <c r="BC312" i="3"/>
  <c r="BD312" i="3"/>
  <c r="BE312" i="3"/>
  <c r="BF312" i="3"/>
  <c r="BG312" i="3"/>
  <c r="BH312" i="3"/>
  <c r="BI312" i="3"/>
  <c r="BJ312" i="3"/>
  <c r="BK312" i="3"/>
  <c r="BA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L313" i="3"/>
  <c r="BB314" i="3"/>
  <c r="BC314" i="3"/>
  <c r="BD314" i="3"/>
  <c r="BE314" i="3"/>
  <c r="BF314" i="3"/>
  <c r="BG314" i="3"/>
  <c r="BH314" i="3"/>
  <c r="BI314" i="3"/>
  <c r="BJ314" i="3"/>
  <c r="BK314" i="3"/>
  <c r="BA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L315" i="3"/>
  <c r="BB316" i="3"/>
  <c r="BC316" i="3"/>
  <c r="BD316" i="3"/>
  <c r="BE316" i="3"/>
  <c r="BF316" i="3"/>
  <c r="BG316" i="3"/>
  <c r="BH316" i="3"/>
  <c r="BI316" i="3"/>
  <c r="BJ316" i="3"/>
  <c r="BK316" i="3"/>
  <c r="BA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L317" i="3"/>
  <c r="BB318" i="3"/>
  <c r="BC318" i="3"/>
  <c r="BD318" i="3"/>
  <c r="BE318" i="3"/>
  <c r="BF318" i="3"/>
  <c r="BG318" i="3"/>
  <c r="BH318" i="3"/>
  <c r="BI318" i="3"/>
  <c r="BJ318" i="3"/>
  <c r="BK318" i="3"/>
  <c r="BA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L319" i="3"/>
  <c r="BB320" i="3"/>
  <c r="BC320" i="3"/>
  <c r="BD320" i="3"/>
  <c r="BE320" i="3"/>
  <c r="BF320" i="3"/>
  <c r="BG320" i="3"/>
  <c r="BH320" i="3"/>
  <c r="BI320" i="3"/>
  <c r="BJ320" i="3"/>
  <c r="BK320" i="3"/>
  <c r="BA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L376" i="3"/>
  <c r="BB377" i="3"/>
  <c r="BC377" i="3"/>
  <c r="BD377" i="3"/>
  <c r="BE377" i="3"/>
  <c r="BF377" i="3"/>
  <c r="BG377" i="3"/>
  <c r="BH377" i="3"/>
  <c r="BI377" i="3"/>
  <c r="BJ377" i="3"/>
  <c r="BK377" i="3"/>
  <c r="BA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L378" i="3"/>
  <c r="BB379" i="3"/>
  <c r="BC379" i="3"/>
  <c r="BD379" i="3"/>
  <c r="BE379" i="3"/>
  <c r="BF379" i="3"/>
  <c r="BG379" i="3"/>
  <c r="BH379" i="3"/>
  <c r="BI379" i="3"/>
  <c r="BJ379" i="3"/>
  <c r="BK379" i="3"/>
  <c r="BA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L380" i="3"/>
  <c r="BB381" i="3"/>
  <c r="BC381" i="3"/>
  <c r="BD381" i="3"/>
  <c r="BE381" i="3"/>
  <c r="BF381" i="3"/>
  <c r="BG381" i="3"/>
  <c r="BH381" i="3"/>
  <c r="BI381" i="3"/>
  <c r="BJ381" i="3"/>
  <c r="BK381" i="3"/>
  <c r="BA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A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A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L386" i="3"/>
  <c r="BB387" i="3"/>
  <c r="BC387" i="3"/>
  <c r="BD387" i="3"/>
  <c r="BE387" i="3"/>
  <c r="BF387" i="3"/>
  <c r="BG387" i="3"/>
  <c r="BH387" i="3"/>
  <c r="BI387" i="3"/>
  <c r="BJ387" i="3"/>
  <c r="BK387" i="3"/>
  <c r="BA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A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L390" i="3"/>
  <c r="BB391" i="3"/>
  <c r="BC391" i="3"/>
  <c r="BD391" i="3"/>
  <c r="BE391" i="3"/>
  <c r="BF391" i="3"/>
  <c r="BG391" i="3"/>
  <c r="BH391" i="3"/>
  <c r="BI391" i="3"/>
  <c r="BJ391" i="3"/>
  <c r="BK391" i="3"/>
  <c r="BA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L392" i="3"/>
  <c r="BB393" i="3"/>
  <c r="BC393" i="3"/>
  <c r="BD393" i="3"/>
  <c r="BE393" i="3"/>
  <c r="BF393" i="3"/>
  <c r="BG393" i="3"/>
  <c r="BH393" i="3"/>
  <c r="BI393" i="3"/>
  <c r="BJ393" i="3"/>
  <c r="BK393" i="3"/>
  <c r="BA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L394" i="3"/>
  <c r="BB395" i="3"/>
  <c r="BC395" i="3"/>
  <c r="BD395" i="3"/>
  <c r="BE395" i="3"/>
  <c r="BF395" i="3"/>
  <c r="BG395" i="3"/>
  <c r="BH395" i="3"/>
  <c r="BI395" i="3"/>
  <c r="BJ395" i="3"/>
  <c r="BK395" i="3"/>
  <c r="BA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A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L400" i="3"/>
  <c r="BB401" i="3"/>
  <c r="BC401" i="3"/>
  <c r="BD401" i="3"/>
  <c r="BE401" i="3"/>
  <c r="BF401" i="3"/>
  <c r="BG401" i="3"/>
  <c r="BH401" i="3"/>
  <c r="BI401" i="3"/>
  <c r="BJ401" i="3"/>
  <c r="BK401" i="3"/>
  <c r="BA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A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A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A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L408" i="3"/>
  <c r="BB409" i="3"/>
  <c r="BC409" i="3"/>
  <c r="BD409" i="3"/>
  <c r="BE409" i="3"/>
  <c r="BF409" i="3"/>
  <c r="BG409" i="3"/>
  <c r="BH409" i="3"/>
  <c r="BI409" i="3"/>
  <c r="BJ409" i="3"/>
  <c r="BK409" i="3"/>
  <c r="BA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L410" i="3"/>
  <c r="BB411" i="3"/>
  <c r="BC411" i="3"/>
  <c r="BD411" i="3"/>
  <c r="BE411" i="3"/>
  <c r="BF411" i="3"/>
  <c r="BG411" i="3"/>
  <c r="BH411" i="3"/>
  <c r="BI411" i="3"/>
  <c r="BJ411" i="3"/>
  <c r="BK411" i="3"/>
  <c r="BA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A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L414" i="3"/>
  <c r="BB415" i="3"/>
  <c r="BC415" i="3"/>
  <c r="BD415" i="3"/>
  <c r="BE415" i="3"/>
  <c r="BF415" i="3"/>
  <c r="BG415" i="3"/>
  <c r="BH415" i="3"/>
  <c r="BI415" i="3"/>
  <c r="BJ415" i="3"/>
  <c r="BK415" i="3"/>
  <c r="BA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A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L418" i="3"/>
  <c r="BB419" i="3"/>
  <c r="BC419" i="3"/>
  <c r="BD419" i="3"/>
  <c r="BE419" i="3"/>
  <c r="BF419" i="3"/>
  <c r="BG419" i="3"/>
  <c r="BH419" i="3"/>
  <c r="BI419" i="3"/>
  <c r="BJ419" i="3"/>
  <c r="BK419" i="3"/>
  <c r="BA419" i="3"/>
  <c r="BM419" i="3"/>
  <c r="BN419" i="3"/>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L420" i="3"/>
  <c r="BB421" i="3"/>
  <c r="BC421" i="3"/>
  <c r="BD421" i="3"/>
  <c r="BE421" i="3"/>
  <c r="BF421" i="3"/>
  <c r="BG421" i="3"/>
  <c r="BH421" i="3"/>
  <c r="BI421" i="3"/>
  <c r="BJ421" i="3"/>
  <c r="BK421" i="3"/>
  <c r="BA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L422" i="3"/>
  <c r="BB423" i="3"/>
  <c r="BC423" i="3"/>
  <c r="BD423" i="3"/>
  <c r="BE423" i="3"/>
  <c r="BF423" i="3"/>
  <c r="BG423" i="3"/>
  <c r="BH423" i="3"/>
  <c r="BI423" i="3"/>
  <c r="BJ423" i="3"/>
  <c r="BK423" i="3"/>
  <c r="BA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L424" i="3"/>
  <c r="BB425" i="3"/>
  <c r="BC425" i="3"/>
  <c r="BD425" i="3"/>
  <c r="BE425" i="3"/>
  <c r="BF425" i="3"/>
  <c r="BG425" i="3"/>
  <c r="BH425" i="3"/>
  <c r="BI425" i="3"/>
  <c r="BJ425" i="3"/>
  <c r="BK425" i="3"/>
  <c r="BA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L432" i="3"/>
  <c r="BB433" i="3"/>
  <c r="BC433" i="3"/>
  <c r="BD433" i="3"/>
  <c r="BE433" i="3"/>
  <c r="BF433" i="3"/>
  <c r="BG433" i="3"/>
  <c r="BH433" i="3"/>
  <c r="BI433" i="3"/>
  <c r="BJ433" i="3"/>
  <c r="BK433" i="3"/>
  <c r="BA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A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L438" i="3"/>
  <c r="BB439" i="3"/>
  <c r="BC439" i="3"/>
  <c r="BD439" i="3"/>
  <c r="BE439" i="3"/>
  <c r="BF439" i="3"/>
  <c r="BG439" i="3"/>
  <c r="BH439" i="3"/>
  <c r="BI439" i="3"/>
  <c r="BJ439" i="3"/>
  <c r="BK439" i="3"/>
  <c r="BA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L440" i="3"/>
  <c r="BB441" i="3"/>
  <c r="BC441" i="3"/>
  <c r="BD441" i="3"/>
  <c r="BE441" i="3"/>
  <c r="BF441" i="3"/>
  <c r="BG441" i="3"/>
  <c r="BH441" i="3"/>
  <c r="BI441" i="3"/>
  <c r="BJ441" i="3"/>
  <c r="BK441" i="3"/>
  <c r="BA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I445" i="3"/>
  <c r="BJ445" i="3"/>
  <c r="BK445" i="3"/>
  <c r="BA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L448" i="3"/>
  <c r="BB449" i="3"/>
  <c r="BC449" i="3"/>
  <c r="BD449" i="3"/>
  <c r="BE449" i="3"/>
  <c r="BF449" i="3"/>
  <c r="BG449" i="3"/>
  <c r="BH449" i="3"/>
  <c r="BI449" i="3"/>
  <c r="BJ449" i="3"/>
  <c r="BK449" i="3"/>
  <c r="BA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L456" i="3"/>
  <c r="BB457" i="3"/>
  <c r="BC457" i="3"/>
  <c r="BD457" i="3"/>
  <c r="BE457" i="3"/>
  <c r="BF457" i="3"/>
  <c r="BG457" i="3"/>
  <c r="BH457" i="3"/>
  <c r="BI457" i="3"/>
  <c r="BJ457" i="3"/>
  <c r="BK457" i="3"/>
  <c r="BA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A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A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L484" i="3"/>
  <c r="BB485" i="3"/>
  <c r="BC485" i="3"/>
  <c r="BD485" i="3"/>
  <c r="BE485" i="3"/>
  <c r="BF485" i="3"/>
  <c r="BG485" i="3"/>
  <c r="BH485" i="3"/>
  <c r="BI485" i="3"/>
  <c r="BJ485" i="3"/>
  <c r="BK485" i="3"/>
  <c r="BA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A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L500" i="3"/>
  <c r="BB501" i="3"/>
  <c r="BC501" i="3"/>
  <c r="BD501" i="3"/>
  <c r="BE501" i="3"/>
  <c r="BF501" i="3"/>
  <c r="BG501" i="3"/>
  <c r="BH501" i="3"/>
  <c r="BI501" i="3"/>
  <c r="BJ501" i="3"/>
  <c r="BK501" i="3"/>
  <c r="BA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L508" i="3"/>
  <c r="BB509" i="3"/>
  <c r="BC509" i="3"/>
  <c r="BD509" i="3"/>
  <c r="BE509" i="3"/>
  <c r="BF509" i="3"/>
  <c r="BG509" i="3"/>
  <c r="BH509" i="3"/>
  <c r="BI509" i="3"/>
  <c r="BJ509" i="3"/>
  <c r="BK509" i="3"/>
  <c r="BA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L512" i="3"/>
  <c r="BB513" i="3"/>
  <c r="BC513" i="3"/>
  <c r="BD513" i="3"/>
  <c r="BE513" i="3"/>
  <c r="BF513" i="3"/>
  <c r="BG513" i="3"/>
  <c r="BH513" i="3"/>
  <c r="BI513" i="3"/>
  <c r="BJ513" i="3"/>
  <c r="BK513" i="3"/>
  <c r="BA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L516" i="3"/>
  <c r="BB517" i="3"/>
  <c r="BC517" i="3"/>
  <c r="BD517" i="3"/>
  <c r="BE517" i="3"/>
  <c r="BF517" i="3"/>
  <c r="BG517" i="3"/>
  <c r="BH517" i="3"/>
  <c r="BI517" i="3"/>
  <c r="BJ517" i="3"/>
  <c r="BK517" i="3"/>
  <c r="BA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A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A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L526" i="3"/>
  <c r="BB527" i="3"/>
  <c r="BC527" i="3"/>
  <c r="BD527" i="3"/>
  <c r="BE527" i="3"/>
  <c r="BF527" i="3"/>
  <c r="BG527" i="3"/>
  <c r="BH527" i="3"/>
  <c r="BI527" i="3"/>
  <c r="BJ527" i="3"/>
  <c r="BK527" i="3"/>
  <c r="BA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L528" i="3"/>
  <c r="BB529" i="3"/>
  <c r="BC529" i="3"/>
  <c r="BD529" i="3"/>
  <c r="BE529" i="3"/>
  <c r="BF529" i="3"/>
  <c r="BG529" i="3"/>
  <c r="BH529" i="3"/>
  <c r="BI529" i="3"/>
  <c r="BJ529" i="3"/>
  <c r="BK529" i="3"/>
  <c r="BA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L530" i="3"/>
  <c r="BB531" i="3"/>
  <c r="BC531" i="3"/>
  <c r="BD531" i="3"/>
  <c r="BE531" i="3"/>
  <c r="BF531" i="3"/>
  <c r="BG531" i="3"/>
  <c r="BH531" i="3"/>
  <c r="BI531" i="3"/>
  <c r="BJ531" i="3"/>
  <c r="BK531" i="3"/>
  <c r="BA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L532" i="3"/>
  <c r="BB533" i="3"/>
  <c r="BC533" i="3"/>
  <c r="BD533" i="3"/>
  <c r="BE533" i="3"/>
  <c r="BF533" i="3"/>
  <c r="BG533" i="3"/>
  <c r="BH533" i="3"/>
  <c r="BI533" i="3"/>
  <c r="BJ533" i="3"/>
  <c r="BK533" i="3"/>
  <c r="BA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A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L536" i="3"/>
  <c r="BB537" i="3"/>
  <c r="BC537" i="3"/>
  <c r="BD537" i="3"/>
  <c r="BE537" i="3"/>
  <c r="BF537" i="3"/>
  <c r="BG537" i="3"/>
  <c r="BH537" i="3"/>
  <c r="BI537" i="3"/>
  <c r="BJ537" i="3"/>
  <c r="BK537" i="3"/>
  <c r="BA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L538" i="3"/>
  <c r="BB539" i="3"/>
  <c r="BC539" i="3"/>
  <c r="BD539" i="3"/>
  <c r="BE539" i="3"/>
  <c r="BF539" i="3"/>
  <c r="BG539" i="3"/>
  <c r="BH539" i="3"/>
  <c r="BI539" i="3"/>
  <c r="BJ539" i="3"/>
  <c r="BK539" i="3"/>
  <c r="BA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L540" i="3"/>
  <c r="BB541" i="3"/>
  <c r="BC541" i="3"/>
  <c r="BD541" i="3"/>
  <c r="BE541" i="3"/>
  <c r="BF541" i="3"/>
  <c r="BG541" i="3"/>
  <c r="BH541" i="3"/>
  <c r="BI541" i="3"/>
  <c r="BJ541" i="3"/>
  <c r="BK541" i="3"/>
  <c r="BA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L544" i="3"/>
  <c r="BB545" i="3"/>
  <c r="BC545" i="3"/>
  <c r="BD545" i="3"/>
  <c r="BE545" i="3"/>
  <c r="BF545" i="3"/>
  <c r="BG545" i="3"/>
  <c r="BH545" i="3"/>
  <c r="BI545" i="3"/>
  <c r="BJ545" i="3"/>
  <c r="BK545" i="3"/>
  <c r="BA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L546" i="3"/>
  <c r="BB547" i="3"/>
  <c r="BC547" i="3"/>
  <c r="BD547" i="3"/>
  <c r="BE547" i="3"/>
  <c r="BF547" i="3"/>
  <c r="BG547" i="3"/>
  <c r="BH547" i="3"/>
  <c r="BI547" i="3"/>
  <c r="BJ547" i="3"/>
  <c r="BK547" i="3"/>
  <c r="BA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L548" i="3"/>
  <c r="BB549" i="3"/>
  <c r="BC549" i="3"/>
  <c r="BD549" i="3"/>
  <c r="BE549" i="3"/>
  <c r="BF549" i="3"/>
  <c r="BG549" i="3"/>
  <c r="BH549" i="3"/>
  <c r="BI549" i="3"/>
  <c r="BJ549" i="3"/>
  <c r="BK549" i="3"/>
  <c r="BA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L550" i="3"/>
  <c r="BB551" i="3"/>
  <c r="BC551" i="3"/>
  <c r="BD551" i="3"/>
  <c r="BE551" i="3"/>
  <c r="BF551" i="3"/>
  <c r="BG551" i="3"/>
  <c r="BH551" i="3"/>
  <c r="BI551" i="3"/>
  <c r="BJ551" i="3"/>
  <c r="BK551" i="3"/>
  <c r="BA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L552" i="3"/>
  <c r="BB553" i="3"/>
  <c r="BC553" i="3"/>
  <c r="BD553" i="3"/>
  <c r="BE553" i="3"/>
  <c r="BF553" i="3"/>
  <c r="BG553" i="3"/>
  <c r="BH553" i="3"/>
  <c r="BI553" i="3"/>
  <c r="BJ553" i="3"/>
  <c r="BK553" i="3"/>
  <c r="BA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L556" i="3"/>
  <c r="BB557" i="3"/>
  <c r="BC557" i="3"/>
  <c r="BD557" i="3"/>
  <c r="BE557" i="3"/>
  <c r="BF557" i="3"/>
  <c r="BG557" i="3"/>
  <c r="BH557" i="3"/>
  <c r="BI557" i="3"/>
  <c r="BJ557" i="3"/>
  <c r="BK557" i="3"/>
  <c r="BA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A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L560" i="3"/>
  <c r="BB561" i="3"/>
  <c r="BC561" i="3"/>
  <c r="BD561" i="3"/>
  <c r="BE561" i="3"/>
  <c r="BF561" i="3"/>
  <c r="BG561" i="3"/>
  <c r="BH561" i="3"/>
  <c r="BI561" i="3"/>
  <c r="BJ561" i="3"/>
  <c r="BK561" i="3"/>
  <c r="BA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L562" i="3"/>
  <c r="BB563" i="3"/>
  <c r="BC563" i="3"/>
  <c r="BD563" i="3"/>
  <c r="BE563" i="3"/>
  <c r="BF563" i="3"/>
  <c r="BG563" i="3"/>
  <c r="BH563" i="3"/>
  <c r="BI563" i="3"/>
  <c r="BJ563" i="3"/>
  <c r="BK563" i="3"/>
  <c r="BA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L564" i="3"/>
  <c r="BB565" i="3"/>
  <c r="BC565" i="3"/>
  <c r="BD565" i="3"/>
  <c r="BE565" i="3"/>
  <c r="BF565" i="3"/>
  <c r="BG565" i="3"/>
  <c r="BH565" i="3"/>
  <c r="BI565" i="3"/>
  <c r="BJ565" i="3"/>
  <c r="BK565" i="3"/>
  <c r="BA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L566" i="3"/>
  <c r="BB567" i="3"/>
  <c r="BC567" i="3"/>
  <c r="BD567" i="3"/>
  <c r="BE567" i="3"/>
  <c r="BF567" i="3"/>
  <c r="BG567" i="3"/>
  <c r="BH567" i="3"/>
  <c r="BI567" i="3"/>
  <c r="BJ567" i="3"/>
  <c r="BK567" i="3"/>
  <c r="BA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L570" i="3"/>
  <c r="BB571" i="3"/>
  <c r="BC571" i="3"/>
  <c r="BD571" i="3"/>
  <c r="BE571" i="3"/>
  <c r="BF571" i="3"/>
  <c r="BG571" i="3"/>
  <c r="BH571" i="3"/>
  <c r="BI571" i="3"/>
  <c r="BJ571" i="3"/>
  <c r="BK571" i="3"/>
  <c r="BA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L572"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H5"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AT5" i="3"/>
  <c r="F19" i="6"/>
  <c r="E19" i="6"/>
  <c r="E21" i="6"/>
  <c r="E22" i="6"/>
  <c r="E23" i="6"/>
  <c r="E24" i="6"/>
  <c r="E25" i="6"/>
  <c r="E26" i="6"/>
  <c r="BQ5" i="3"/>
  <c r="BS5" i="3"/>
  <c r="F28" i="6"/>
  <c r="F30" i="6"/>
  <c r="BR5" i="3"/>
  <c r="BT5" i="3"/>
  <c r="G28" i="6"/>
  <c r="E28" i="6"/>
  <c r="K14" i="1"/>
  <c r="M14" i="1"/>
  <c r="L20" i="6"/>
  <c r="L19" i="6"/>
  <c r="R7" i="1"/>
  <c r="B52" i="1"/>
  <c r="F34" i="15"/>
  <c r="M7" i="1"/>
  <c r="O7" i="1"/>
  <c r="S7" i="1"/>
  <c r="A8" i="1"/>
  <c r="S8" i="1"/>
  <c r="A9" i="1"/>
  <c r="S9" i="1"/>
  <c r="A10" i="1"/>
  <c r="S10" i="1"/>
  <c r="A11" i="1"/>
  <c r="S11" i="1"/>
  <c r="A12" i="1"/>
  <c r="S12" i="1"/>
  <c r="A13" i="1"/>
  <c r="S13" i="1"/>
  <c r="T4" i="1"/>
  <c r="F15" i="15"/>
  <c r="F17" i="15"/>
  <c r="F18" i="15"/>
  <c r="F20" i="15"/>
  <c r="B22" i="1"/>
  <c r="C2" i="65"/>
  <c r="I1" i="65"/>
  <c r="F23" i="15"/>
  <c r="F21" i="15"/>
  <c r="F28" i="15"/>
  <c r="B2" i="1"/>
  <c r="C42" i="1"/>
  <c r="E19" i="4"/>
  <c r="F7" i="1"/>
  <c r="F6" i="1"/>
  <c r="AP6" i="1"/>
  <c r="M47" i="15"/>
  <c r="J50" i="15"/>
  <c r="J51" i="15"/>
  <c r="AE7" i="1"/>
  <c r="L46" i="15"/>
  <c r="BC5" i="3"/>
  <c r="BB5" i="3"/>
  <c r="E8" i="6"/>
  <c r="F27" i="6"/>
  <c r="F31" i="6"/>
  <c r="BB10" i="3"/>
  <c r="BC10" i="3"/>
  <c r="BD10" i="3"/>
  <c r="BE10" i="3"/>
  <c r="BF10" i="3"/>
  <c r="BG10" i="3"/>
  <c r="BH10" i="3"/>
  <c r="BI10" i="3"/>
  <c r="BJ10" i="3"/>
  <c r="BK10" i="3"/>
  <c r="BD5" i="3"/>
  <c r="BE5" i="3"/>
  <c r="BF5" i="3"/>
  <c r="BG5" i="3"/>
  <c r="BH5" i="3"/>
  <c r="BI5" i="3"/>
  <c r="BJ5" i="3"/>
  <c r="BK5" i="3"/>
  <c r="BM5" i="3"/>
  <c r="BO5" i="3"/>
  <c r="F29" i="6"/>
  <c r="BN5" i="3"/>
  <c r="BP5" i="3"/>
  <c r="G29" i="6"/>
  <c r="E29" i="6"/>
  <c r="D69" i="21"/>
  <c r="E69" i="21"/>
  <c r="F69" i="21"/>
  <c r="D104" i="21"/>
  <c r="E104" i="21"/>
  <c r="F104" i="21"/>
  <c r="G104" i="21"/>
  <c r="H104" i="21"/>
  <c r="R47" i="21"/>
  <c r="C7" i="21"/>
  <c r="C58" i="21"/>
  <c r="F8" i="21"/>
  <c r="AA8" i="21"/>
  <c r="C63" i="21"/>
  <c r="F9" i="21"/>
  <c r="AA9" i="21"/>
  <c r="F10" i="21"/>
  <c r="AA10" i="21"/>
  <c r="B70" i="21"/>
  <c r="F12" i="21"/>
  <c r="AA12" i="21"/>
  <c r="B72" i="21"/>
  <c r="F13" i="21"/>
  <c r="AA13" i="21"/>
  <c r="B74" i="21"/>
  <c r="F14" i="21"/>
  <c r="AA14" i="21"/>
  <c r="D77" i="21"/>
  <c r="E77" i="21"/>
  <c r="F15" i="21"/>
  <c r="AA15" i="21"/>
  <c r="D79" i="21"/>
  <c r="E79" i="21"/>
  <c r="F17" i="21"/>
  <c r="AA17" i="21"/>
  <c r="D81" i="21"/>
  <c r="E81" i="21"/>
  <c r="F19" i="21"/>
  <c r="AA19" i="21"/>
  <c r="D83" i="21"/>
  <c r="F21" i="21"/>
  <c r="AA21" i="21"/>
  <c r="D85" i="21"/>
  <c r="E85" i="21"/>
  <c r="F25" i="21"/>
  <c r="AA25" i="21"/>
  <c r="F26" i="21"/>
  <c r="AA26" i="21"/>
  <c r="B90" i="21"/>
  <c r="F27" i="21"/>
  <c r="AA27" i="21"/>
  <c r="B92" i="21"/>
  <c r="F28" i="21"/>
  <c r="AA28" i="21"/>
  <c r="B94" i="21"/>
  <c r="F29" i="21"/>
  <c r="AA29" i="21"/>
  <c r="B96" i="21"/>
  <c r="F30" i="21"/>
  <c r="AA30" i="21"/>
  <c r="B98" i="21"/>
  <c r="F31" i="21"/>
  <c r="AA31" i="21"/>
  <c r="F32" i="21"/>
  <c r="AA32" i="21"/>
  <c r="F34" i="21"/>
  <c r="AA34" i="21"/>
  <c r="D108" i="21"/>
  <c r="F35" i="21"/>
  <c r="AA35" i="21"/>
  <c r="F36" i="21"/>
  <c r="AA36" i="21"/>
  <c r="D113" i="21"/>
  <c r="E113" i="21"/>
  <c r="F113" i="21"/>
  <c r="G113" i="21"/>
  <c r="D115" i="21"/>
  <c r="F38" i="21"/>
  <c r="AA38" i="21"/>
  <c r="F39" i="21"/>
  <c r="AA39" i="21"/>
  <c r="F40" i="21"/>
  <c r="AA40" i="21"/>
  <c r="F41" i="21"/>
  <c r="AA41" i="21"/>
  <c r="D123" i="21"/>
  <c r="E123" i="21"/>
  <c r="F123" i="21"/>
  <c r="F43" i="21"/>
  <c r="AA43" i="21"/>
  <c r="B126" i="21"/>
  <c r="F44" i="21"/>
  <c r="AA44" i="21"/>
  <c r="B128" i="21"/>
  <c r="F45" i="21"/>
  <c r="AA45" i="21"/>
  <c r="B130" i="21"/>
  <c r="F46" i="21"/>
  <c r="AA46" i="21"/>
  <c r="T47" i="21"/>
  <c r="H8" i="21"/>
  <c r="AB8" i="21"/>
  <c r="H9" i="21"/>
  <c r="AB9" i="21"/>
  <c r="H10" i="21"/>
  <c r="AB10" i="21"/>
  <c r="H12" i="21"/>
  <c r="AB12" i="21"/>
  <c r="H13" i="21"/>
  <c r="AB13" i="21"/>
  <c r="H14" i="21"/>
  <c r="AB14" i="21"/>
  <c r="H15" i="21"/>
  <c r="AB15" i="21"/>
  <c r="H17" i="21"/>
  <c r="AB17" i="21"/>
  <c r="H19" i="21"/>
  <c r="AB19" i="21"/>
  <c r="H21" i="21"/>
  <c r="AB21" i="21"/>
  <c r="H25" i="21"/>
  <c r="AB25" i="21"/>
  <c r="H26" i="21"/>
  <c r="AB26" i="21"/>
  <c r="H27" i="21"/>
  <c r="AB27" i="21"/>
  <c r="H28" i="21"/>
  <c r="AB28" i="21"/>
  <c r="H29" i="21"/>
  <c r="AB29" i="21"/>
  <c r="H30" i="21"/>
  <c r="AB30" i="21"/>
  <c r="H31" i="21"/>
  <c r="AB31" i="21"/>
  <c r="H32" i="21"/>
  <c r="AB32" i="21"/>
  <c r="H34" i="21"/>
  <c r="AB34" i="21"/>
  <c r="H35" i="21"/>
  <c r="AB35" i="21"/>
  <c r="H36" i="21"/>
  <c r="AB36" i="21"/>
  <c r="H38" i="21"/>
  <c r="AB38" i="21"/>
  <c r="H39" i="21"/>
  <c r="AB39" i="21"/>
  <c r="H40" i="21"/>
  <c r="AB40" i="21"/>
  <c r="H41" i="21"/>
  <c r="AB41" i="21"/>
  <c r="H43" i="21"/>
  <c r="AB43" i="21"/>
  <c r="H44" i="21"/>
  <c r="AB44" i="21"/>
  <c r="H45" i="21"/>
  <c r="AB45" i="21"/>
  <c r="H46" i="21"/>
  <c r="AB46" i="21"/>
  <c r="V47" i="21"/>
  <c r="J8" i="21"/>
  <c r="AC8" i="21"/>
  <c r="J9" i="21"/>
  <c r="AC9" i="21"/>
  <c r="J10" i="21"/>
  <c r="AC10" i="21"/>
  <c r="J12" i="21"/>
  <c r="AC12" i="21"/>
  <c r="J13" i="21"/>
  <c r="AC13" i="21"/>
  <c r="J14" i="21"/>
  <c r="AC14" i="21"/>
  <c r="J15" i="21"/>
  <c r="AC15" i="21"/>
  <c r="J17" i="21"/>
  <c r="AC17" i="21"/>
  <c r="J19" i="21"/>
  <c r="AC19" i="21"/>
  <c r="J21" i="21"/>
  <c r="AC21" i="21"/>
  <c r="J25" i="21"/>
  <c r="AC25" i="21"/>
  <c r="J26" i="21"/>
  <c r="AC26" i="21"/>
  <c r="J27" i="21"/>
  <c r="AC27" i="21"/>
  <c r="J28" i="21"/>
  <c r="AC28" i="21"/>
  <c r="J29" i="21"/>
  <c r="AC29" i="21"/>
  <c r="J30" i="21"/>
  <c r="AC30" i="21"/>
  <c r="J31" i="21"/>
  <c r="AC31" i="21"/>
  <c r="J32" i="21"/>
  <c r="AC32" i="21"/>
  <c r="J34" i="21"/>
  <c r="AC34" i="21"/>
  <c r="J35" i="21"/>
  <c r="AC35" i="21"/>
  <c r="J36" i="21"/>
  <c r="AC36" i="21"/>
  <c r="J38" i="21"/>
  <c r="AC38" i="21"/>
  <c r="J39" i="21"/>
  <c r="AC39" i="21"/>
  <c r="J40" i="21"/>
  <c r="AC40" i="21"/>
  <c r="J41" i="21"/>
  <c r="AC41" i="21"/>
  <c r="J43" i="21"/>
  <c r="AC43" i="21"/>
  <c r="J44" i="21"/>
  <c r="AC44" i="21"/>
  <c r="J45" i="21"/>
  <c r="AC45" i="21"/>
  <c r="J46" i="21"/>
  <c r="AC46" i="21"/>
  <c r="D3" i="21"/>
  <c r="K8" i="1"/>
  <c r="M8" i="1"/>
  <c r="O8" i="1"/>
  <c r="K9" i="1"/>
  <c r="M9" i="1"/>
  <c r="O9" i="1"/>
  <c r="K10" i="1"/>
  <c r="M10" i="1"/>
  <c r="O10" i="1"/>
  <c r="K11" i="1"/>
  <c r="M11" i="1"/>
  <c r="O11" i="1"/>
  <c r="K12" i="1"/>
  <c r="M12" i="1"/>
  <c r="O12" i="1"/>
  <c r="K13" i="1"/>
  <c r="M13" i="1"/>
  <c r="O13" i="1"/>
  <c r="O14" i="1"/>
  <c r="F14" i="12"/>
  <c r="F15" i="12"/>
  <c r="E16" i="12"/>
  <c r="F17" i="12"/>
  <c r="E19" i="12"/>
  <c r="BB11" i="3"/>
  <c r="BC11" i="3"/>
  <c r="BD11" i="3"/>
  <c r="BE11" i="3"/>
  <c r="BF11" i="3"/>
  <c r="BG11" i="3"/>
  <c r="BH11" i="3"/>
  <c r="BI11" i="3"/>
  <c r="BJ11" i="3"/>
  <c r="BK11" i="3"/>
  <c r="BM11" i="3"/>
  <c r="BN11" i="3"/>
  <c r="BO11" i="3"/>
  <c r="BP11" i="3"/>
  <c r="BQ11" i="3"/>
  <c r="BR11" i="3"/>
  <c r="BS11" i="3"/>
  <c r="BT11" i="3"/>
  <c r="F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E5" i="6"/>
  <c r="D21" i="12"/>
  <c r="C21" i="12"/>
  <c r="E21" i="12"/>
  <c r="E22" i="12"/>
  <c r="F23" i="12"/>
  <c r="F24" i="12"/>
  <c r="B24" i="1"/>
  <c r="F29" i="12"/>
  <c r="F25" i="12"/>
  <c r="C25" i="12"/>
  <c r="D19" i="4"/>
  <c r="D9" i="12"/>
  <c r="C17" i="9"/>
  <c r="D17" i="9"/>
  <c r="C18" i="9"/>
  <c r="C106" i="9"/>
  <c r="I4" i="6"/>
  <c r="C40" i="39"/>
  <c r="J40" i="39"/>
  <c r="AC40" i="39"/>
  <c r="AH5" i="59"/>
  <c r="AG5" i="59"/>
  <c r="AE5" i="59"/>
  <c r="AF5" i="59"/>
  <c r="AD5" i="59"/>
  <c r="Q6" i="59"/>
  <c r="Q5" i="59"/>
  <c r="Q7" i="59"/>
  <c r="Q8" i="59"/>
  <c r="Q9" i="59"/>
  <c r="Q10" i="59"/>
  <c r="Q11" i="59"/>
  <c r="Q12" i="59"/>
  <c r="Q13" i="59"/>
  <c r="Q14" i="59"/>
  <c r="Q15" i="59"/>
  <c r="Q16" i="59"/>
  <c r="Q17" i="59"/>
  <c r="Q18" i="59"/>
  <c r="Q19" i="59"/>
  <c r="Q20" i="59"/>
  <c r="Q21" i="59"/>
  <c r="Q22" i="59"/>
  <c r="P6" i="59"/>
  <c r="P5" i="59"/>
  <c r="P7" i="59"/>
  <c r="E7" i="59"/>
  <c r="P8" i="59"/>
  <c r="P9" i="59"/>
  <c r="P10" i="59"/>
  <c r="P11" i="59"/>
  <c r="P12" i="59"/>
  <c r="P13" i="59"/>
  <c r="P14" i="59"/>
  <c r="P15" i="59"/>
  <c r="P16" i="59"/>
  <c r="P17" i="59"/>
  <c r="P18" i="59"/>
  <c r="P19" i="59"/>
  <c r="P20" i="59"/>
  <c r="P21" i="59"/>
  <c r="AA21" i="59"/>
  <c r="P22" i="59"/>
  <c r="AA5" i="59"/>
  <c r="O6" i="59"/>
  <c r="O5" i="59"/>
  <c r="O7" i="59"/>
  <c r="O8" i="59"/>
  <c r="O9" i="59"/>
  <c r="O10" i="59"/>
  <c r="O11" i="59"/>
  <c r="O12" i="59"/>
  <c r="O13" i="59"/>
  <c r="O14" i="59"/>
  <c r="O15" i="59"/>
  <c r="O16" i="59"/>
  <c r="O17" i="59"/>
  <c r="O18" i="59"/>
  <c r="O19" i="59"/>
  <c r="O20" i="59"/>
  <c r="O21" i="59"/>
  <c r="O22" i="59"/>
  <c r="Y22" i="59"/>
  <c r="N6" i="59"/>
  <c r="N5" i="59"/>
  <c r="N7" i="59"/>
  <c r="N8" i="59"/>
  <c r="N9" i="59"/>
  <c r="N10" i="59"/>
  <c r="N11" i="59"/>
  <c r="N12" i="59"/>
  <c r="N13" i="59"/>
  <c r="N14" i="59"/>
  <c r="N15" i="59"/>
  <c r="N16" i="59"/>
  <c r="N17" i="59"/>
  <c r="N18" i="59"/>
  <c r="N19" i="59"/>
  <c r="N20" i="59"/>
  <c r="N21" i="59"/>
  <c r="N22" i="59"/>
  <c r="F7" i="59"/>
  <c r="E6" i="59"/>
  <c r="E5" i="59"/>
  <c r="C7" i="59"/>
  <c r="B7" i="59"/>
  <c r="G19" i="46"/>
  <c r="D8" i="59"/>
  <c r="B11" i="59"/>
  <c r="C11" i="59"/>
  <c r="E11" i="59"/>
  <c r="E10" i="59"/>
  <c r="E9" i="59"/>
  <c r="F11" i="59"/>
  <c r="F10" i="59"/>
  <c r="F9" i="59"/>
  <c r="D12" i="59"/>
  <c r="C13" i="59"/>
  <c r="E13" i="59"/>
  <c r="E14" i="59"/>
  <c r="E15" i="59"/>
  <c r="D16" i="59"/>
  <c r="C17" i="59"/>
  <c r="E17" i="59"/>
  <c r="E18" i="59"/>
  <c r="E19" i="59"/>
  <c r="D20" i="59"/>
  <c r="C21" i="59"/>
  <c r="E21" i="59"/>
  <c r="E22" i="59"/>
  <c r="E23" i="59"/>
  <c r="M19" i="46"/>
  <c r="G2" i="46"/>
  <c r="C6" i="46"/>
  <c r="G17" i="46"/>
  <c r="H17" i="46"/>
  <c r="I17" i="46"/>
  <c r="J17" i="46"/>
  <c r="C17" i="46"/>
  <c r="C16" i="46"/>
  <c r="G20" i="46"/>
  <c r="J20" i="46"/>
  <c r="I20" i="46"/>
  <c r="C24" i="46"/>
  <c r="F39" i="46"/>
  <c r="F38" i="46"/>
  <c r="F37" i="46"/>
  <c r="D5" i="46"/>
  <c r="F36" i="46"/>
  <c r="F35" i="46"/>
  <c r="F34" i="46"/>
  <c r="G19" i="4"/>
  <c r="F8" i="1"/>
  <c r="AP8" i="1"/>
  <c r="G1" i="44"/>
  <c r="M48" i="44"/>
  <c r="J51" i="44"/>
  <c r="J52" i="44"/>
  <c r="C18" i="46"/>
  <c r="F33" i="46"/>
  <c r="C10" i="46"/>
  <c r="C11" i="46"/>
  <c r="E10" i="46"/>
  <c r="E15" i="46"/>
  <c r="E17" i="46"/>
  <c r="D47" i="46"/>
  <c r="D48" i="46"/>
  <c r="D49" i="46"/>
  <c r="D50" i="46"/>
  <c r="D51" i="46"/>
  <c r="D52" i="46"/>
  <c r="D53" i="46"/>
  <c r="D54" i="46"/>
  <c r="D55" i="46"/>
  <c r="D58" i="46"/>
  <c r="D59" i="46"/>
  <c r="D60" i="46"/>
  <c r="D61" i="46"/>
  <c r="D62" i="46"/>
  <c r="D63" i="46"/>
  <c r="D64" i="46"/>
  <c r="D65" i="46"/>
  <c r="D66" i="46"/>
  <c r="D69" i="46"/>
  <c r="D70" i="46"/>
  <c r="D71" i="46"/>
  <c r="D72" i="46"/>
  <c r="D73" i="46"/>
  <c r="D74" i="46"/>
  <c r="D75" i="46"/>
  <c r="D76" i="46"/>
  <c r="D77" i="46"/>
  <c r="D80" i="46"/>
  <c r="D81" i="46"/>
  <c r="D82" i="46"/>
  <c r="D83" i="46"/>
  <c r="D84" i="46"/>
  <c r="D85" i="46"/>
  <c r="D86" i="46"/>
  <c r="D87" i="46"/>
  <c r="E80" i="46"/>
  <c r="E99" i="46"/>
  <c r="E100" i="46"/>
  <c r="E108" i="46"/>
  <c r="F15" i="46"/>
  <c r="F47" i="46"/>
  <c r="F58" i="46"/>
  <c r="F69" i="46"/>
  <c r="F80" i="46"/>
  <c r="F99" i="46"/>
  <c r="F100" i="46"/>
  <c r="F108" i="46"/>
  <c r="F113" i="46"/>
  <c r="H33" i="46"/>
  <c r="D1" i="46"/>
  <c r="C9" i="46"/>
  <c r="C15" i="46"/>
  <c r="D15" i="46"/>
  <c r="C12" i="46"/>
  <c r="C99" i="46"/>
  <c r="C100" i="46"/>
  <c r="C108" i="46"/>
  <c r="D99" i="46"/>
  <c r="D100" i="46"/>
  <c r="H113" i="46"/>
  <c r="AH6" i="59"/>
  <c r="AG6" i="59"/>
  <c r="AE6" i="59"/>
  <c r="AF6" i="59"/>
  <c r="AD6" i="59"/>
  <c r="I3" i="59"/>
  <c r="L3" i="59"/>
  <c r="K3" i="59"/>
  <c r="J3" i="59"/>
  <c r="AE3" i="59"/>
  <c r="AE7" i="59"/>
  <c r="AF7" i="59"/>
  <c r="AG7" i="59"/>
  <c r="AH7" i="59"/>
  <c r="AD7" i="59"/>
  <c r="AB6" i="59"/>
  <c r="Y6" i="59"/>
  <c r="Z6" i="59"/>
  <c r="X6" i="59"/>
  <c r="L4" i="9"/>
  <c r="M4" i="9"/>
  <c r="A30" i="64"/>
  <c r="A30" i="51"/>
  <c r="K59" i="15"/>
  <c r="P62" i="15"/>
  <c r="P75" i="15"/>
  <c r="Q74" i="44"/>
  <c r="Q61" i="44"/>
  <c r="Q60" i="44"/>
  <c r="Q53" i="44"/>
  <c r="A16" i="55"/>
  <c r="B67" i="63"/>
  <c r="A15" i="55"/>
  <c r="C43" i="9"/>
  <c r="K47" i="9"/>
  <c r="A14" i="55"/>
  <c r="B65" i="63"/>
  <c r="L24" i="4"/>
  <c r="L25" i="4"/>
  <c r="L26" i="4"/>
  <c r="A11" i="55"/>
  <c r="A10" i="55"/>
  <c r="A9" i="55"/>
  <c r="B60" i="63"/>
  <c r="A8" i="55"/>
  <c r="A6" i="54"/>
  <c r="B49" i="63"/>
  <c r="A8" i="54"/>
  <c r="A7" i="54"/>
  <c r="C57" i="10"/>
  <c r="A28" i="51"/>
  <c r="N4" i="63"/>
  <c r="A27" i="51"/>
  <c r="AB7" i="59"/>
  <c r="AA7" i="59"/>
  <c r="K75" i="9"/>
  <c r="K6" i="4"/>
  <c r="L76" i="9"/>
  <c r="B22" i="31"/>
  <c r="E15" i="66"/>
  <c r="F15" i="66"/>
  <c r="E16" i="66"/>
  <c r="F16" i="66"/>
  <c r="E17" i="66"/>
  <c r="F17" i="66"/>
  <c r="E18" i="66"/>
  <c r="F18" i="66"/>
  <c r="E19" i="66"/>
  <c r="F19" i="66"/>
  <c r="E20" i="66"/>
  <c r="F20" i="66"/>
  <c r="E21" i="66"/>
  <c r="F21" i="66"/>
  <c r="E22" i="66"/>
  <c r="F22" i="66"/>
  <c r="E23" i="66"/>
  <c r="F23" i="66"/>
  <c r="B3" i="66"/>
  <c r="V11" i="59"/>
  <c r="U11" i="59"/>
  <c r="S11" i="59"/>
  <c r="U7" i="59"/>
  <c r="AD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Y12" i="59"/>
  <c r="Z12" i="59"/>
  <c r="AA12" i="59"/>
  <c r="X13" i="59"/>
  <c r="AB13" i="59"/>
  <c r="Y14" i="59"/>
  <c r="Z14" i="59"/>
  <c r="AA14" i="59"/>
  <c r="X15" i="59"/>
  <c r="AB15" i="59"/>
  <c r="Y16" i="59"/>
  <c r="Z16" i="59"/>
  <c r="AA16" i="59"/>
  <c r="X17" i="59"/>
  <c r="AB17" i="59"/>
  <c r="Y18" i="59"/>
  <c r="Z18" i="59"/>
  <c r="AA18" i="59"/>
  <c r="X19" i="59"/>
  <c r="AB19" i="59"/>
  <c r="Y20" i="59"/>
  <c r="Z20" i="59"/>
  <c r="AA20" i="59"/>
  <c r="AB21" i="59"/>
  <c r="Y21" i="59"/>
  <c r="S2" i="31"/>
  <c r="M2" i="31"/>
  <c r="N2" i="31"/>
  <c r="O2" i="31"/>
  <c r="P2" i="31"/>
  <c r="Q2" i="31"/>
  <c r="R2" i="31"/>
  <c r="C3" i="65"/>
  <c r="T7" i="59"/>
  <c r="B76" i="63"/>
  <c r="M5" i="54"/>
  <c r="A23" i="51"/>
  <c r="Y12" i="46"/>
  <c r="AA9" i="46"/>
  <c r="AB9" i="46"/>
  <c r="AB10" i="46"/>
  <c r="AC9" i="46"/>
  <c r="AD9" i="46"/>
  <c r="AE9" i="46"/>
  <c r="AF9" i="46"/>
  <c r="AF10" i="46"/>
  <c r="AG9" i="46"/>
  <c r="AH9" i="46"/>
  <c r="AI9" i="46"/>
  <c r="AJ9" i="46"/>
  <c r="AJ10" i="46"/>
  <c r="Z9" i="46"/>
  <c r="Z10" i="46"/>
  <c r="AI10" i="46"/>
  <c r="AG10" i="46"/>
  <c r="AE10" i="46"/>
  <c r="AC10" i="46"/>
  <c r="AA10" i="46"/>
  <c r="Y10" i="46"/>
  <c r="AF12" i="46"/>
  <c r="Z12" i="46"/>
  <c r="AI12" i="46"/>
  <c r="AG12" i="46"/>
  <c r="AE12" i="46"/>
  <c r="AC12" i="46"/>
  <c r="AA12" i="46"/>
  <c r="A21" i="64"/>
  <c r="B75" i="63"/>
  <c r="B73" i="63"/>
  <c r="A28" i="64"/>
  <c r="A27" i="64"/>
  <c r="A15" i="64"/>
  <c r="A14" i="64"/>
  <c r="A11" i="64"/>
  <c r="A3" i="64"/>
  <c r="A45" i="9"/>
  <c r="K40" i="9"/>
  <c r="A44" i="9"/>
  <c r="C56" i="10"/>
  <c r="C55" i="10"/>
  <c r="C54" i="10"/>
  <c r="A26" i="51"/>
  <c r="B19" i="63"/>
  <c r="B44" i="63"/>
  <c r="B40" i="63"/>
  <c r="B30" i="63"/>
  <c r="B27" i="63"/>
  <c r="B25" i="63"/>
  <c r="A11" i="51"/>
  <c r="A26" i="64"/>
  <c r="K39" i="9"/>
  <c r="B58" i="63"/>
  <c r="B53" i="63"/>
  <c r="B51" i="63"/>
  <c r="A46" i="9"/>
  <c r="K41" i="9"/>
  <c r="B8" i="63"/>
  <c r="A21" i="55"/>
  <c r="B71" i="63"/>
  <c r="A20" i="55"/>
  <c r="B69" i="63"/>
  <c r="B26" i="63"/>
  <c r="B28" i="63"/>
  <c r="B29" i="63"/>
  <c r="B31" i="63"/>
  <c r="B33" i="63"/>
  <c r="B35" i="63"/>
  <c r="B36" i="63"/>
  <c r="B37" i="63"/>
  <c r="B63" i="63"/>
  <c r="B64" i="63"/>
  <c r="B68" i="63"/>
  <c r="D51" i="10"/>
  <c r="B61" i="63"/>
  <c r="B59" i="63"/>
  <c r="B10" i="63"/>
  <c r="B51" i="10"/>
  <c r="B20" i="63"/>
  <c r="B17" i="63"/>
  <c r="A15" i="51"/>
  <c r="B12" i="63"/>
  <c r="A14" i="51"/>
  <c r="B11" i="63"/>
  <c r="B66" i="63"/>
  <c r="A4" i="55"/>
  <c r="B57" i="63"/>
  <c r="B41" i="63"/>
  <c r="G5" i="54"/>
  <c r="B34" i="63"/>
  <c r="E5" i="54"/>
  <c r="B32" i="63"/>
  <c r="R2" i="54"/>
  <c r="B24" i="63"/>
  <c r="B49" i="50"/>
  <c r="B5" i="63"/>
  <c r="B40" i="50"/>
  <c r="B3" i="63"/>
  <c r="B21" i="63"/>
  <c r="I19" i="46"/>
  <c r="D72" i="59"/>
  <c r="F71" i="59"/>
  <c r="F70" i="59"/>
  <c r="E71" i="59"/>
  <c r="E70" i="59"/>
  <c r="E69" i="59"/>
  <c r="C71" i="59"/>
  <c r="B71" i="59"/>
  <c r="B70" i="59"/>
  <c r="F69" i="59"/>
  <c r="B69" i="59"/>
  <c r="D68" i="59"/>
  <c r="F67" i="59"/>
  <c r="F66" i="59"/>
  <c r="E67" i="59"/>
  <c r="E66" i="59"/>
  <c r="E65" i="59"/>
  <c r="C67" i="59"/>
  <c r="D67" i="59"/>
  <c r="B67" i="59"/>
  <c r="B66" i="59"/>
  <c r="F65" i="59"/>
  <c r="B65" i="59"/>
  <c r="D64" i="59"/>
  <c r="Q63" i="59"/>
  <c r="P63" i="59"/>
  <c r="O63" i="59"/>
  <c r="N63" i="59"/>
  <c r="F63" i="59"/>
  <c r="V63" i="59"/>
  <c r="E63" i="59"/>
  <c r="C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C55" i="59"/>
  <c r="B55" i="59"/>
  <c r="S55" i="59"/>
  <c r="Q54" i="59"/>
  <c r="P54" i="59"/>
  <c r="O54" i="59"/>
  <c r="N54" i="59"/>
  <c r="F54" i="59"/>
  <c r="F53" i="59"/>
  <c r="B54" i="59"/>
  <c r="B53" i="59"/>
  <c r="Q53" i="59"/>
  <c r="P53" i="59"/>
  <c r="O53" i="59"/>
  <c r="N53" i="59"/>
  <c r="Q52" i="59"/>
  <c r="P52" i="59"/>
  <c r="O52" i="59"/>
  <c r="N52" i="59"/>
  <c r="D52" i="59"/>
  <c r="F51" i="59"/>
  <c r="V51" i="59"/>
  <c r="E51" i="59"/>
  <c r="E50" i="59"/>
  <c r="C51" i="59"/>
  <c r="B51" i="59"/>
  <c r="N51" i="59"/>
  <c r="F50" i="59"/>
  <c r="F49" i="59"/>
  <c r="B50" i="59"/>
  <c r="B49" i="59"/>
  <c r="N49" i="59"/>
  <c r="D48" i="59"/>
  <c r="Q47" i="59"/>
  <c r="P47" i="59"/>
  <c r="O47" i="59"/>
  <c r="N47" i="59"/>
  <c r="Q46" i="59"/>
  <c r="P46" i="59"/>
  <c r="O46" i="59"/>
  <c r="N46" i="59"/>
  <c r="Q45" i="59"/>
  <c r="P45" i="59"/>
  <c r="O45" i="59"/>
  <c r="N45" i="59"/>
  <c r="Q44" i="59"/>
  <c r="F45" i="59"/>
  <c r="F46" i="59"/>
  <c r="P44" i="59"/>
  <c r="E45" i="59"/>
  <c r="E46" i="59"/>
  <c r="E47" i="59"/>
  <c r="U47" i="59"/>
  <c r="O44" i="59"/>
  <c r="C45" i="59"/>
  <c r="C46" i="59"/>
  <c r="D46"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C42" i="59"/>
  <c r="C43" i="59"/>
  <c r="D43" i="59"/>
  <c r="N40" i="59"/>
  <c r="B41" i="59"/>
  <c r="B42" i="59"/>
  <c r="B43" i="59"/>
  <c r="S43" i="59"/>
  <c r="D40" i="59"/>
  <c r="Q39" i="59"/>
  <c r="P39" i="59"/>
  <c r="O39" i="59"/>
  <c r="N39" i="59"/>
  <c r="Q38" i="59"/>
  <c r="P38" i="59"/>
  <c r="O38" i="59"/>
  <c r="N38" i="59"/>
  <c r="Q37" i="59"/>
  <c r="P37" i="59"/>
  <c r="O37" i="59"/>
  <c r="N37" i="59"/>
  <c r="Q36" i="59"/>
  <c r="F37" i="59"/>
  <c r="F38" i="59"/>
  <c r="P36" i="59"/>
  <c r="E37" i="59"/>
  <c r="E38" i="59"/>
  <c r="E39" i="59"/>
  <c r="U39" i="59"/>
  <c r="O36" i="59"/>
  <c r="C37" i="59"/>
  <c r="C38" i="59"/>
  <c r="D38"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C34" i="59"/>
  <c r="D34" i="59"/>
  <c r="N32" i="59"/>
  <c r="B33" i="59"/>
  <c r="B34"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P24" i="59"/>
  <c r="E25" i="59"/>
  <c r="E26" i="59"/>
  <c r="E27" i="59"/>
  <c r="U27" i="59"/>
  <c r="O24" i="59"/>
  <c r="C25" i="59"/>
  <c r="D25" i="59"/>
  <c r="N24" i="59"/>
  <c r="B25" i="59"/>
  <c r="B26" i="59"/>
  <c r="B27" i="59"/>
  <c r="S27" i="59"/>
  <c r="D24" i="59"/>
  <c r="Q23" i="59"/>
  <c r="P23" i="59"/>
  <c r="O23" i="59"/>
  <c r="N23" i="59"/>
  <c r="AB22" i="59"/>
  <c r="Z22" i="59"/>
  <c r="U23" i="59"/>
  <c r="U19" i="59"/>
  <c r="X3" i="59"/>
  <c r="X9" i="59"/>
  <c r="X11" i="59"/>
  <c r="AA8" i="59"/>
  <c r="AA10" i="59"/>
  <c r="Y8" i="59"/>
  <c r="Z8" i="59"/>
  <c r="Y9" i="59"/>
  <c r="Z9" i="59"/>
  <c r="Y10" i="59"/>
  <c r="Z10" i="59"/>
  <c r="Y11" i="59"/>
  <c r="Z11" i="59"/>
  <c r="Y3" i="59"/>
  <c r="Z3" i="59"/>
  <c r="AB11" i="59"/>
  <c r="AB8" i="59"/>
  <c r="AB10" i="59"/>
  <c r="U15" i="59"/>
  <c r="B35" i="59"/>
  <c r="S35" i="59"/>
  <c r="E34" i="59"/>
  <c r="E35" i="59"/>
  <c r="U35" i="59"/>
  <c r="S51" i="59"/>
  <c r="Z21" i="59"/>
  <c r="AA22" i="59"/>
  <c r="F27" i="59"/>
  <c r="V27" i="59"/>
  <c r="F30" i="59"/>
  <c r="F31" i="59"/>
  <c r="V31" i="59"/>
  <c r="F39" i="59"/>
  <c r="V39" i="59"/>
  <c r="F42" i="59"/>
  <c r="F43" i="59"/>
  <c r="V43" i="59"/>
  <c r="F47" i="59"/>
  <c r="V47" i="59"/>
  <c r="C26" i="59"/>
  <c r="D26" i="59"/>
  <c r="C30" i="59"/>
  <c r="D30" i="59"/>
  <c r="D29" i="59"/>
  <c r="D33" i="59"/>
  <c r="D37" i="59"/>
  <c r="D41" i="59"/>
  <c r="D45" i="59"/>
  <c r="N50" i="59"/>
  <c r="Q50" i="59"/>
  <c r="O51" i="59"/>
  <c r="C50" i="59"/>
  <c r="P51" i="59"/>
  <c r="U51" i="59"/>
  <c r="Q51" i="59"/>
  <c r="C54" i="59"/>
  <c r="C53" i="59"/>
  <c r="C58" i="59"/>
  <c r="D58" i="59"/>
  <c r="E58" i="59"/>
  <c r="E57" i="59"/>
  <c r="D59" i="59"/>
  <c r="C62" i="59"/>
  <c r="D62" i="59"/>
  <c r="C66" i="59"/>
  <c r="C65" i="59"/>
  <c r="U16" i="4"/>
  <c r="S16" i="4"/>
  <c r="Q16" i="4"/>
  <c r="O16" i="4"/>
  <c r="M16" i="4"/>
  <c r="L16" i="4"/>
  <c r="K16" i="4"/>
  <c r="C61" i="59"/>
  <c r="D61" i="59"/>
  <c r="D54" i="59"/>
  <c r="D53" i="59"/>
  <c r="O50" i="59"/>
  <c r="D66" i="59"/>
  <c r="D65" i="59"/>
  <c r="C57" i="59"/>
  <c r="D57" i="59"/>
  <c r="N48" i="59"/>
  <c r="C47" i="59"/>
  <c r="D42" i="59"/>
  <c r="C39" i="59"/>
  <c r="C35" i="59"/>
  <c r="T35" i="59"/>
  <c r="C27" i="59"/>
  <c r="N16" i="4"/>
  <c r="T43" i="59"/>
  <c r="T27" i="59"/>
  <c r="D27" i="59"/>
  <c r="D35" i="59"/>
  <c r="T39" i="59"/>
  <c r="D39" i="59"/>
  <c r="T47" i="59"/>
  <c r="D47"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D22" i="15"/>
  <c r="G17" i="11"/>
  <c r="D23" i="15"/>
  <c r="F60" i="15"/>
  <c r="K2" i="4"/>
  <c r="K1" i="4"/>
  <c r="B1" i="4"/>
  <c r="B37" i="50"/>
  <c r="B2" i="63"/>
  <c r="I23" i="57"/>
  <c r="D20" i="57"/>
  <c r="I19" i="57"/>
  <c r="I18" i="57"/>
  <c r="I17" i="57"/>
  <c r="I20" i="57"/>
  <c r="E15" i="57"/>
  <c r="I14" i="57"/>
  <c r="I13" i="57"/>
  <c r="I12" i="57"/>
  <c r="I9" i="57"/>
  <c r="I8" i="57"/>
  <c r="I7" i="57"/>
  <c r="I5" i="57"/>
  <c r="I4" i="57"/>
  <c r="I3" i="57"/>
  <c r="C112" i="9"/>
  <c r="C7" i="11"/>
  <c r="H81" i="46"/>
  <c r="G99" i="46"/>
  <c r="G108" i="46"/>
  <c r="H99" i="46"/>
  <c r="H108" i="46"/>
  <c r="I99" i="46"/>
  <c r="I108" i="46"/>
  <c r="J99" i="46"/>
  <c r="J108" i="46"/>
  <c r="K99" i="46"/>
  <c r="K108" i="46"/>
  <c r="L99" i="46"/>
  <c r="L108" i="46"/>
  <c r="M99" i="46"/>
  <c r="M108" i="46"/>
  <c r="N99" i="46"/>
  <c r="N108" i="46"/>
  <c r="K100" i="46"/>
  <c r="K58" i="46"/>
  <c r="J58" i="46"/>
  <c r="K50" i="46"/>
  <c r="J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F13" i="1"/>
  <c r="AP13" i="1"/>
  <c r="D11" i="1"/>
  <c r="D12" i="1"/>
  <c r="D13" i="1"/>
  <c r="D6" i="1"/>
  <c r="D7" i="1"/>
  <c r="D8" i="1"/>
  <c r="D9" i="1"/>
  <c r="F10" i="1"/>
  <c r="AP10" i="1"/>
  <c r="D10" i="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H19" i="4"/>
  <c r="F9" i="1"/>
  <c r="F19" i="4"/>
  <c r="B2" i="52"/>
  <c r="E22" i="52"/>
  <c r="I2" i="46"/>
  <c r="N12" i="46"/>
  <c r="A7" i="46"/>
  <c r="F41" i="4"/>
  <c r="J52" i="40"/>
  <c r="H61" i="49"/>
  <c r="H39" i="46"/>
  <c r="H38" i="46"/>
  <c r="H37" i="46"/>
  <c r="H36" i="46"/>
  <c r="H35" i="46"/>
  <c r="H34" i="46"/>
  <c r="E32" i="6"/>
  <c r="D38" i="4"/>
  <c r="C39" i="4"/>
  <c r="C35" i="4"/>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C67"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D97" i="39"/>
  <c r="D95" i="39"/>
  <c r="E95" i="39"/>
  <c r="F95" i="39"/>
  <c r="G95" i="39"/>
  <c r="D93" i="39"/>
  <c r="E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72" i="39"/>
  <c r="C20" i="36"/>
  <c r="C20" i="35"/>
  <c r="C16" i="36"/>
  <c r="C16" i="35"/>
  <c r="C14" i="36"/>
  <c r="C14" i="35"/>
  <c r="B80"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F68" i="36"/>
  <c r="G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c r="B77" i="35"/>
  <c r="B75" i="35"/>
  <c r="J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F86" i="34"/>
  <c r="G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G123" i="21"/>
  <c r="H123" i="21"/>
  <c r="I123" i="21"/>
  <c r="J123" i="21"/>
  <c r="K123" i="21"/>
  <c r="L123" i="21"/>
  <c r="M123" i="21"/>
  <c r="D119" i="21"/>
  <c r="D117" i="21"/>
  <c r="E117" i="21"/>
  <c r="F117" i="21"/>
  <c r="G117" i="21"/>
  <c r="E115" i="21"/>
  <c r="F115" i="21"/>
  <c r="G115" i="21"/>
  <c r="H115" i="21"/>
  <c r="I115" i="21"/>
  <c r="J115" i="21"/>
  <c r="K115" i="21"/>
  <c r="L115" i="21"/>
  <c r="M115" i="21"/>
  <c r="H113" i="21"/>
  <c r="D110" i="21"/>
  <c r="E110" i="21"/>
  <c r="F110" i="21"/>
  <c r="G110" i="21"/>
  <c r="H110" i="21"/>
  <c r="I110" i="21"/>
  <c r="J110" i="21"/>
  <c r="K110" i="21"/>
  <c r="L110" i="21"/>
  <c r="M110" i="21"/>
  <c r="W36"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F81" i="21"/>
  <c r="G8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F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S43" i="21"/>
  <c r="S38" i="21"/>
  <c r="S36" i="21"/>
  <c r="W40" i="21"/>
  <c r="U10" i="21"/>
  <c r="W34" i="21"/>
  <c r="U36"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W36" i="35"/>
  <c r="S31" i="35"/>
  <c r="W31" i="35"/>
  <c r="F36" i="34"/>
  <c r="S36" i="34"/>
  <c r="W9" i="34"/>
  <c r="S34" i="34"/>
  <c r="H39" i="33"/>
  <c r="AB39" i="33"/>
  <c r="F26" i="33"/>
  <c r="AA26" i="33"/>
  <c r="U9" i="33"/>
  <c r="W38" i="33"/>
  <c r="S40" i="33"/>
  <c r="S33" i="33"/>
  <c r="U38" i="33"/>
  <c r="S8" i="21"/>
  <c r="W8" i="21"/>
  <c r="H39" i="37"/>
  <c r="AB39" i="37"/>
  <c r="AB27" i="35"/>
  <c r="S10" i="40"/>
  <c r="W10" i="40"/>
  <c r="S11" i="40"/>
  <c r="U11" i="40"/>
  <c r="S36" i="40"/>
  <c r="U36" i="40"/>
  <c r="S36" i="39"/>
  <c r="C23" i="39"/>
  <c r="U36" i="39"/>
  <c r="S42" i="39"/>
  <c r="H32" i="33"/>
  <c r="AB32" i="33"/>
  <c r="F100" i="40"/>
  <c r="F86" i="40"/>
  <c r="G86" i="40"/>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AC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U30" i="33"/>
  <c r="J36" i="37"/>
  <c r="AC36" i="37"/>
  <c r="G105" i="37"/>
  <c r="AB28" i="36"/>
  <c r="S46" i="21"/>
  <c r="U46" i="21"/>
  <c r="W30" i="21"/>
  <c r="S28" i="21"/>
  <c r="W14" i="21"/>
  <c r="W31" i="34"/>
  <c r="U36" i="37"/>
  <c r="AB45" i="33"/>
  <c r="AA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S12" i="21"/>
  <c r="U25" i="21"/>
  <c r="S25" i="21"/>
  <c r="E125" i="33"/>
  <c r="F125" i="33"/>
  <c r="G125" i="33"/>
  <c r="H43" i="33"/>
  <c r="U43" i="33"/>
  <c r="H17" i="37"/>
  <c r="U17" i="37"/>
  <c r="F23" i="37"/>
  <c r="S23" i="37"/>
  <c r="F79" i="37"/>
  <c r="G79" i="37"/>
  <c r="AB27" i="37"/>
  <c r="F39" i="33"/>
  <c r="AA39" i="33"/>
  <c r="E123" i="33"/>
  <c r="F123" i="33"/>
  <c r="G123" i="33"/>
  <c r="H123" i="33"/>
  <c r="I123" i="33"/>
  <c r="J123" i="33"/>
  <c r="K123" i="33"/>
  <c r="L123" i="33"/>
  <c r="M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c r="F17" i="37"/>
  <c r="AA17" i="37"/>
  <c r="AB43" i="33"/>
  <c r="AC33" i="36"/>
  <c r="AC12" i="35"/>
  <c r="W23" i="35"/>
  <c r="AC23" i="37"/>
  <c r="U39" i="37"/>
  <c r="AC8" i="37"/>
  <c r="AC36" i="34"/>
  <c r="AB8" i="34"/>
  <c r="AC37" i="33"/>
  <c r="AA13" i="33"/>
  <c r="AC45" i="33"/>
  <c r="U19" i="21"/>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94" i="37"/>
  <c r="G94" i="37"/>
  <c r="H94" i="37"/>
  <c r="I94" i="37"/>
  <c r="J94" i="37"/>
  <c r="K94" i="37"/>
  <c r="L94" i="37"/>
  <c r="M94" i="37"/>
  <c r="F31" i="37"/>
  <c r="S31" i="37"/>
  <c r="H31" i="37"/>
  <c r="AB31" i="37"/>
  <c r="J15" i="37"/>
  <c r="W15" i="37"/>
  <c r="AB10" i="37"/>
  <c r="J11" i="37"/>
  <c r="W11" i="37"/>
  <c r="U31" i="37"/>
  <c r="E90" i="40"/>
  <c r="F21" i="40"/>
  <c r="S21" i="40"/>
  <c r="W36" i="40"/>
  <c r="F90" i="40"/>
  <c r="G90" i="40"/>
  <c r="J21" i="40"/>
  <c r="AC21" i="40"/>
  <c r="S27" i="31"/>
  <c r="J57" i="39"/>
  <c r="H13" i="40"/>
  <c r="U13" i="40"/>
  <c r="H12" i="48"/>
  <c r="I4" i="4"/>
  <c r="K141" i="21"/>
  <c r="K143" i="21"/>
  <c r="K144" i="21"/>
  <c r="I59" i="40"/>
  <c r="C59" i="40"/>
  <c r="I60" i="40"/>
  <c r="C60" i="40"/>
  <c r="W9" i="33"/>
  <c r="H7" i="48"/>
  <c r="H16" i="48"/>
  <c r="H9" i="48"/>
  <c r="H8" i="48"/>
  <c r="AB16" i="35"/>
  <c r="U43" i="21"/>
  <c r="AA13" i="40"/>
  <c r="E78" i="40"/>
  <c r="F78" i="40"/>
  <c r="G78" i="40"/>
  <c r="H78" i="40"/>
  <c r="I78" i="40"/>
  <c r="J78" i="40"/>
  <c r="K78" i="40"/>
  <c r="L78" i="40"/>
  <c r="M78" i="40"/>
  <c r="R16" i="4"/>
  <c r="P16" i="4"/>
  <c r="D3" i="35"/>
  <c r="G4" i="4"/>
  <c r="S37" i="34"/>
  <c r="J16" i="35"/>
  <c r="W16" i="35"/>
  <c r="AC26" i="36"/>
  <c r="W25" i="35"/>
  <c r="H11" i="37"/>
  <c r="AB11" i="37"/>
  <c r="W37" i="37"/>
  <c r="AA30" i="33"/>
  <c r="AA36" i="37"/>
  <c r="S42" i="33"/>
  <c r="U32" i="33"/>
  <c r="AC29" i="33"/>
  <c r="AA45" i="33"/>
  <c r="AC11" i="36"/>
  <c r="AC10" i="36"/>
  <c r="AB45" i="34"/>
  <c r="AB3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U39" i="21"/>
  <c r="W9" i="21"/>
  <c r="S1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G80" i="34"/>
  <c r="H17" i="34"/>
  <c r="AB1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U11" i="35"/>
  <c r="J11" i="35"/>
  <c r="AC11" i="35"/>
  <c r="F96" i="37"/>
  <c r="H32" i="37"/>
  <c r="AB32" i="37"/>
  <c r="F43" i="39"/>
  <c r="S43" i="39"/>
  <c r="H43" i="39"/>
  <c r="U43" i="39"/>
  <c r="J43" i="39"/>
  <c r="AC43" i="39"/>
  <c r="F99" i="37"/>
  <c r="U25" i="35"/>
  <c r="U31" i="34"/>
  <c r="W40" i="37"/>
  <c r="W27" i="33"/>
  <c r="S28" i="33"/>
  <c r="S14" i="21"/>
  <c r="AA44" i="34"/>
  <c r="AB29" i="35"/>
  <c r="U29" i="35"/>
  <c r="AC19" i="33"/>
  <c r="W19" i="33"/>
  <c r="U43" i="34"/>
  <c r="AB43" i="34"/>
  <c r="AC34" i="37"/>
  <c r="S35" i="37"/>
  <c r="AA35" i="37"/>
  <c r="AB10" i="35"/>
  <c r="S32" i="21"/>
  <c r="U38" i="21"/>
  <c r="AB40" i="33"/>
  <c r="U40" i="33"/>
  <c r="AA35" i="34"/>
  <c r="S35" i="34"/>
  <c r="E90" i="34"/>
  <c r="H27" i="34"/>
  <c r="AB27" i="34"/>
  <c r="AB8" i="35"/>
  <c r="U8" i="35"/>
  <c r="S9" i="35"/>
  <c r="J14" i="35"/>
  <c r="AC14" i="35"/>
  <c r="F14" i="35"/>
  <c r="H14" i="35"/>
  <c r="U14" i="35"/>
  <c r="E80" i="35"/>
  <c r="F80" i="35"/>
  <c r="G80" i="35"/>
  <c r="H80" i="35"/>
  <c r="I80" i="35"/>
  <c r="J80" i="35"/>
  <c r="K80" i="35"/>
  <c r="L80" i="35"/>
  <c r="M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6" i="37"/>
  <c r="W26" i="37"/>
  <c r="AB29" i="37"/>
  <c r="AA30" i="37"/>
  <c r="S30" i="37"/>
  <c r="AC30" i="37"/>
  <c r="AC31" i="37"/>
  <c r="W31" i="37"/>
  <c r="AB14" i="37"/>
  <c r="F17" i="39"/>
  <c r="AA17" i="39"/>
  <c r="F21" i="39"/>
  <c r="S21" i="39"/>
  <c r="H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F34" i="39"/>
  <c r="AA34" i="39"/>
  <c r="H34" i="39"/>
  <c r="AB34" i="39"/>
  <c r="J34" i="39"/>
  <c r="AC34" i="39"/>
  <c r="F39" i="39"/>
  <c r="H39" i="39"/>
  <c r="AB39" i="39"/>
  <c r="J39" i="39"/>
  <c r="AC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78" i="34"/>
  <c r="G78" i="34"/>
  <c r="F15" i="34"/>
  <c r="AC28" i="35"/>
  <c r="W28" i="35"/>
  <c r="J20" i="35"/>
  <c r="AC20" i="35"/>
  <c r="E72" i="35"/>
  <c r="F72" i="35"/>
  <c r="G72" i="35"/>
  <c r="H22" i="35"/>
  <c r="AB22" i="35"/>
  <c r="H23" i="35"/>
  <c r="F23" i="35"/>
  <c r="AA23" i="35"/>
  <c r="AB36" i="35"/>
  <c r="U36" i="35"/>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W15" i="40"/>
  <c r="H15" i="40"/>
  <c r="AB15" i="40"/>
  <c r="E92" i="40"/>
  <c r="F92" i="40"/>
  <c r="G92" i="40"/>
  <c r="H23" i="40"/>
  <c r="U23" i="40"/>
  <c r="H41" i="40"/>
  <c r="AB41" i="40"/>
  <c r="F41" i="40"/>
  <c r="AA41" i="40"/>
  <c r="J41" i="40"/>
  <c r="H36" i="33"/>
  <c r="AB36" i="33"/>
  <c r="H37" i="34"/>
  <c r="AB37" i="34"/>
  <c r="F15" i="39"/>
  <c r="AA15" i="39"/>
  <c r="H15" i="39"/>
  <c r="U15" i="39"/>
  <c r="J15" i="39"/>
  <c r="AC1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W40" i="40"/>
  <c r="F34" i="44"/>
  <c r="F27" i="43"/>
  <c r="F66" i="9"/>
  <c r="P72" i="9"/>
  <c r="F71" i="9"/>
  <c r="F72" i="9"/>
  <c r="AC14" i="40"/>
  <c r="W35" i="40"/>
  <c r="S33" i="40"/>
  <c r="AB32" i="40"/>
  <c r="S47" i="39"/>
  <c r="U37" i="34"/>
  <c r="AC41" i="40"/>
  <c r="W41" i="40"/>
  <c r="U41" i="40"/>
  <c r="J23" i="40"/>
  <c r="AC23" i="40"/>
  <c r="F23" i="40"/>
  <c r="S23" i="40"/>
  <c r="AC15" i="40"/>
  <c r="W27" i="39"/>
  <c r="AB16" i="39"/>
  <c r="U23" i="35"/>
  <c r="AB23" i="35"/>
  <c r="H20" i="35"/>
  <c r="U20" i="35"/>
  <c r="F20" i="35"/>
  <c r="S20" i="35"/>
  <c r="H15" i="34"/>
  <c r="AB15" i="34"/>
  <c r="J15" i="34"/>
  <c r="H41" i="33"/>
  <c r="U41" i="33"/>
  <c r="F121" i="33"/>
  <c r="G121" i="33"/>
  <c r="H121" i="33"/>
  <c r="I121" i="33"/>
  <c r="J121" i="33"/>
  <c r="K121" i="33"/>
  <c r="L121" i="33"/>
  <c r="M121" i="33"/>
  <c r="F30" i="40"/>
  <c r="AA30" i="40"/>
  <c r="H100" i="40"/>
  <c r="I100" i="40"/>
  <c r="J100" i="40"/>
  <c r="K100" i="40"/>
  <c r="L100" i="40"/>
  <c r="M100" i="40"/>
  <c r="AB38" i="34"/>
  <c r="AA29" i="35"/>
  <c r="AB21" i="39"/>
  <c r="U21" i="39"/>
  <c r="AB33" i="36"/>
  <c r="AA14" i="35"/>
  <c r="S14" i="35"/>
  <c r="G99" i="37"/>
  <c r="H99" i="37"/>
  <c r="I99" i="37"/>
  <c r="J99" i="37"/>
  <c r="K99" i="37"/>
  <c r="L99" i="37"/>
  <c r="M99" i="37"/>
  <c r="F33" i="37"/>
  <c r="U46" i="34"/>
  <c r="AA14" i="34"/>
  <c r="U29" i="33"/>
  <c r="U17" i="34"/>
  <c r="AA11" i="34"/>
  <c r="W32" i="33"/>
  <c r="H15" i="33"/>
  <c r="U15" i="33"/>
  <c r="AA11" i="33"/>
  <c r="U17" i="21"/>
  <c r="W34" i="40"/>
  <c r="AB42" i="40"/>
  <c r="U42" i="40"/>
  <c r="AC16" i="40"/>
  <c r="W32" i="40"/>
  <c r="H25" i="40"/>
  <c r="AB25" i="40"/>
  <c r="F94" i="40"/>
  <c r="G94" i="40"/>
  <c r="U47" i="39"/>
  <c r="W15" i="39"/>
  <c r="J37" i="34"/>
  <c r="AC37" i="34"/>
  <c r="J36" i="33"/>
  <c r="W36" i="33"/>
  <c r="S41" i="40"/>
  <c r="AB23" i="40"/>
  <c r="H23" i="39"/>
  <c r="AB23" i="39"/>
  <c r="J23" i="39"/>
  <c r="AC23" i="39"/>
  <c r="F97" i="39"/>
  <c r="G97" i="39"/>
  <c r="S15" i="34"/>
  <c r="AA15" i="34"/>
  <c r="AA41" i="33"/>
  <c r="F106" i="33"/>
  <c r="G106" i="33"/>
  <c r="H106" i="33"/>
  <c r="I106" i="33"/>
  <c r="J106" i="33"/>
  <c r="K106" i="33"/>
  <c r="L106" i="33"/>
  <c r="M106" i="33"/>
  <c r="J34" i="33"/>
  <c r="AC34" i="33"/>
  <c r="U30" i="40"/>
  <c r="W29" i="35"/>
  <c r="W39" i="39"/>
  <c r="AA39" i="39"/>
  <c r="S39" i="39"/>
  <c r="U34" i="39"/>
  <c r="AB44" i="39"/>
  <c r="AC33" i="39"/>
  <c r="AA33" i="39"/>
  <c r="S33" i="39"/>
  <c r="U11" i="36"/>
  <c r="W14" i="35"/>
  <c r="F90" i="34"/>
  <c r="G90" i="34"/>
  <c r="H90" i="34"/>
  <c r="I90" i="34"/>
  <c r="J90" i="34"/>
  <c r="K90" i="34"/>
  <c r="L90" i="34"/>
  <c r="M90" i="34"/>
  <c r="F27" i="34"/>
  <c r="S27" i="34"/>
  <c r="W43" i="39"/>
  <c r="G96" i="37"/>
  <c r="H96" i="37"/>
  <c r="I96" i="37"/>
  <c r="J96" i="37"/>
  <c r="K96" i="37"/>
  <c r="L96" i="37"/>
  <c r="M96" i="37"/>
  <c r="F32" i="37"/>
  <c r="S32" i="37"/>
  <c r="AB11" i="35"/>
  <c r="U32" i="34"/>
  <c r="AC14" i="34"/>
  <c r="AB13" i="33"/>
  <c r="F17" i="34"/>
  <c r="AA17" i="34"/>
  <c r="J17" i="34"/>
  <c r="AC17" i="34"/>
  <c r="H11" i="34"/>
  <c r="AB11" i="34"/>
  <c r="J35" i="33"/>
  <c r="W35" i="33"/>
  <c r="S32" i="33"/>
  <c r="AC15" i="33"/>
  <c r="H11" i="33"/>
  <c r="U11" i="33"/>
  <c r="H10" i="33"/>
  <c r="U10" i="33"/>
  <c r="I66" i="33"/>
  <c r="J10" i="33"/>
  <c r="AC10" i="33"/>
  <c r="U40" i="21"/>
  <c r="U11" i="37"/>
  <c r="AC16" i="35"/>
  <c r="AC13" i="40"/>
  <c r="J11" i="34"/>
  <c r="W11" i="34"/>
  <c r="AC36" i="33"/>
  <c r="F25" i="40"/>
  <c r="AA25" i="40"/>
  <c r="J11" i="33"/>
  <c r="W11" i="33"/>
  <c r="H33" i="37"/>
  <c r="AB33" i="37"/>
  <c r="W15" i="34"/>
  <c r="AC15" i="34"/>
  <c r="AB20" i="35"/>
  <c r="W23" i="40"/>
  <c r="D73" i="9"/>
  <c r="N73" i="9"/>
  <c r="AP11" i="1"/>
  <c r="B11" i="1"/>
  <c r="E11" i="1"/>
  <c r="B9" i="1"/>
  <c r="E9" i="1"/>
  <c r="B7" i="1"/>
  <c r="E7" i="1"/>
  <c r="C20" i="43"/>
  <c r="G11" i="1"/>
  <c r="M22" i="44"/>
  <c r="F59" i="15"/>
  <c r="F70" i="9"/>
  <c r="D86" i="9"/>
  <c r="M20" i="44"/>
  <c r="F31" i="43"/>
  <c r="F30" i="44"/>
  <c r="C27" i="43"/>
  <c r="AC25" i="36"/>
  <c r="S23" i="36"/>
  <c r="S8" i="36"/>
  <c r="AA26" i="36"/>
  <c r="AA28" i="36"/>
  <c r="U25" i="36"/>
  <c r="H20" i="36"/>
  <c r="U20"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S29" i="37"/>
  <c r="J19" i="37"/>
  <c r="AC19" i="37"/>
  <c r="G75" i="37"/>
  <c r="F19" i="37"/>
  <c r="AA19" i="37"/>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23" i="34"/>
  <c r="H23" i="34"/>
  <c r="AC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U36"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AB23" i="33"/>
  <c r="U19" i="33"/>
  <c r="F79" i="33"/>
  <c r="G79" i="33"/>
  <c r="F17" i="33"/>
  <c r="S17" i="33"/>
  <c r="H17" i="33"/>
  <c r="J17" i="33"/>
  <c r="AC17" i="33"/>
  <c r="AB15" i="33"/>
  <c r="AC11" i="33"/>
  <c r="S10" i="33"/>
  <c r="S14" i="33"/>
  <c r="W10" i="33"/>
  <c r="AC21" i="33"/>
  <c r="W21" i="33"/>
  <c r="W14" i="33"/>
  <c r="U25" i="33"/>
  <c r="AB21" i="33"/>
  <c r="U21" i="33"/>
  <c r="AA21" i="33"/>
  <c r="S21" i="33"/>
  <c r="AA44" i="33"/>
  <c r="AA36" i="33"/>
  <c r="S44" i="21"/>
  <c r="W39" i="21"/>
  <c r="W32" i="21"/>
  <c r="U35" i="21"/>
  <c r="W43" i="21"/>
  <c r="W28" i="21"/>
  <c r="F85" i="21"/>
  <c r="G85"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U37" i="40"/>
  <c r="G113" i="40"/>
  <c r="H113" i="40"/>
  <c r="I113" i="40"/>
  <c r="J113" i="40"/>
  <c r="K113" i="40"/>
  <c r="L113" i="40"/>
  <c r="M113" i="40"/>
  <c r="F39" i="40"/>
  <c r="AA39" i="40"/>
  <c r="S38" i="40"/>
  <c r="H39" i="40"/>
  <c r="AB39" i="40"/>
  <c r="J39" i="40"/>
  <c r="W38" i="40"/>
  <c r="F29" i="40"/>
  <c r="H29" i="40"/>
  <c r="U29" i="40"/>
  <c r="J29" i="40"/>
  <c r="F98" i="40"/>
  <c r="G98" i="40"/>
  <c r="H98" i="40"/>
  <c r="I98" i="40"/>
  <c r="J98" i="40"/>
  <c r="K98" i="40"/>
  <c r="L98" i="40"/>
  <c r="M98" i="40"/>
  <c r="S30" i="40"/>
  <c r="S25" i="40"/>
  <c r="AA23" i="40"/>
  <c r="F88" i="40"/>
  <c r="G88" i="40"/>
  <c r="F19" i="40"/>
  <c r="H19" i="40"/>
  <c r="AB19" i="40"/>
  <c r="J19" i="40"/>
  <c r="W17" i="40"/>
  <c r="AC17" i="40"/>
  <c r="F17" i="40"/>
  <c r="AA17" i="40"/>
  <c r="H17" i="40"/>
  <c r="AB17" i="40"/>
  <c r="W21" i="40"/>
  <c r="AB40" i="40"/>
  <c r="U10" i="40"/>
  <c r="U27" i="40"/>
  <c r="AB27" i="40"/>
  <c r="AC44" i="39"/>
  <c r="AB45" i="39"/>
  <c r="AA21" i="39"/>
  <c r="AC38" i="39"/>
  <c r="AC21" i="39"/>
  <c r="AB15" i="39"/>
  <c r="U41" i="39"/>
  <c r="AB38" i="39"/>
  <c r="U31" i="39"/>
  <c r="AB31" i="39"/>
  <c r="S38" i="39"/>
  <c r="S22" i="31"/>
  <c r="B20" i="31"/>
  <c r="B22" i="63"/>
  <c r="M20" i="15"/>
  <c r="D96" i="9"/>
  <c r="M18" i="15"/>
  <c r="A18" i="64"/>
  <c r="B74" i="63"/>
  <c r="C53" i="10"/>
  <c r="A25" i="64"/>
  <c r="A18" i="51"/>
  <c r="B14" i="63"/>
  <c r="F3" i="35"/>
  <c r="K1" i="43"/>
  <c r="K1" i="12"/>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A4" i="64"/>
  <c r="A4" i="51"/>
  <c r="C51" i="10"/>
  <c r="A9" i="51"/>
  <c r="B9" i="63"/>
  <c r="H58" i="46"/>
  <c r="H61" i="46"/>
  <c r="H62" i="46"/>
  <c r="H71" i="46"/>
  <c r="H75" i="46"/>
  <c r="H76" i="46"/>
  <c r="I100" i="46"/>
  <c r="N100" i="46"/>
  <c r="H100" i="46"/>
  <c r="H80" i="46"/>
  <c r="G100" i="46"/>
  <c r="H84" i="46"/>
  <c r="H65" i="46"/>
  <c r="H66" i="46"/>
  <c r="J100" i="46"/>
  <c r="M100" i="46"/>
  <c r="AA12" i="36"/>
  <c r="W11" i="35"/>
  <c r="AA11" i="35"/>
  <c r="S14" i="37"/>
  <c r="U13" i="37"/>
  <c r="S13" i="21"/>
  <c r="C24" i="9"/>
  <c r="C25" i="9"/>
  <c r="AP7" i="1"/>
  <c r="G7" i="1"/>
  <c r="AP9" i="1"/>
  <c r="G9" i="1"/>
  <c r="G8" i="1"/>
  <c r="B6" i="63"/>
  <c r="L5" i="54"/>
  <c r="B39" i="63"/>
  <c r="K5" i="54"/>
  <c r="B38" i="63"/>
  <c r="T41" i="4"/>
  <c r="A17" i="64"/>
  <c r="B46" i="50"/>
  <c r="B4" i="63"/>
  <c r="C46" i="36"/>
  <c r="C59" i="34"/>
  <c r="D65" i="40"/>
  <c r="E65" i="40"/>
  <c r="F65" i="40"/>
  <c r="F67" i="40"/>
  <c r="P24" i="46"/>
  <c r="B68" i="40"/>
  <c r="P25" i="46"/>
  <c r="B73" i="39"/>
  <c r="P23" i="46"/>
  <c r="P21" i="46"/>
  <c r="P22" i="46"/>
  <c r="D70" i="39"/>
  <c r="E70" i="39"/>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F66" i="36"/>
  <c r="H18" i="36"/>
  <c r="AB18" i="36"/>
  <c r="U16" i="36"/>
  <c r="S25" i="36"/>
  <c r="AA34" i="36"/>
  <c r="U23" i="36"/>
  <c r="AC27" i="36"/>
  <c r="W28" i="36"/>
  <c r="AA32" i="36"/>
  <c r="U13" i="36"/>
  <c r="AA22" i="36"/>
  <c r="U10" i="36"/>
  <c r="AA13" i="36"/>
  <c r="W29" i="36"/>
  <c r="W9" i="36"/>
  <c r="S9" i="36"/>
  <c r="W8" i="36"/>
  <c r="AC30" i="35"/>
  <c r="U24" i="35"/>
  <c r="W32" i="35"/>
  <c r="S24" i="35"/>
  <c r="AA33" i="35"/>
  <c r="U32" i="35"/>
  <c r="W22"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AC27" i="40"/>
  <c r="S17" i="40"/>
  <c r="W30" i="40"/>
  <c r="S34" i="40"/>
  <c r="U38" i="40"/>
  <c r="S40" i="40"/>
  <c r="S42" i="40"/>
  <c r="G105" i="39"/>
  <c r="J31" i="39"/>
  <c r="W31" i="39"/>
  <c r="S45" i="39"/>
  <c r="W41" i="39"/>
  <c r="AB43" i="39"/>
  <c r="AB33" i="39"/>
  <c r="AC46" i="39"/>
  <c r="S34" i="39"/>
  <c r="W42" i="39"/>
  <c r="W36" i="39"/>
  <c r="AC37" i="39"/>
  <c r="W16" i="39"/>
  <c r="W45" i="39"/>
  <c r="S41" i="39"/>
  <c r="AA44" i="39"/>
  <c r="AA46" i="39"/>
  <c r="W34" i="39"/>
  <c r="W10" i="39"/>
  <c r="U42" i="39"/>
  <c r="S32" i="40"/>
  <c r="C27" i="39"/>
  <c r="C17" i="40"/>
  <c r="C19" i="40"/>
  <c r="C17" i="39"/>
  <c r="C19" i="39"/>
  <c r="C21" i="39"/>
  <c r="C23" i="40"/>
  <c r="B48" i="46"/>
  <c r="B51" i="46"/>
  <c r="B55" i="46"/>
  <c r="B59" i="46"/>
  <c r="B62" i="46"/>
  <c r="B66" i="46"/>
  <c r="B53" i="46"/>
  <c r="B64" i="46"/>
  <c r="D24" i="15"/>
  <c r="AG6" i="1"/>
  <c r="G6" i="1"/>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W23" i="33"/>
  <c r="AC23" i="33"/>
  <c r="S23" i="33"/>
  <c r="AA23" i="33"/>
  <c r="W17" i="33"/>
  <c r="AA17" i="33"/>
  <c r="U17" i="33"/>
  <c r="AB17" i="33"/>
  <c r="U15" i="21"/>
  <c r="W15" i="21"/>
  <c r="U39" i="40"/>
  <c r="AC39" i="40"/>
  <c r="W39" i="40"/>
  <c r="S39" i="40"/>
  <c r="AB37" i="40"/>
  <c r="AA37" i="40"/>
  <c r="S37" i="40"/>
  <c r="AB29" i="40"/>
  <c r="AC29" i="40"/>
  <c r="W29" i="40"/>
  <c r="AA29" i="40"/>
  <c r="S29" i="40"/>
  <c r="W19" i="40"/>
  <c r="AC19" i="40"/>
  <c r="AA19" i="40"/>
  <c r="S19" i="40"/>
  <c r="U19" i="40"/>
  <c r="AC31" i="39"/>
  <c r="R22" i="31"/>
  <c r="B21" i="31"/>
  <c r="A17" i="51"/>
  <c r="B13" i="63"/>
  <c r="E58" i="39"/>
  <c r="E53" i="40"/>
  <c r="AT6" i="3"/>
  <c r="E12" i="6"/>
  <c r="E64" i="39"/>
  <c r="G30" i="6"/>
  <c r="G31" i="6"/>
  <c r="E14" i="6"/>
  <c r="E61" i="40"/>
  <c r="E10" i="6"/>
  <c r="E15" i="6"/>
  <c r="E67" i="39"/>
  <c r="E13" i="6"/>
  <c r="E65" i="39"/>
  <c r="E11" i="6"/>
  <c r="H70" i="46"/>
  <c r="H72" i="46"/>
  <c r="A9" i="64"/>
  <c r="A25" i="51"/>
  <c r="B18" i="63"/>
  <c r="A3" i="55"/>
  <c r="B56" i="63"/>
  <c r="D72" i="39"/>
  <c r="G66" i="36"/>
  <c r="J18" i="36"/>
  <c r="AE8" i="1"/>
  <c r="F33" i="44"/>
  <c r="F31" i="15"/>
  <c r="F58" i="15"/>
  <c r="M17" i="15"/>
  <c r="M19" i="44"/>
  <c r="W18" i="36"/>
  <c r="AC18" i="36"/>
  <c r="D12" i="11"/>
  <c r="C12" i="11"/>
  <c r="E58" i="40"/>
  <c r="E63" i="39"/>
  <c r="E60" i="40"/>
  <c r="E30" i="6"/>
  <c r="K15" i="1"/>
  <c r="E62" i="40"/>
  <c r="E66" i="39"/>
  <c r="L27" i="6"/>
  <c r="R9" i="1"/>
  <c r="R8" i="1"/>
  <c r="C45" i="9"/>
  <c r="K31" i="9"/>
  <c r="K32" i="9"/>
  <c r="N76" i="9"/>
  <c r="C46" i="9"/>
  <c r="K33" i="9"/>
  <c r="I14" i="66"/>
  <c r="B8" i="66"/>
  <c r="K34" i="9"/>
  <c r="F8" i="15"/>
  <c r="L49" i="44"/>
  <c r="B9" i="67"/>
  <c r="M10" i="44"/>
  <c r="M30" i="44"/>
  <c r="B8" i="67"/>
  <c r="F45" i="44"/>
  <c r="M24" i="15"/>
  <c r="E9" i="67"/>
  <c r="F37" i="15"/>
  <c r="F13" i="67"/>
  <c r="M11" i="44"/>
  <c r="F28" i="44"/>
  <c r="E11" i="67"/>
  <c r="L47" i="15"/>
  <c r="F14" i="67"/>
  <c r="F10" i="67"/>
  <c r="L48" i="15"/>
  <c r="E12" i="67"/>
  <c r="F39" i="44"/>
  <c r="M23" i="15"/>
  <c r="F12" i="67"/>
  <c r="M28" i="44"/>
  <c r="E13" i="67"/>
  <c r="M8" i="15"/>
  <c r="F36" i="15"/>
  <c r="F9" i="67"/>
  <c r="B13" i="67"/>
  <c r="M29" i="44"/>
  <c r="F8" i="67"/>
  <c r="M8" i="44"/>
  <c r="F7" i="15"/>
  <c r="F40" i="15"/>
  <c r="M26" i="44"/>
  <c r="F38" i="15"/>
  <c r="M28" i="15"/>
  <c r="M9" i="15"/>
  <c r="F16" i="15"/>
  <c r="F15" i="44"/>
  <c r="M6" i="15"/>
  <c r="M26" i="15"/>
  <c r="M25" i="44"/>
  <c r="J36" i="15"/>
  <c r="F11" i="67"/>
  <c r="F10" i="44"/>
  <c r="F18" i="44"/>
  <c r="F40" i="44"/>
  <c r="J15" i="15"/>
  <c r="E10" i="67"/>
  <c r="F9" i="44"/>
  <c r="M24" i="44"/>
  <c r="B14" i="67"/>
  <c r="E8" i="67"/>
  <c r="M22" i="15"/>
  <c r="L48" i="44"/>
  <c r="F26" i="15"/>
  <c r="F9" i="15"/>
  <c r="E14" i="67"/>
  <c r="F43" i="44"/>
  <c r="F13" i="15"/>
  <c r="B11" i="67"/>
  <c r="F38" i="44"/>
  <c r="F11" i="44"/>
  <c r="F42" i="15"/>
  <c r="J17" i="44"/>
  <c r="B10" i="67"/>
  <c r="B12" i="67"/>
  <c r="M27" i="15"/>
  <c r="AA43" i="39"/>
  <c r="H14" i="66"/>
  <c r="B7" i="66"/>
  <c r="O40" i="9"/>
  <c r="R7" i="54"/>
  <c r="B52" i="63"/>
  <c r="AB27" i="33"/>
  <c r="U27" i="33"/>
  <c r="AC27" i="34"/>
  <c r="W27" i="34"/>
  <c r="O41" i="9"/>
  <c r="R8" i="54"/>
  <c r="B54" i="63"/>
  <c r="F70" i="39"/>
  <c r="E72" i="39"/>
  <c r="AB9" i="35"/>
  <c r="U9" i="35"/>
  <c r="U12" i="35"/>
  <c r="AB12" i="35"/>
  <c r="W24" i="35"/>
  <c r="AC24" i="35"/>
  <c r="W34" i="35"/>
  <c r="AC34" i="35"/>
  <c r="AC12" i="36"/>
  <c r="W12" i="36"/>
  <c r="W27" i="40"/>
  <c r="E67" i="40"/>
  <c r="E59" i="40"/>
  <c r="U17" i="40"/>
  <c r="W37" i="40"/>
  <c r="AB10" i="33"/>
  <c r="AC35" i="33"/>
  <c r="AB41" i="33"/>
  <c r="U11" i="34"/>
  <c r="W17" i="34"/>
  <c r="W20" i="35"/>
  <c r="S17" i="34"/>
  <c r="U12" i="34"/>
  <c r="U14" i="34"/>
  <c r="S46" i="34"/>
  <c r="AB46" i="39"/>
  <c r="AA37" i="39"/>
  <c r="AA34" i="33"/>
  <c r="S16" i="39"/>
  <c r="AB34" i="40"/>
  <c r="U16" i="40"/>
  <c r="AC13" i="33"/>
  <c r="W12" i="34"/>
  <c r="AC30" i="34"/>
  <c r="AA11" i="36"/>
  <c r="U39" i="39"/>
  <c r="AB37" i="39"/>
  <c r="AB14" i="40"/>
  <c r="S45" i="34"/>
  <c r="AC27" i="37"/>
  <c r="S25" i="35"/>
  <c r="AC14" i="37"/>
  <c r="AB17" i="37"/>
  <c r="AA36" i="35"/>
  <c r="AB15" i="37"/>
  <c r="U12" i="37"/>
  <c r="S39" i="33"/>
  <c r="S27" i="37"/>
  <c r="AC28" i="34"/>
  <c r="AB31" i="33"/>
  <c r="AC13" i="36"/>
  <c r="S46" i="33"/>
  <c r="AB40" i="37"/>
  <c r="W46" i="33"/>
  <c r="W35" i="35"/>
  <c r="AA12" i="33"/>
  <c r="C29" i="39"/>
  <c r="W33" i="33"/>
  <c r="U33" i="33"/>
  <c r="W39" i="34"/>
  <c r="F34" i="35"/>
  <c r="H34" i="35"/>
  <c r="H25" i="37"/>
  <c r="J25" i="37"/>
  <c r="F25" i="37"/>
  <c r="C28" i="57"/>
  <c r="L100" i="46"/>
  <c r="I15" i="57"/>
  <c r="D1" i="57"/>
  <c r="E10" i="57"/>
  <c r="C49" i="59"/>
  <c r="D50" i="59"/>
  <c r="Q49" i="59"/>
  <c r="Q48" i="59"/>
  <c r="T51" i="59"/>
  <c r="D51" i="59"/>
  <c r="U55" i="59"/>
  <c r="E54" i="59"/>
  <c r="E53" i="59"/>
  <c r="U63" i="59"/>
  <c r="E62" i="59"/>
  <c r="E61" i="59"/>
  <c r="D71" i="59"/>
  <c r="C70" i="59"/>
  <c r="AH10" i="46"/>
  <c r="AH12" i="46"/>
  <c r="AD10" i="46"/>
  <c r="AD12" i="46"/>
  <c r="E58" i="46"/>
  <c r="B56" i="46"/>
  <c r="E9" i="46"/>
  <c r="E11" i="46"/>
  <c r="C20" i="46"/>
  <c r="D21" i="59"/>
  <c r="C22" i="59"/>
  <c r="D17" i="59"/>
  <c r="C18" i="59"/>
  <c r="D13" i="59"/>
  <c r="C14" i="59"/>
  <c r="C10" i="59"/>
  <c r="D11" i="59"/>
  <c r="T11" i="59"/>
  <c r="B6" i="59"/>
  <c r="B5" i="59"/>
  <c r="S7" i="59"/>
  <c r="C6" i="59"/>
  <c r="D7" i="59"/>
  <c r="X21" i="59"/>
  <c r="X22" i="59"/>
  <c r="B21" i="59"/>
  <c r="B22" i="59"/>
  <c r="B23" i="59"/>
  <c r="S23" i="59"/>
  <c r="X20" i="59"/>
  <c r="X18" i="59"/>
  <c r="B17" i="59"/>
  <c r="B18" i="59"/>
  <c r="B19" i="59"/>
  <c r="S19" i="59"/>
  <c r="X16" i="59"/>
  <c r="X14" i="59"/>
  <c r="B13" i="59"/>
  <c r="B14" i="59"/>
  <c r="B15" i="59"/>
  <c r="S15" i="59"/>
  <c r="X12" i="59"/>
  <c r="X10" i="59"/>
  <c r="X7" i="59"/>
  <c r="X8" i="59"/>
  <c r="X5" i="59"/>
  <c r="F21" i="59"/>
  <c r="F22" i="59"/>
  <c r="F23" i="59"/>
  <c r="V23" i="59"/>
  <c r="AB20" i="59"/>
  <c r="AB18" i="59"/>
  <c r="F17" i="59"/>
  <c r="F18" i="59"/>
  <c r="F19" i="59"/>
  <c r="V19" i="59"/>
  <c r="AB16" i="59"/>
  <c r="AB14" i="59"/>
  <c r="F13" i="59"/>
  <c r="F14" i="59"/>
  <c r="F15" i="59"/>
  <c r="V15" i="59"/>
  <c r="AB12" i="59"/>
  <c r="AB9" i="59"/>
  <c r="AB5" i="59"/>
  <c r="AB3" i="59"/>
  <c r="F42" i="21"/>
  <c r="H42" i="21"/>
  <c r="J42" i="21"/>
  <c r="F23" i="21"/>
  <c r="H23" i="21"/>
  <c r="J23" i="21"/>
  <c r="AZ567" i="3"/>
  <c r="AZ559" i="3"/>
  <c r="AZ551" i="3"/>
  <c r="AZ543" i="3"/>
  <c r="AZ535" i="3"/>
  <c r="AZ527" i="3"/>
  <c r="AZ519" i="3"/>
  <c r="AZ511" i="3"/>
  <c r="AZ503" i="3"/>
  <c r="AZ495" i="3"/>
  <c r="AZ487" i="3"/>
  <c r="AZ479" i="3"/>
  <c r="AZ471" i="3"/>
  <c r="P50" i="59"/>
  <c r="E49" i="59"/>
  <c r="T55" i="59"/>
  <c r="D55" i="59"/>
  <c r="T63" i="59"/>
  <c r="D63" i="59"/>
  <c r="AB12" i="46"/>
  <c r="AJ12" i="46"/>
  <c r="O76" i="9"/>
  <c r="K76" i="9"/>
  <c r="K77" i="9"/>
  <c r="K79" i="9"/>
  <c r="K81" i="9"/>
  <c r="D108" i="46"/>
  <c r="E69" i="46"/>
  <c r="B67" i="46"/>
  <c r="E47" i="46"/>
  <c r="B45" i="46"/>
  <c r="E8" i="46"/>
  <c r="C5" i="46"/>
  <c r="B10" i="59"/>
  <c r="B9" i="59"/>
  <c r="F6" i="59"/>
  <c r="F5" i="59"/>
  <c r="V7" i="59"/>
  <c r="Y19" i="59"/>
  <c r="Z19" i="59"/>
  <c r="Y17" i="59"/>
  <c r="Z17" i="59"/>
  <c r="Y15" i="59"/>
  <c r="Z15" i="59"/>
  <c r="Y13" i="59"/>
  <c r="Z13" i="59"/>
  <c r="Y7" i="59"/>
  <c r="Z7" i="59"/>
  <c r="Y5" i="59"/>
  <c r="Z5" i="59"/>
  <c r="AA19" i="59"/>
  <c r="AA17" i="59"/>
  <c r="AA15" i="59"/>
  <c r="AA13" i="59"/>
  <c r="AA11" i="59"/>
  <c r="AA9" i="59"/>
  <c r="AA6" i="59"/>
  <c r="AA3" i="59"/>
  <c r="C13" i="39"/>
  <c r="I7" i="6"/>
  <c r="G3" i="46"/>
  <c r="F37" i="21"/>
  <c r="H37" i="21"/>
  <c r="J37" i="21"/>
  <c r="G5" i="3"/>
  <c r="B3" i="3"/>
  <c r="C15" i="12"/>
  <c r="BL571" i="3"/>
  <c r="AZ571" i="3"/>
  <c r="BA570" i="3"/>
  <c r="AZ570" i="3"/>
  <c r="BL567" i="3"/>
  <c r="BA566" i="3"/>
  <c r="AZ566" i="3"/>
  <c r="BL563" i="3"/>
  <c r="AZ563" i="3"/>
  <c r="BA562" i="3"/>
  <c r="AZ562" i="3"/>
  <c r="BL559" i="3"/>
  <c r="BA558" i="3"/>
  <c r="AZ558" i="3"/>
  <c r="BL555" i="3"/>
  <c r="AZ555" i="3"/>
  <c r="BA554" i="3"/>
  <c r="AZ554" i="3"/>
  <c r="BL551" i="3"/>
  <c r="BA550" i="3"/>
  <c r="AZ550" i="3"/>
  <c r="BL547" i="3"/>
  <c r="AZ547" i="3"/>
  <c r="BA546" i="3"/>
  <c r="AZ546" i="3"/>
  <c r="BL543" i="3"/>
  <c r="BA542" i="3"/>
  <c r="AZ542" i="3"/>
  <c r="BL539" i="3"/>
  <c r="AZ539" i="3"/>
  <c r="BA538" i="3"/>
  <c r="AZ538" i="3"/>
  <c r="BL535" i="3"/>
  <c r="BA534" i="3"/>
  <c r="AZ534" i="3"/>
  <c r="BL531" i="3"/>
  <c r="AZ531" i="3"/>
  <c r="BA530" i="3"/>
  <c r="AZ530" i="3"/>
  <c r="BL527" i="3"/>
  <c r="BA526" i="3"/>
  <c r="AZ526" i="3"/>
  <c r="BL523" i="3"/>
  <c r="AZ523" i="3"/>
  <c r="BA522" i="3"/>
  <c r="AZ522" i="3"/>
  <c r="BL519" i="3"/>
  <c r="BA518" i="3"/>
  <c r="AZ518" i="3"/>
  <c r="BL515" i="3"/>
  <c r="AZ515" i="3"/>
  <c r="BA514" i="3"/>
  <c r="AZ514" i="3"/>
  <c r="BL511" i="3"/>
  <c r="BA510" i="3"/>
  <c r="AZ510" i="3"/>
  <c r="BL507" i="3"/>
  <c r="AZ507" i="3"/>
  <c r="BA506" i="3"/>
  <c r="AZ506" i="3"/>
  <c r="BL503" i="3"/>
  <c r="BA502" i="3"/>
  <c r="AZ502" i="3"/>
  <c r="BL499" i="3"/>
  <c r="AZ499" i="3"/>
  <c r="BA498" i="3"/>
  <c r="AZ498" i="3"/>
  <c r="BL495" i="3"/>
  <c r="BA494" i="3"/>
  <c r="AZ494" i="3"/>
  <c r="BL491" i="3"/>
  <c r="AZ491" i="3"/>
  <c r="BA490" i="3"/>
  <c r="AZ490" i="3"/>
  <c r="BL487" i="3"/>
  <c r="BA486" i="3"/>
  <c r="AZ486" i="3"/>
  <c r="BL483" i="3"/>
  <c r="AZ483" i="3"/>
  <c r="BA482" i="3"/>
  <c r="AZ482" i="3"/>
  <c r="BL479" i="3"/>
  <c r="BA478" i="3"/>
  <c r="AZ478" i="3"/>
  <c r="BL475" i="3"/>
  <c r="AZ475" i="3"/>
  <c r="BA474" i="3"/>
  <c r="AZ474" i="3"/>
  <c r="BL471" i="3"/>
  <c r="BA470" i="3"/>
  <c r="AZ470" i="3"/>
  <c r="BL467" i="3"/>
  <c r="AZ467" i="3"/>
  <c r="BA466" i="3"/>
  <c r="AZ466" i="3"/>
  <c r="BL465" i="3"/>
  <c r="AZ465" i="3"/>
  <c r="AZ451" i="3"/>
  <c r="AZ431" i="3"/>
  <c r="AZ399" i="3"/>
  <c r="AZ391" i="3"/>
  <c r="H40" i="39"/>
  <c r="AB40" i="39"/>
  <c r="BA572" i="3"/>
  <c r="AZ572" i="3"/>
  <c r="BL569" i="3"/>
  <c r="AZ569" i="3"/>
  <c r="BA568" i="3"/>
  <c r="AZ568" i="3"/>
  <c r="BL565" i="3"/>
  <c r="AZ565" i="3"/>
  <c r="BA564" i="3"/>
  <c r="AZ564" i="3"/>
  <c r="BL561" i="3"/>
  <c r="AZ561" i="3"/>
  <c r="BA560" i="3"/>
  <c r="AZ560" i="3"/>
  <c r="BL557" i="3"/>
  <c r="AZ557" i="3"/>
  <c r="BA556" i="3"/>
  <c r="AZ556" i="3"/>
  <c r="BL553" i="3"/>
  <c r="AZ553" i="3"/>
  <c r="BA552" i="3"/>
  <c r="AZ552" i="3"/>
  <c r="BL549" i="3"/>
  <c r="AZ549" i="3"/>
  <c r="BA548" i="3"/>
  <c r="AZ548" i="3"/>
  <c r="BL545" i="3"/>
  <c r="AZ545" i="3"/>
  <c r="BA544" i="3"/>
  <c r="AZ544" i="3"/>
  <c r="BL541" i="3"/>
  <c r="AZ541" i="3"/>
  <c r="BA540" i="3"/>
  <c r="AZ540" i="3"/>
  <c r="BL537" i="3"/>
  <c r="AZ537" i="3"/>
  <c r="BA536" i="3"/>
  <c r="AZ536" i="3"/>
  <c r="BL533" i="3"/>
  <c r="AZ533" i="3"/>
  <c r="BA532" i="3"/>
  <c r="AZ532" i="3"/>
  <c r="BL529" i="3"/>
  <c r="AZ529" i="3"/>
  <c r="BA528" i="3"/>
  <c r="AZ528" i="3"/>
  <c r="BL525" i="3"/>
  <c r="AZ525" i="3"/>
  <c r="BA524" i="3"/>
  <c r="AZ524" i="3"/>
  <c r="BL521" i="3"/>
  <c r="AZ521" i="3"/>
  <c r="BA520" i="3"/>
  <c r="AZ520" i="3"/>
  <c r="BL517" i="3"/>
  <c r="AZ517" i="3"/>
  <c r="BA516" i="3"/>
  <c r="AZ516" i="3"/>
  <c r="BL513" i="3"/>
  <c r="AZ513" i="3"/>
  <c r="BA512" i="3"/>
  <c r="AZ512" i="3"/>
  <c r="BL509" i="3"/>
  <c r="AZ509" i="3"/>
  <c r="BA508" i="3"/>
  <c r="AZ508" i="3"/>
  <c r="BL505" i="3"/>
  <c r="AZ505" i="3"/>
  <c r="BA504" i="3"/>
  <c r="AZ504" i="3"/>
  <c r="BL501" i="3"/>
  <c r="AZ501" i="3"/>
  <c r="BA500" i="3"/>
  <c r="AZ500" i="3"/>
  <c r="BL497" i="3"/>
  <c r="AZ497" i="3"/>
  <c r="BA496" i="3"/>
  <c r="AZ496" i="3"/>
  <c r="BL493" i="3"/>
  <c r="AZ493" i="3"/>
  <c r="BA492" i="3"/>
  <c r="AZ492" i="3"/>
  <c r="BL489" i="3"/>
  <c r="AZ489" i="3"/>
  <c r="BA488" i="3"/>
  <c r="AZ488" i="3"/>
  <c r="BL485" i="3"/>
  <c r="AZ485" i="3"/>
  <c r="BA484" i="3"/>
  <c r="AZ484" i="3"/>
  <c r="BL481" i="3"/>
  <c r="AZ481" i="3"/>
  <c r="BA480" i="3"/>
  <c r="AZ480" i="3"/>
  <c r="BL477" i="3"/>
  <c r="AZ477" i="3"/>
  <c r="BA476" i="3"/>
  <c r="AZ476" i="3"/>
  <c r="BL473" i="3"/>
  <c r="AZ473" i="3"/>
  <c r="BA472" i="3"/>
  <c r="AZ472" i="3"/>
  <c r="BL469" i="3"/>
  <c r="AZ469" i="3"/>
  <c r="BA468" i="3"/>
  <c r="AZ468" i="3"/>
  <c r="BL463" i="3"/>
  <c r="AZ463" i="3"/>
  <c r="BA462" i="3"/>
  <c r="AZ462" i="3"/>
  <c r="BL459" i="3"/>
  <c r="AZ459" i="3"/>
  <c r="BA458" i="3"/>
  <c r="AZ458" i="3"/>
  <c r="BL455" i="3"/>
  <c r="AZ455" i="3"/>
  <c r="BA454" i="3"/>
  <c r="AZ454" i="3"/>
  <c r="BL451" i="3"/>
  <c r="BA450" i="3"/>
  <c r="AZ450" i="3"/>
  <c r="BL447" i="3"/>
  <c r="AZ447" i="3"/>
  <c r="BA446" i="3"/>
  <c r="AZ446" i="3"/>
  <c r="BL443" i="3"/>
  <c r="AZ443" i="3"/>
  <c r="BA442" i="3"/>
  <c r="AZ442" i="3"/>
  <c r="BL439" i="3"/>
  <c r="AZ439" i="3"/>
  <c r="BA438" i="3"/>
  <c r="AZ438" i="3"/>
  <c r="BL435" i="3"/>
  <c r="AZ435" i="3"/>
  <c r="BA434" i="3"/>
  <c r="AZ434" i="3"/>
  <c r="BL431" i="3"/>
  <c r="BA430" i="3"/>
  <c r="AZ430" i="3"/>
  <c r="BL427" i="3"/>
  <c r="AZ427" i="3"/>
  <c r="BA426" i="3"/>
  <c r="AZ426" i="3"/>
  <c r="BL423" i="3"/>
  <c r="AZ423" i="3"/>
  <c r="BA422" i="3"/>
  <c r="AZ422" i="3"/>
  <c r="BL419" i="3"/>
  <c r="AZ419" i="3"/>
  <c r="BA418" i="3"/>
  <c r="AZ418" i="3"/>
  <c r="BL415" i="3"/>
  <c r="AZ415" i="3"/>
  <c r="BA414" i="3"/>
  <c r="AZ414" i="3"/>
  <c r="BL411" i="3"/>
  <c r="AZ411" i="3"/>
  <c r="BA410" i="3"/>
  <c r="AZ410" i="3"/>
  <c r="BL407" i="3"/>
  <c r="AZ407" i="3"/>
  <c r="BA406" i="3"/>
  <c r="AZ406" i="3"/>
  <c r="BL403" i="3"/>
  <c r="AZ403" i="3"/>
  <c r="BA402" i="3"/>
  <c r="AZ402" i="3"/>
  <c r="BL399" i="3"/>
  <c r="BA398" i="3"/>
  <c r="AZ398" i="3"/>
  <c r="BL395" i="3"/>
  <c r="AZ395" i="3"/>
  <c r="BA394" i="3"/>
  <c r="AZ394" i="3"/>
  <c r="BL391" i="3"/>
  <c r="BA390" i="3"/>
  <c r="AZ390" i="3"/>
  <c r="BL387" i="3"/>
  <c r="AZ387" i="3"/>
  <c r="BA386" i="3"/>
  <c r="AZ386" i="3"/>
  <c r="BL383" i="3"/>
  <c r="AZ383" i="3"/>
  <c r="BA382" i="3"/>
  <c r="AZ382" i="3"/>
  <c r="BL379" i="3"/>
  <c r="AZ379" i="3"/>
  <c r="BA378" i="3"/>
  <c r="AZ378" i="3"/>
  <c r="BL375" i="3"/>
  <c r="AZ375" i="3"/>
  <c r="BA374" i="3"/>
  <c r="AZ374" i="3"/>
  <c r="BL371" i="3"/>
  <c r="AZ371" i="3"/>
  <c r="BA370" i="3"/>
  <c r="AZ370" i="3"/>
  <c r="BL367" i="3"/>
  <c r="AZ367" i="3"/>
  <c r="BA366" i="3"/>
  <c r="AZ366" i="3"/>
  <c r="BL363" i="3"/>
  <c r="AZ363" i="3"/>
  <c r="BA362" i="3"/>
  <c r="AZ362" i="3"/>
  <c r="BL359" i="3"/>
  <c r="AZ359" i="3"/>
  <c r="BA358" i="3"/>
  <c r="AZ358" i="3"/>
  <c r="BL355" i="3"/>
  <c r="AZ355" i="3"/>
  <c r="BA354" i="3"/>
  <c r="AZ354" i="3"/>
  <c r="BL351" i="3"/>
  <c r="AZ351" i="3"/>
  <c r="BA350" i="3"/>
  <c r="AZ350" i="3"/>
  <c r="BL347" i="3"/>
  <c r="AZ347" i="3"/>
  <c r="BA346" i="3"/>
  <c r="AZ346" i="3"/>
  <c r="BL343" i="3"/>
  <c r="AZ343" i="3"/>
  <c r="BA342" i="3"/>
  <c r="AZ342" i="3"/>
  <c r="BL339" i="3"/>
  <c r="BA339" i="3"/>
  <c r="AZ339" i="3"/>
  <c r="BL332" i="3"/>
  <c r="AZ332" i="3"/>
  <c r="BA331" i="3"/>
  <c r="AZ331" i="3"/>
  <c r="BL324" i="3"/>
  <c r="AZ324" i="3"/>
  <c r="BA323" i="3"/>
  <c r="AZ323" i="3"/>
  <c r="BL316" i="3"/>
  <c r="AZ316" i="3"/>
  <c r="BA315" i="3"/>
  <c r="AZ315" i="3"/>
  <c r="BL308" i="3"/>
  <c r="AZ308" i="3"/>
  <c r="BA307" i="3"/>
  <c r="AZ307" i="3"/>
  <c r="BL300" i="3"/>
  <c r="AZ300" i="3"/>
  <c r="BA299" i="3"/>
  <c r="AZ299" i="3"/>
  <c r="BL292" i="3"/>
  <c r="AZ292" i="3"/>
  <c r="BA291" i="3"/>
  <c r="AZ291" i="3"/>
  <c r="BL284" i="3"/>
  <c r="AZ284" i="3"/>
  <c r="BA283" i="3"/>
  <c r="AZ283" i="3"/>
  <c r="BL276" i="3"/>
  <c r="AZ276" i="3"/>
  <c r="BA275" i="3"/>
  <c r="AZ275" i="3"/>
  <c r="BL268" i="3"/>
  <c r="AZ268" i="3"/>
  <c r="BA267" i="3"/>
  <c r="AZ267" i="3"/>
  <c r="BL260" i="3"/>
  <c r="AZ260" i="3"/>
  <c r="BA259" i="3"/>
  <c r="AZ259" i="3"/>
  <c r="BL252" i="3"/>
  <c r="AZ252" i="3"/>
  <c r="BA251" i="3"/>
  <c r="AZ251" i="3"/>
  <c r="BL244" i="3"/>
  <c r="AZ244" i="3"/>
  <c r="BA243" i="3"/>
  <c r="AZ243" i="3"/>
  <c r="BL236" i="3"/>
  <c r="AZ236" i="3"/>
  <c r="BA235" i="3"/>
  <c r="AZ235" i="3"/>
  <c r="BL228" i="3"/>
  <c r="AZ228" i="3"/>
  <c r="BA227" i="3"/>
  <c r="AZ227" i="3"/>
  <c r="BL220" i="3"/>
  <c r="AZ220" i="3"/>
  <c r="BA219" i="3"/>
  <c r="AZ219" i="3"/>
  <c r="BL212" i="3"/>
  <c r="AZ212" i="3"/>
  <c r="BA211" i="3"/>
  <c r="AZ211" i="3"/>
  <c r="BA464" i="3"/>
  <c r="AZ464" i="3"/>
  <c r="BL461" i="3"/>
  <c r="AZ461" i="3"/>
  <c r="BA460" i="3"/>
  <c r="AZ460" i="3"/>
  <c r="BL457" i="3"/>
  <c r="AZ457" i="3"/>
  <c r="BA456" i="3"/>
  <c r="AZ456" i="3"/>
  <c r="BL453" i="3"/>
  <c r="AZ453" i="3"/>
  <c r="BA452" i="3"/>
  <c r="AZ452" i="3"/>
  <c r="BL449" i="3"/>
  <c r="AZ449" i="3"/>
  <c r="BA448" i="3"/>
  <c r="AZ448" i="3"/>
  <c r="BL445" i="3"/>
  <c r="AZ445" i="3"/>
  <c r="BA444" i="3"/>
  <c r="AZ444" i="3"/>
  <c r="BL441" i="3"/>
  <c r="AZ441" i="3"/>
  <c r="BA440" i="3"/>
  <c r="AZ440" i="3"/>
  <c r="BL437" i="3"/>
  <c r="AZ437" i="3"/>
  <c r="BA436" i="3"/>
  <c r="AZ436" i="3"/>
  <c r="BL433" i="3"/>
  <c r="AZ433" i="3"/>
  <c r="BA432" i="3"/>
  <c r="AZ432" i="3"/>
  <c r="BL429" i="3"/>
  <c r="AZ429" i="3"/>
  <c r="BA428" i="3"/>
  <c r="AZ428" i="3"/>
  <c r="BL425" i="3"/>
  <c r="AZ425" i="3"/>
  <c r="BA424" i="3"/>
  <c r="AZ424" i="3"/>
  <c r="BL421" i="3"/>
  <c r="AZ421" i="3"/>
  <c r="BA420" i="3"/>
  <c r="AZ420" i="3"/>
  <c r="BL417" i="3"/>
  <c r="AZ417" i="3"/>
  <c r="BA416" i="3"/>
  <c r="AZ416" i="3"/>
  <c r="BL413" i="3"/>
  <c r="AZ413" i="3"/>
  <c r="BA412" i="3"/>
  <c r="AZ412" i="3"/>
  <c r="BL409" i="3"/>
  <c r="AZ409" i="3"/>
  <c r="BA408" i="3"/>
  <c r="AZ408" i="3"/>
  <c r="BL405" i="3"/>
  <c r="AZ405" i="3"/>
  <c r="BA404" i="3"/>
  <c r="AZ404" i="3"/>
  <c r="BL401" i="3"/>
  <c r="AZ401" i="3"/>
  <c r="BA400" i="3"/>
  <c r="AZ400" i="3"/>
  <c r="BL397" i="3"/>
  <c r="AZ397" i="3"/>
  <c r="BA396" i="3"/>
  <c r="AZ396" i="3"/>
  <c r="BL393" i="3"/>
  <c r="AZ393" i="3"/>
  <c r="BA392" i="3"/>
  <c r="AZ392" i="3"/>
  <c r="BL389" i="3"/>
  <c r="AZ389" i="3"/>
  <c r="BA388" i="3"/>
  <c r="AZ388" i="3"/>
  <c r="BL385" i="3"/>
  <c r="AZ385" i="3"/>
  <c r="BA384" i="3"/>
  <c r="AZ384" i="3"/>
  <c r="BL381" i="3"/>
  <c r="AZ381" i="3"/>
  <c r="BA380" i="3"/>
  <c r="AZ380" i="3"/>
  <c r="BL377" i="3"/>
  <c r="AZ377" i="3"/>
  <c r="BA376" i="3"/>
  <c r="AZ376" i="3"/>
  <c r="BL373" i="3"/>
  <c r="AZ373" i="3"/>
  <c r="BA372" i="3"/>
  <c r="AZ372" i="3"/>
  <c r="BL369" i="3"/>
  <c r="AZ369" i="3"/>
  <c r="BA368" i="3"/>
  <c r="AZ368" i="3"/>
  <c r="BL365" i="3"/>
  <c r="AZ365" i="3"/>
  <c r="BA364" i="3"/>
  <c r="AZ364" i="3"/>
  <c r="BL361" i="3"/>
  <c r="AZ361" i="3"/>
  <c r="BA360" i="3"/>
  <c r="AZ360" i="3"/>
  <c r="BL357" i="3"/>
  <c r="AZ357" i="3"/>
  <c r="BA356" i="3"/>
  <c r="AZ356" i="3"/>
  <c r="BL353" i="3"/>
  <c r="AZ353" i="3"/>
  <c r="BA352" i="3"/>
  <c r="AZ352" i="3"/>
  <c r="BL349" i="3"/>
  <c r="AZ349" i="3"/>
  <c r="BA348" i="3"/>
  <c r="AZ348" i="3"/>
  <c r="BL345" i="3"/>
  <c r="AZ345" i="3"/>
  <c r="BA344" i="3"/>
  <c r="AZ344" i="3"/>
  <c r="BL341" i="3"/>
  <c r="AZ341" i="3"/>
  <c r="BA340" i="3"/>
  <c r="AZ340" i="3"/>
  <c r="BL336" i="3"/>
  <c r="AZ336" i="3"/>
  <c r="BA335" i="3"/>
  <c r="AZ335" i="3"/>
  <c r="BL328" i="3"/>
  <c r="AZ328" i="3"/>
  <c r="BA327" i="3"/>
  <c r="AZ327" i="3"/>
  <c r="BL320" i="3"/>
  <c r="AZ320" i="3"/>
  <c r="BA319" i="3"/>
  <c r="AZ319" i="3"/>
  <c r="BL312" i="3"/>
  <c r="AZ312" i="3"/>
  <c r="BA311" i="3"/>
  <c r="AZ311" i="3"/>
  <c r="BL304" i="3"/>
  <c r="AZ304" i="3"/>
  <c r="BA303" i="3"/>
  <c r="AZ303" i="3"/>
  <c r="BL296" i="3"/>
  <c r="AZ296" i="3"/>
  <c r="BA295" i="3"/>
  <c r="AZ295" i="3"/>
  <c r="BL288" i="3"/>
  <c r="AZ288" i="3"/>
  <c r="BA287" i="3"/>
  <c r="AZ287" i="3"/>
  <c r="BL280" i="3"/>
  <c r="AZ280" i="3"/>
  <c r="BA279" i="3"/>
  <c r="AZ279" i="3"/>
  <c r="BL272" i="3"/>
  <c r="AZ272" i="3"/>
  <c r="BA271" i="3"/>
  <c r="AZ271" i="3"/>
  <c r="BL264" i="3"/>
  <c r="AZ264" i="3"/>
  <c r="BA263" i="3"/>
  <c r="AZ263" i="3"/>
  <c r="BL256" i="3"/>
  <c r="AZ256" i="3"/>
  <c r="BA255" i="3"/>
  <c r="AZ255" i="3"/>
  <c r="BL248" i="3"/>
  <c r="AZ248" i="3"/>
  <c r="BA247" i="3"/>
  <c r="AZ247" i="3"/>
  <c r="BL240" i="3"/>
  <c r="AZ240" i="3"/>
  <c r="BA239" i="3"/>
  <c r="AZ239" i="3"/>
  <c r="BL232" i="3"/>
  <c r="AZ232" i="3"/>
  <c r="BA231" i="3"/>
  <c r="AZ231" i="3"/>
  <c r="BL224" i="3"/>
  <c r="AZ224" i="3"/>
  <c r="BA223" i="3"/>
  <c r="AZ223" i="3"/>
  <c r="BL216" i="3"/>
  <c r="AZ216" i="3"/>
  <c r="BA215" i="3"/>
  <c r="AZ215" i="3"/>
  <c r="BL208" i="3"/>
  <c r="AZ208" i="3"/>
  <c r="BA207" i="3"/>
  <c r="AZ207" i="3"/>
  <c r="BL204" i="3"/>
  <c r="AZ204" i="3"/>
  <c r="BA203" i="3"/>
  <c r="AZ203" i="3"/>
  <c r="BL200" i="3"/>
  <c r="AZ200" i="3"/>
  <c r="BA199" i="3"/>
  <c r="AZ199" i="3"/>
  <c r="BL196" i="3"/>
  <c r="AZ196" i="3"/>
  <c r="BA195" i="3"/>
  <c r="AZ195" i="3"/>
  <c r="BL192" i="3"/>
  <c r="AZ192" i="3"/>
  <c r="BA191" i="3"/>
  <c r="AZ191" i="3"/>
  <c r="BL188" i="3"/>
  <c r="AZ188" i="3"/>
  <c r="BA187" i="3"/>
  <c r="AZ187" i="3"/>
  <c r="BL184" i="3"/>
  <c r="AZ184" i="3"/>
  <c r="BA183" i="3"/>
  <c r="AZ183" i="3"/>
  <c r="BL180" i="3"/>
  <c r="AZ180" i="3"/>
  <c r="BA179" i="3"/>
  <c r="AZ179" i="3"/>
  <c r="BL176" i="3"/>
  <c r="AZ176" i="3"/>
  <c r="BA175" i="3"/>
  <c r="AZ175" i="3"/>
  <c r="BL172" i="3"/>
  <c r="AZ172" i="3"/>
  <c r="BA171" i="3"/>
  <c r="AZ171" i="3"/>
  <c r="BL164" i="3"/>
  <c r="AZ164" i="3"/>
  <c r="BA163" i="3"/>
  <c r="AZ163" i="3"/>
  <c r="BL156" i="3"/>
  <c r="AZ156" i="3"/>
  <c r="BA155" i="3"/>
  <c r="AZ155" i="3"/>
  <c r="BL148" i="3"/>
  <c r="AZ148" i="3"/>
  <c r="BA147" i="3"/>
  <c r="AZ147" i="3"/>
  <c r="BL140" i="3"/>
  <c r="AZ140" i="3"/>
  <c r="BA139" i="3"/>
  <c r="AZ139" i="3"/>
  <c r="BL132" i="3"/>
  <c r="AZ132" i="3"/>
  <c r="BA131" i="3"/>
  <c r="AZ131" i="3"/>
  <c r="BL124" i="3"/>
  <c r="AZ124" i="3"/>
  <c r="BA123" i="3"/>
  <c r="AZ123" i="3"/>
  <c r="BL116" i="3"/>
  <c r="AZ116" i="3"/>
  <c r="BA115" i="3"/>
  <c r="AZ115" i="3"/>
  <c r="BL108" i="3"/>
  <c r="AZ108" i="3"/>
  <c r="BA107" i="3"/>
  <c r="AZ107" i="3"/>
  <c r="BL100" i="3"/>
  <c r="AZ100" i="3"/>
  <c r="BA99" i="3"/>
  <c r="AZ99" i="3"/>
  <c r="BL92" i="3"/>
  <c r="AZ92" i="3"/>
  <c r="BA91" i="3"/>
  <c r="AZ91" i="3"/>
  <c r="BL84" i="3"/>
  <c r="AZ84" i="3"/>
  <c r="BA83" i="3"/>
  <c r="AZ83" i="3"/>
  <c r="BL68" i="3"/>
  <c r="AZ68" i="3"/>
  <c r="BA67" i="3"/>
  <c r="AZ67" i="3"/>
  <c r="BL52" i="3"/>
  <c r="AZ52" i="3"/>
  <c r="BA51" i="3"/>
  <c r="AZ51" i="3"/>
  <c r="BL36" i="3"/>
  <c r="AZ36" i="3"/>
  <c r="BL338" i="3"/>
  <c r="AZ338" i="3"/>
  <c r="BA337" i="3"/>
  <c r="AZ337" i="3"/>
  <c r="BL334" i="3"/>
  <c r="AZ334" i="3"/>
  <c r="BA333" i="3"/>
  <c r="AZ333" i="3"/>
  <c r="BL330" i="3"/>
  <c r="AZ330" i="3"/>
  <c r="BA329" i="3"/>
  <c r="AZ329" i="3"/>
  <c r="BL326" i="3"/>
  <c r="AZ326" i="3"/>
  <c r="BA325" i="3"/>
  <c r="AZ325" i="3"/>
  <c r="BL322" i="3"/>
  <c r="AZ322" i="3"/>
  <c r="BA321" i="3"/>
  <c r="AZ321" i="3"/>
  <c r="BL318" i="3"/>
  <c r="AZ318" i="3"/>
  <c r="BA317" i="3"/>
  <c r="AZ317" i="3"/>
  <c r="BL314" i="3"/>
  <c r="AZ314" i="3"/>
  <c r="BA313" i="3"/>
  <c r="AZ313" i="3"/>
  <c r="BL310" i="3"/>
  <c r="AZ310" i="3"/>
  <c r="BA309" i="3"/>
  <c r="AZ309" i="3"/>
  <c r="BL306" i="3"/>
  <c r="AZ306" i="3"/>
  <c r="BA305" i="3"/>
  <c r="AZ305" i="3"/>
  <c r="BL302" i="3"/>
  <c r="AZ302" i="3"/>
  <c r="BA301" i="3"/>
  <c r="AZ301" i="3"/>
  <c r="BL298" i="3"/>
  <c r="AZ298" i="3"/>
  <c r="BA297" i="3"/>
  <c r="AZ297" i="3"/>
  <c r="BL294" i="3"/>
  <c r="AZ294" i="3"/>
  <c r="BA293" i="3"/>
  <c r="AZ293" i="3"/>
  <c r="BL290" i="3"/>
  <c r="AZ290" i="3"/>
  <c r="BA289" i="3"/>
  <c r="AZ289" i="3"/>
  <c r="BL286" i="3"/>
  <c r="AZ286" i="3"/>
  <c r="BA285" i="3"/>
  <c r="AZ285" i="3"/>
  <c r="BL282" i="3"/>
  <c r="AZ282" i="3"/>
  <c r="BA281" i="3"/>
  <c r="AZ281" i="3"/>
  <c r="BL278" i="3"/>
  <c r="AZ278" i="3"/>
  <c r="BA277" i="3"/>
  <c r="AZ277" i="3"/>
  <c r="BL274" i="3"/>
  <c r="AZ274" i="3"/>
  <c r="BA273" i="3"/>
  <c r="AZ273" i="3"/>
  <c r="BL270" i="3"/>
  <c r="AZ270" i="3"/>
  <c r="BA269" i="3"/>
  <c r="AZ269" i="3"/>
  <c r="BL266" i="3"/>
  <c r="AZ266" i="3"/>
  <c r="BA265" i="3"/>
  <c r="AZ265" i="3"/>
  <c r="BL262" i="3"/>
  <c r="AZ262" i="3"/>
  <c r="BA261" i="3"/>
  <c r="AZ261" i="3"/>
  <c r="BL258" i="3"/>
  <c r="AZ258" i="3"/>
  <c r="BA257" i="3"/>
  <c r="AZ257" i="3"/>
  <c r="BL254" i="3"/>
  <c r="AZ254" i="3"/>
  <c r="BA253" i="3"/>
  <c r="AZ253" i="3"/>
  <c r="BL250" i="3"/>
  <c r="AZ250" i="3"/>
  <c r="BA249" i="3"/>
  <c r="AZ249" i="3"/>
  <c r="BL246" i="3"/>
  <c r="AZ246" i="3"/>
  <c r="BA245" i="3"/>
  <c r="AZ245" i="3"/>
  <c r="BL242" i="3"/>
  <c r="AZ242" i="3"/>
  <c r="BA241" i="3"/>
  <c r="AZ241" i="3"/>
  <c r="BL238" i="3"/>
  <c r="AZ238" i="3"/>
  <c r="BA237" i="3"/>
  <c r="AZ237" i="3"/>
  <c r="BL234" i="3"/>
  <c r="AZ234" i="3"/>
  <c r="BA233" i="3"/>
  <c r="AZ233" i="3"/>
  <c r="BL230" i="3"/>
  <c r="AZ230" i="3"/>
  <c r="BA229" i="3"/>
  <c r="AZ229" i="3"/>
  <c r="BL226" i="3"/>
  <c r="AZ226" i="3"/>
  <c r="BA225" i="3"/>
  <c r="AZ225" i="3"/>
  <c r="BL222" i="3"/>
  <c r="AZ222" i="3"/>
  <c r="BA221" i="3"/>
  <c r="AZ221" i="3"/>
  <c r="BL218" i="3"/>
  <c r="AZ218" i="3"/>
  <c r="BA217" i="3"/>
  <c r="AZ217" i="3"/>
  <c r="BL214" i="3"/>
  <c r="AZ214" i="3"/>
  <c r="BA213" i="3"/>
  <c r="AZ213" i="3"/>
  <c r="BL210" i="3"/>
  <c r="AZ210" i="3"/>
  <c r="BA209" i="3"/>
  <c r="AZ209" i="3"/>
  <c r="BL206" i="3"/>
  <c r="AZ206" i="3"/>
  <c r="BA205" i="3"/>
  <c r="AZ205" i="3"/>
  <c r="BL202" i="3"/>
  <c r="AZ202" i="3"/>
  <c r="BA201" i="3"/>
  <c r="AZ201" i="3"/>
  <c r="BL198" i="3"/>
  <c r="AZ198" i="3"/>
  <c r="BA197" i="3"/>
  <c r="AZ197" i="3"/>
  <c r="BL194" i="3"/>
  <c r="AZ194" i="3"/>
  <c r="BA193" i="3"/>
  <c r="AZ193" i="3"/>
  <c r="BL190" i="3"/>
  <c r="AZ190" i="3"/>
  <c r="BA189" i="3"/>
  <c r="AZ189" i="3"/>
  <c r="BL186" i="3"/>
  <c r="AZ186" i="3"/>
  <c r="BA185" i="3"/>
  <c r="AZ185" i="3"/>
  <c r="BL182" i="3"/>
  <c r="AZ182" i="3"/>
  <c r="BA181" i="3"/>
  <c r="AZ181" i="3"/>
  <c r="BL178" i="3"/>
  <c r="AZ178" i="3"/>
  <c r="BA177" i="3"/>
  <c r="AZ177" i="3"/>
  <c r="BL174" i="3"/>
  <c r="AZ174" i="3"/>
  <c r="BA173" i="3"/>
  <c r="AZ173" i="3"/>
  <c r="BL168" i="3"/>
  <c r="AZ168" i="3"/>
  <c r="BA167" i="3"/>
  <c r="AZ167" i="3"/>
  <c r="BL160" i="3"/>
  <c r="AZ160" i="3"/>
  <c r="BA159" i="3"/>
  <c r="AZ159" i="3"/>
  <c r="BL152" i="3"/>
  <c r="AZ152" i="3"/>
  <c r="BA151" i="3"/>
  <c r="AZ151" i="3"/>
  <c r="BL144" i="3"/>
  <c r="AZ144" i="3"/>
  <c r="BA143" i="3"/>
  <c r="AZ143" i="3"/>
  <c r="BL136" i="3"/>
  <c r="AZ136" i="3"/>
  <c r="BA135" i="3"/>
  <c r="AZ135" i="3"/>
  <c r="BL128" i="3"/>
  <c r="AZ128" i="3"/>
  <c r="BA127" i="3"/>
  <c r="AZ127" i="3"/>
  <c r="BL120" i="3"/>
  <c r="AZ120" i="3"/>
  <c r="BA119" i="3"/>
  <c r="AZ119" i="3"/>
  <c r="BL112" i="3"/>
  <c r="AZ112" i="3"/>
  <c r="BA111" i="3"/>
  <c r="AZ111" i="3"/>
  <c r="BL104" i="3"/>
  <c r="AZ104" i="3"/>
  <c r="BA103" i="3"/>
  <c r="AZ103" i="3"/>
  <c r="BL96" i="3"/>
  <c r="AZ96" i="3"/>
  <c r="BA95" i="3"/>
  <c r="AZ95" i="3"/>
  <c r="BL88" i="3"/>
  <c r="AZ88" i="3"/>
  <c r="BA87" i="3"/>
  <c r="AZ87" i="3"/>
  <c r="BL76" i="3"/>
  <c r="AZ76" i="3"/>
  <c r="BA75" i="3"/>
  <c r="AZ75" i="3"/>
  <c r="BL60" i="3"/>
  <c r="AZ60" i="3"/>
  <c r="BA59" i="3"/>
  <c r="AZ59" i="3"/>
  <c r="BL44" i="3"/>
  <c r="AZ44" i="3"/>
  <c r="BA43" i="3"/>
  <c r="AZ43" i="3"/>
  <c r="BL170" i="3"/>
  <c r="AZ170" i="3"/>
  <c r="BA169" i="3"/>
  <c r="AZ169" i="3"/>
  <c r="BL166" i="3"/>
  <c r="AZ166" i="3"/>
  <c r="BA165" i="3"/>
  <c r="AZ165" i="3"/>
  <c r="BL162" i="3"/>
  <c r="AZ162" i="3"/>
  <c r="BA161" i="3"/>
  <c r="AZ161" i="3"/>
  <c r="BL158" i="3"/>
  <c r="AZ158" i="3"/>
  <c r="BA157" i="3"/>
  <c r="AZ157" i="3"/>
  <c r="BL154" i="3"/>
  <c r="AZ154" i="3"/>
  <c r="BA153" i="3"/>
  <c r="AZ153" i="3"/>
  <c r="BL150" i="3"/>
  <c r="AZ150" i="3"/>
  <c r="BA149" i="3"/>
  <c r="AZ149" i="3"/>
  <c r="BL146" i="3"/>
  <c r="AZ146" i="3"/>
  <c r="BA145" i="3"/>
  <c r="AZ145" i="3"/>
  <c r="BL142" i="3"/>
  <c r="AZ142" i="3"/>
  <c r="BA141" i="3"/>
  <c r="AZ141" i="3"/>
  <c r="BL138" i="3"/>
  <c r="AZ138" i="3"/>
  <c r="BA137" i="3"/>
  <c r="AZ137" i="3"/>
  <c r="BL134" i="3"/>
  <c r="AZ134" i="3"/>
  <c r="BA133" i="3"/>
  <c r="AZ133" i="3"/>
  <c r="BL130" i="3"/>
  <c r="AZ130" i="3"/>
  <c r="BA129" i="3"/>
  <c r="AZ129" i="3"/>
  <c r="BL126" i="3"/>
  <c r="AZ126" i="3"/>
  <c r="BA125" i="3"/>
  <c r="AZ125" i="3"/>
  <c r="BL122" i="3"/>
  <c r="AZ122" i="3"/>
  <c r="BA121" i="3"/>
  <c r="AZ121" i="3"/>
  <c r="BL118" i="3"/>
  <c r="AZ118" i="3"/>
  <c r="BA117" i="3"/>
  <c r="AZ117" i="3"/>
  <c r="BL114" i="3"/>
  <c r="AZ114" i="3"/>
  <c r="BA113" i="3"/>
  <c r="AZ113" i="3"/>
  <c r="BL110" i="3"/>
  <c r="AZ110" i="3"/>
  <c r="BA109" i="3"/>
  <c r="AZ109" i="3"/>
  <c r="BL106" i="3"/>
  <c r="AZ106" i="3"/>
  <c r="BA105" i="3"/>
  <c r="AZ105" i="3"/>
  <c r="BL102" i="3"/>
  <c r="AZ102" i="3"/>
  <c r="BA101" i="3"/>
  <c r="AZ101" i="3"/>
  <c r="BL98" i="3"/>
  <c r="AZ98" i="3"/>
  <c r="BA97" i="3"/>
  <c r="AZ97" i="3"/>
  <c r="BL94" i="3"/>
  <c r="AZ94" i="3"/>
  <c r="BA93" i="3"/>
  <c r="AZ93" i="3"/>
  <c r="BL90" i="3"/>
  <c r="AZ90" i="3"/>
  <c r="BA89" i="3"/>
  <c r="AZ89" i="3"/>
  <c r="BL86" i="3"/>
  <c r="AZ86" i="3"/>
  <c r="BA85" i="3"/>
  <c r="AZ85" i="3"/>
  <c r="BL80" i="3"/>
  <c r="AZ80" i="3"/>
  <c r="BA79" i="3"/>
  <c r="AZ79" i="3"/>
  <c r="BL72" i="3"/>
  <c r="AZ72" i="3"/>
  <c r="BA71" i="3"/>
  <c r="AZ71" i="3"/>
  <c r="BL64" i="3"/>
  <c r="AZ64" i="3"/>
  <c r="BA63" i="3"/>
  <c r="AZ63" i="3"/>
  <c r="BL56" i="3"/>
  <c r="AZ56" i="3"/>
  <c r="BA55" i="3"/>
  <c r="AZ55" i="3"/>
  <c r="BL48" i="3"/>
  <c r="AZ48" i="3"/>
  <c r="BA47" i="3"/>
  <c r="AZ47" i="3"/>
  <c r="BL40" i="3"/>
  <c r="AZ40" i="3"/>
  <c r="BA39" i="3"/>
  <c r="AZ39" i="3"/>
  <c r="BL82" i="3"/>
  <c r="AZ82" i="3"/>
  <c r="BA81" i="3"/>
  <c r="AZ81" i="3"/>
  <c r="BL78" i="3"/>
  <c r="AZ78" i="3"/>
  <c r="BA77" i="3"/>
  <c r="AZ77" i="3"/>
  <c r="BL74" i="3"/>
  <c r="AZ74" i="3"/>
  <c r="BA73" i="3"/>
  <c r="AZ73" i="3"/>
  <c r="BL70" i="3"/>
  <c r="AZ70" i="3"/>
  <c r="BA69" i="3"/>
  <c r="AZ69" i="3"/>
  <c r="BL66" i="3"/>
  <c r="AZ66" i="3"/>
  <c r="BA65" i="3"/>
  <c r="AZ65" i="3"/>
  <c r="BL62" i="3"/>
  <c r="AZ62" i="3"/>
  <c r="BA61" i="3"/>
  <c r="AZ61" i="3"/>
  <c r="BL58" i="3"/>
  <c r="AZ58" i="3"/>
  <c r="BA57" i="3"/>
  <c r="AZ57" i="3"/>
  <c r="BL54" i="3"/>
  <c r="AZ54" i="3"/>
  <c r="BA53" i="3"/>
  <c r="AZ53" i="3"/>
  <c r="BL50" i="3"/>
  <c r="AZ50" i="3"/>
  <c r="BA49" i="3"/>
  <c r="AZ49" i="3"/>
  <c r="BL46" i="3"/>
  <c r="AZ46" i="3"/>
  <c r="BA45" i="3"/>
  <c r="AZ45" i="3"/>
  <c r="BL42" i="3"/>
  <c r="AZ42" i="3"/>
  <c r="BA41" i="3"/>
  <c r="AZ41" i="3"/>
  <c r="BL38" i="3"/>
  <c r="AZ38" i="3"/>
  <c r="BA37" i="3"/>
  <c r="E68" i="39"/>
  <c r="E16" i="6"/>
  <c r="C23" i="46"/>
  <c r="C21" i="46"/>
  <c r="E22" i="46"/>
  <c r="E101" i="46"/>
  <c r="F101" i="46"/>
  <c r="G22" i="46"/>
  <c r="K6" i="1"/>
  <c r="C9" i="12"/>
  <c r="L101" i="46"/>
  <c r="H101" i="46"/>
  <c r="S4" i="46"/>
  <c r="Z11" i="46"/>
  <c r="Z13" i="46"/>
  <c r="AD11" i="46"/>
  <c r="AD13" i="46"/>
  <c r="AH11" i="46"/>
  <c r="S3" i="46"/>
  <c r="AA11" i="46"/>
  <c r="AA13" i="46"/>
  <c r="AI11" i="46"/>
  <c r="AI13" i="46"/>
  <c r="S5" i="46"/>
  <c r="D101" i="46"/>
  <c r="F22" i="46"/>
  <c r="B113" i="46"/>
  <c r="P13" i="1"/>
  <c r="P12" i="1"/>
  <c r="P11" i="1"/>
  <c r="P10" i="1"/>
  <c r="P9" i="1"/>
  <c r="P8" i="1"/>
  <c r="P14" i="1"/>
  <c r="P7" i="1"/>
  <c r="F99" i="39"/>
  <c r="G99" i="39"/>
  <c r="H25" i="39"/>
  <c r="U25" i="39"/>
  <c r="F25" i="39"/>
  <c r="AA25" i="39"/>
  <c r="J25" i="39"/>
  <c r="J13" i="39"/>
  <c r="AC13" i="39"/>
  <c r="H13" i="39"/>
  <c r="AB13" i="39"/>
  <c r="D18" i="9"/>
  <c r="M44" i="9"/>
  <c r="M43" i="9"/>
  <c r="U27" i="39"/>
  <c r="W11" i="39"/>
  <c r="F13" i="39"/>
  <c r="S13" i="39"/>
  <c r="F83" i="39"/>
  <c r="G83" i="39"/>
  <c r="H83" i="39"/>
  <c r="I83" i="39"/>
  <c r="J83" i="39"/>
  <c r="K83" i="39"/>
  <c r="L83" i="39"/>
  <c r="M83" i="39"/>
  <c r="S25" i="39"/>
  <c r="F93" i="39"/>
  <c r="G93" i="39"/>
  <c r="J19" i="39"/>
  <c r="W19" i="39"/>
  <c r="AA13" i="39"/>
  <c r="W40" i="39"/>
  <c r="U40" i="39"/>
  <c r="S40" i="39"/>
  <c r="AC47" i="39"/>
  <c r="S29" i="39"/>
  <c r="AA29" i="39"/>
  <c r="J29" i="39"/>
  <c r="H29" i="39"/>
  <c r="F103" i="39"/>
  <c r="G103" i="39"/>
  <c r="S27" i="39"/>
  <c r="W23" i="39"/>
  <c r="U23" i="39"/>
  <c r="S23" i="39"/>
  <c r="H19" i="39"/>
  <c r="F19" i="39"/>
  <c r="S17" i="39"/>
  <c r="J17" i="39"/>
  <c r="H17" i="39"/>
  <c r="E6" i="52"/>
  <c r="U11" i="39"/>
  <c r="S15" i="39"/>
  <c r="U14" i="39"/>
  <c r="S14" i="39"/>
  <c r="W14" i="39"/>
  <c r="S11" i="39"/>
  <c r="E16" i="52"/>
  <c r="B13" i="52"/>
  <c r="E8" i="52"/>
  <c r="E21" i="52"/>
  <c r="E4" i="52"/>
  <c r="B11" i="52"/>
  <c r="B5" i="52"/>
  <c r="B22" i="52"/>
  <c r="B14" i="52"/>
  <c r="E7" i="52"/>
  <c r="C4" i="4"/>
  <c r="B20" i="55"/>
  <c r="B70" i="63"/>
  <c r="D46" i="36"/>
  <c r="D58" i="33"/>
  <c r="D48" i="35"/>
  <c r="E48" i="35"/>
  <c r="F48" i="35"/>
  <c r="G48" i="35"/>
  <c r="H48" i="35"/>
  <c r="I48" i="35"/>
  <c r="J48" i="35"/>
  <c r="K48" i="35"/>
  <c r="L48" i="35"/>
  <c r="M48" i="35"/>
  <c r="N48" i="35"/>
  <c r="O48" i="35"/>
  <c r="AP12" i="1"/>
  <c r="AP16" i="1"/>
  <c r="F22" i="11"/>
  <c r="G12" i="1"/>
  <c r="N1" i="65"/>
  <c r="H1" i="65"/>
  <c r="G65" i="40"/>
  <c r="D67" i="40"/>
  <c r="J7" i="35"/>
  <c r="D52" i="37"/>
  <c r="D58" i="21"/>
  <c r="D59" i="34"/>
  <c r="C28" i="15"/>
  <c r="C30" i="44"/>
  <c r="C31" i="43"/>
  <c r="C15" i="43"/>
  <c r="E5" i="52"/>
  <c r="B6" i="52"/>
  <c r="B16" i="52"/>
  <c r="B23" i="52"/>
  <c r="E10" i="52"/>
  <c r="E9" i="52"/>
  <c r="B8" i="52"/>
  <c r="B4" i="52"/>
  <c r="B9" i="52"/>
  <c r="B10" i="52"/>
  <c r="B7" i="52"/>
  <c r="E11" i="52"/>
  <c r="E4" i="4"/>
  <c r="B21" i="55"/>
  <c r="B72" i="63"/>
  <c r="F67" i="15"/>
  <c r="C27" i="15"/>
  <c r="Q72" i="15"/>
  <c r="M7" i="15"/>
  <c r="J6" i="15"/>
  <c r="F49" i="15"/>
  <c r="L59" i="15"/>
  <c r="L58" i="15"/>
  <c r="L60" i="44"/>
  <c r="L59" i="44"/>
  <c r="Q73" i="44"/>
  <c r="M9" i="44"/>
  <c r="J8" i="44"/>
  <c r="C29" i="44"/>
  <c r="J54" i="44"/>
  <c r="I55" i="44"/>
  <c r="J60" i="44"/>
  <c r="L57" i="44"/>
  <c r="J58" i="44"/>
  <c r="J56" i="44"/>
  <c r="J59" i="44"/>
  <c r="Q52" i="44"/>
  <c r="J61" i="44"/>
  <c r="Q50" i="44"/>
  <c r="J53" i="15"/>
  <c r="J57" i="15"/>
  <c r="J55" i="15"/>
  <c r="J58" i="15"/>
  <c r="Q51" i="15"/>
  <c r="L60" i="15"/>
  <c r="I54" i="15"/>
  <c r="L56" i="15"/>
  <c r="L57" i="15"/>
  <c r="F65" i="15"/>
  <c r="F64" i="15"/>
  <c r="F63" i="15"/>
  <c r="F50" i="15"/>
  <c r="M29" i="15"/>
  <c r="J3" i="65"/>
  <c r="I3" i="65"/>
  <c r="I7" i="65"/>
  <c r="I4" i="65"/>
  <c r="I5" i="65"/>
  <c r="M31" i="44"/>
  <c r="N7" i="65"/>
  <c r="J5" i="65"/>
  <c r="N6" i="65"/>
  <c r="J4" i="65"/>
  <c r="N3" i="65"/>
  <c r="I6" i="65"/>
  <c r="F43" i="15"/>
  <c r="J6" i="65"/>
  <c r="J7" i="65"/>
  <c r="N5" i="65"/>
  <c r="AZ37" i="3"/>
  <c r="BA5" i="3"/>
  <c r="E27" i="6"/>
  <c r="K23" i="6"/>
  <c r="M23" i="6"/>
  <c r="I23" i="6"/>
  <c r="AZ5" i="3"/>
  <c r="AC37" i="21"/>
  <c r="W37" i="21"/>
  <c r="AA37" i="21"/>
  <c r="S37" i="21"/>
  <c r="AC23" i="21"/>
  <c r="W23" i="21"/>
  <c r="AA23" i="21"/>
  <c r="S23" i="21"/>
  <c r="AB42" i="21"/>
  <c r="U42" i="21"/>
  <c r="D6" i="59"/>
  <c r="C5" i="59"/>
  <c r="D5" i="59"/>
  <c r="D14" i="59"/>
  <c r="C15" i="59"/>
  <c r="D18" i="59"/>
  <c r="C19" i="59"/>
  <c r="D22" i="59"/>
  <c r="C23" i="59"/>
  <c r="C69" i="59"/>
  <c r="D69" i="59"/>
  <c r="D70" i="59"/>
  <c r="AA25" i="37"/>
  <c r="S25" i="37"/>
  <c r="U25" i="37"/>
  <c r="AB25" i="37"/>
  <c r="S34" i="35"/>
  <c r="AA34" i="35"/>
  <c r="H7" i="35"/>
  <c r="G16" i="1"/>
  <c r="H12" i="39"/>
  <c r="F7" i="35"/>
  <c r="W13" i="39"/>
  <c r="AH13" i="46"/>
  <c r="BL5" i="3"/>
  <c r="E86"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501" i="3"/>
  <c r="E487" i="3"/>
  <c r="E227" i="3"/>
  <c r="E26" i="3"/>
  <c r="E488" i="3"/>
  <c r="E322" i="3"/>
  <c r="E511" i="3"/>
  <c r="E17" i="3"/>
  <c r="E377" i="3"/>
  <c r="E18" i="3"/>
  <c r="E358" i="3"/>
  <c r="E509" i="3"/>
  <c r="E20" i="3"/>
  <c r="E481" i="3"/>
  <c r="E413"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AL6" i="3"/>
  <c r="E512" i="3"/>
  <c r="E522" i="3"/>
  <c r="E384" i="3"/>
  <c r="E368" i="3"/>
  <c r="E371" i="3"/>
  <c r="E572" i="3"/>
  <c r="E310" i="3"/>
  <c r="E510" i="3"/>
  <c r="E567" i="3"/>
  <c r="E516" i="3"/>
  <c r="E504" i="3"/>
  <c r="E329" i="3"/>
  <c r="AB6" i="3"/>
  <c r="E406" i="3"/>
  <c r="S6" i="3"/>
  <c r="E244" i="3"/>
  <c r="E71" i="3"/>
  <c r="E137" i="3"/>
  <c r="E240" i="3"/>
  <c r="E301" i="3"/>
  <c r="E382" i="3"/>
  <c r="E484" i="3"/>
  <c r="E326" i="3"/>
  <c r="E356" i="3"/>
  <c r="E564" i="3"/>
  <c r="AB37" i="21"/>
  <c r="U37" i="21"/>
  <c r="H22" i="46"/>
  <c r="C101" i="46"/>
  <c r="AB11" i="46"/>
  <c r="AB13" i="46"/>
  <c r="AJ11" i="46"/>
  <c r="AJ13" i="46"/>
  <c r="AF11" i="46"/>
  <c r="AF13" i="46"/>
  <c r="S7" i="46"/>
  <c r="AG11" i="46"/>
  <c r="AG13" i="46"/>
  <c r="N101" i="46"/>
  <c r="Z7" i="46"/>
  <c r="I101" i="46"/>
  <c r="J101" i="46"/>
  <c r="J22" i="46"/>
  <c r="AE11" i="46"/>
  <c r="AE13" i="46"/>
  <c r="S6" i="46"/>
  <c r="S2" i="46"/>
  <c r="Y11" i="46"/>
  <c r="Y13" i="46"/>
  <c r="AC11" i="46"/>
  <c r="AC13" i="46"/>
  <c r="K101" i="46"/>
  <c r="M101" i="46"/>
  <c r="N104" i="45"/>
  <c r="G101" i="46"/>
  <c r="C7" i="46"/>
  <c r="P49" i="59"/>
  <c r="P48" i="59"/>
  <c r="AB23" i="21"/>
  <c r="U23" i="21"/>
  <c r="AC42" i="21"/>
  <c r="W42" i="21"/>
  <c r="AA42" i="21"/>
  <c r="S42" i="21"/>
  <c r="C9" i="59"/>
  <c r="D9" i="59"/>
  <c r="D10" i="59"/>
  <c r="O49" i="59"/>
  <c r="O48" i="59"/>
  <c r="D49" i="59"/>
  <c r="C27" i="57"/>
  <c r="W25" i="37"/>
  <c r="AC25" i="37"/>
  <c r="AB34" i="35"/>
  <c r="U34" i="35"/>
  <c r="F72" i="39"/>
  <c r="G70" i="39"/>
  <c r="F70" i="15"/>
  <c r="K20" i="6"/>
  <c r="M20" i="6"/>
  <c r="I20" i="6"/>
  <c r="K25" i="6"/>
  <c r="M25" i="6"/>
  <c r="I25" i="6"/>
  <c r="K21" i="6"/>
  <c r="M21" i="6"/>
  <c r="I21" i="6"/>
  <c r="K24" i="6"/>
  <c r="M24" i="6"/>
  <c r="I24" i="6"/>
  <c r="D115" i="46"/>
  <c r="E115" i="46"/>
  <c r="F115" i="46"/>
  <c r="G115" i="46"/>
  <c r="H115" i="46"/>
  <c r="D116" i="46"/>
  <c r="E116" i="46"/>
  <c r="F116" i="46"/>
  <c r="G116" i="46"/>
  <c r="H116" i="46"/>
  <c r="D117" i="46"/>
  <c r="E117" i="46"/>
  <c r="F117" i="46"/>
  <c r="G117" i="46"/>
  <c r="H117" i="46"/>
  <c r="D118" i="46"/>
  <c r="E118" i="46"/>
  <c r="F118" i="46"/>
  <c r="B115" i="46"/>
  <c r="B116" i="46"/>
  <c r="C116" i="46"/>
  <c r="B117" i="46"/>
  <c r="C117" i="46"/>
  <c r="B118" i="46"/>
  <c r="C118" i="46"/>
  <c r="I115" i="46"/>
  <c r="J115" i="46"/>
  <c r="K115" i="46"/>
  <c r="L115" i="46"/>
  <c r="M115" i="46"/>
  <c r="I116" i="46"/>
  <c r="J116" i="46"/>
  <c r="K116" i="46"/>
  <c r="L116" i="46"/>
  <c r="M116" i="46"/>
  <c r="G118" i="46"/>
  <c r="H118" i="46"/>
  <c r="I118" i="46"/>
  <c r="J118" i="46"/>
  <c r="K118" i="46"/>
  <c r="L118" i="46"/>
  <c r="M118" i="46"/>
  <c r="I117" i="46"/>
  <c r="J117" i="46"/>
  <c r="K117" i="46"/>
  <c r="L117" i="46"/>
  <c r="M117" i="46"/>
  <c r="L102" i="46"/>
  <c r="L105" i="46"/>
  <c r="L104" i="46"/>
  <c r="L106" i="46"/>
  <c r="L109" i="46"/>
  <c r="L107" i="46"/>
  <c r="L103" i="46"/>
  <c r="E103" i="46"/>
  <c r="E105" i="46"/>
  <c r="E107" i="46"/>
  <c r="E109" i="46"/>
  <c r="E102" i="46"/>
  <c r="E106" i="46"/>
  <c r="E104" i="46"/>
  <c r="U13" i="39"/>
  <c r="K19" i="6"/>
  <c r="D102" i="46"/>
  <c r="D104" i="46"/>
  <c r="D106" i="46"/>
  <c r="D105" i="46"/>
  <c r="D103" i="46"/>
  <c r="D107" i="46"/>
  <c r="D109" i="46"/>
  <c r="H102" i="46"/>
  <c r="H107" i="46"/>
  <c r="H103" i="46"/>
  <c r="H105" i="46"/>
  <c r="H109" i="46"/>
  <c r="H104" i="46"/>
  <c r="H106" i="46"/>
  <c r="Q16" i="1"/>
  <c r="M6" i="1"/>
  <c r="H16" i="1"/>
  <c r="K16" i="1"/>
  <c r="F103" i="46"/>
  <c r="F105" i="46"/>
  <c r="F107" i="46"/>
  <c r="F109" i="46"/>
  <c r="F104" i="46"/>
  <c r="F102" i="46"/>
  <c r="F106" i="46"/>
  <c r="D22" i="46"/>
  <c r="AC25" i="39"/>
  <c r="W25" i="39"/>
  <c r="AB25" i="39"/>
  <c r="AC19" i="39"/>
  <c r="U29" i="39"/>
  <c r="AB29" i="39"/>
  <c r="AC29" i="39"/>
  <c r="W29" i="39"/>
  <c r="U19" i="39"/>
  <c r="AB19" i="39"/>
  <c r="AA19" i="39"/>
  <c r="S19" i="39"/>
  <c r="AC17" i="39"/>
  <c r="W17" i="39"/>
  <c r="AB17" i="39"/>
  <c r="U17" i="39"/>
  <c r="E20" i="46"/>
  <c r="N17" i="46"/>
  <c r="J1" i="65"/>
  <c r="H12" i="40"/>
  <c r="F12" i="40"/>
  <c r="F12" i="39"/>
  <c r="E59" i="34"/>
  <c r="AB7" i="35"/>
  <c r="T38" i="35"/>
  <c r="G38" i="35"/>
  <c r="U7" i="35"/>
  <c r="G67" i="40"/>
  <c r="H65" i="40"/>
  <c r="E58" i="33"/>
  <c r="E58" i="21"/>
  <c r="E52" i="37"/>
  <c r="F52" i="37"/>
  <c r="G52" i="37"/>
  <c r="H52" i="37"/>
  <c r="I52" i="37"/>
  <c r="J52" i="37"/>
  <c r="K52" i="37"/>
  <c r="L52" i="37"/>
  <c r="M52" i="37"/>
  <c r="N52" i="37"/>
  <c r="O52" i="37"/>
  <c r="AC7" i="35"/>
  <c r="V38" i="35"/>
  <c r="I38" i="35"/>
  <c r="W7" i="35"/>
  <c r="F7" i="37"/>
  <c r="AA7" i="35"/>
  <c r="R38" i="35"/>
  <c r="S7" i="35"/>
  <c r="E46" i="36"/>
  <c r="Q58" i="15"/>
  <c r="Q67" i="15"/>
  <c r="F1" i="15"/>
  <c r="Q53" i="15"/>
  <c r="Q75" i="44"/>
  <c r="Q62" i="44"/>
  <c r="Q75" i="15"/>
  <c r="Q62" i="15"/>
  <c r="C48" i="15"/>
  <c r="F1" i="44"/>
  <c r="Q54" i="44"/>
  <c r="Q63" i="44"/>
  <c r="Q76" i="44"/>
  <c r="Q74" i="15"/>
  <c r="Q61" i="15"/>
  <c r="AE6" i="1"/>
  <c r="E2" i="65"/>
  <c r="N4" i="65"/>
  <c r="C18" i="44"/>
  <c r="C16" i="15"/>
  <c r="E3" i="65"/>
  <c r="C4" i="65"/>
  <c r="B39" i="1"/>
  <c r="F11" i="15"/>
  <c r="C52" i="15"/>
  <c r="C47" i="15"/>
  <c r="G72" i="39"/>
  <c r="H70" i="39"/>
  <c r="C30" i="57"/>
  <c r="C32" i="57"/>
  <c r="C31" i="57"/>
  <c r="G104" i="46"/>
  <c r="G102" i="46"/>
  <c r="G106" i="46"/>
  <c r="G107" i="46"/>
  <c r="G109" i="46"/>
  <c r="G105" i="46"/>
  <c r="G103" i="46"/>
  <c r="M107" i="46"/>
  <c r="M104" i="46"/>
  <c r="M105" i="46"/>
  <c r="M103" i="46"/>
  <c r="M106" i="46"/>
  <c r="M102" i="46"/>
  <c r="M109" i="46"/>
  <c r="J109" i="46"/>
  <c r="J102" i="46"/>
  <c r="J107" i="46"/>
  <c r="J106" i="46"/>
  <c r="J104" i="46"/>
  <c r="J105" i="46"/>
  <c r="J103" i="46"/>
  <c r="AC6" i="3"/>
  <c r="J12" i="39"/>
  <c r="J12" i="40"/>
  <c r="AC12" i="40"/>
  <c r="E31" i="6"/>
  <c r="K26" i="6"/>
  <c r="M26" i="6"/>
  <c r="I26" i="6"/>
  <c r="S26" i="6"/>
  <c r="K22" i="6"/>
  <c r="M22" i="6"/>
  <c r="I22" i="6"/>
  <c r="E26" i="57"/>
  <c r="U6" i="1"/>
  <c r="K107" i="46"/>
  <c r="K103" i="46"/>
  <c r="K109" i="46"/>
  <c r="K105" i="46"/>
  <c r="K106" i="46"/>
  <c r="K104" i="46"/>
  <c r="K102" i="46"/>
  <c r="I102" i="46"/>
  <c r="I109" i="46"/>
  <c r="I107" i="46"/>
  <c r="I105" i="46"/>
  <c r="I103" i="46"/>
  <c r="I106" i="46"/>
  <c r="I104" i="46"/>
  <c r="N109" i="46"/>
  <c r="N105" i="46"/>
  <c r="N102" i="46"/>
  <c r="N107" i="46"/>
  <c r="N103" i="46"/>
  <c r="N104" i="46"/>
  <c r="N106" i="46"/>
  <c r="C105" i="46"/>
  <c r="C104" i="46"/>
  <c r="C107" i="46"/>
  <c r="C102" i="46"/>
  <c r="C106" i="46"/>
  <c r="C109" i="46"/>
  <c r="C103" i="46"/>
  <c r="H6" i="3"/>
  <c r="D23" i="59"/>
  <c r="T23" i="59"/>
  <c r="D19" i="59"/>
  <c r="T19" i="59"/>
  <c r="D15" i="59"/>
  <c r="T15" i="59"/>
  <c r="E3" i="6"/>
  <c r="AY6" i="3"/>
  <c r="M20" i="46"/>
  <c r="C19" i="46"/>
  <c r="F33" i="12"/>
  <c r="C34" i="12"/>
  <c r="D33" i="12"/>
  <c r="F18" i="11"/>
  <c r="C18" i="11"/>
  <c r="F24" i="43"/>
  <c r="C26" i="43"/>
  <c r="D24" i="43"/>
  <c r="M19" i="6"/>
  <c r="S6" i="1"/>
  <c r="K27" i="6"/>
  <c r="S24" i="6"/>
  <c r="S21" i="6"/>
  <c r="S25" i="6"/>
  <c r="S20" i="6"/>
  <c r="O6" i="1"/>
  <c r="O16" i="1"/>
  <c r="M16" i="1"/>
  <c r="C115" i="46"/>
  <c r="D113" i="46"/>
  <c r="S22" i="6"/>
  <c r="S23" i="6"/>
  <c r="B40" i="1"/>
  <c r="F24" i="15"/>
  <c r="C24" i="15"/>
  <c r="P17" i="46"/>
  <c r="F13" i="44"/>
  <c r="C12" i="44"/>
  <c r="M17" i="46"/>
  <c r="M13" i="44"/>
  <c r="J12" i="44"/>
  <c r="J7" i="44"/>
  <c r="J26" i="44"/>
  <c r="O17" i="46"/>
  <c r="F17" i="11"/>
  <c r="C17" i="11"/>
  <c r="R39" i="35"/>
  <c r="E38" i="35"/>
  <c r="AA7" i="37"/>
  <c r="R42" i="37"/>
  <c r="S7" i="37"/>
  <c r="I42" i="35"/>
  <c r="J42" i="35"/>
  <c r="I43" i="35"/>
  <c r="J43" i="35"/>
  <c r="F58" i="21"/>
  <c r="G58" i="21"/>
  <c r="H58" i="21"/>
  <c r="I58" i="21"/>
  <c r="J58" i="21"/>
  <c r="K58" i="21"/>
  <c r="L58" i="21"/>
  <c r="M58" i="21"/>
  <c r="N58" i="21"/>
  <c r="O58" i="21"/>
  <c r="J7" i="21"/>
  <c r="F58" i="33"/>
  <c r="F59" i="34"/>
  <c r="G59" i="34"/>
  <c r="H59" i="34"/>
  <c r="I59" i="34"/>
  <c r="J59" i="34"/>
  <c r="K59" i="34"/>
  <c r="L59" i="34"/>
  <c r="M59" i="34"/>
  <c r="N59" i="34"/>
  <c r="O59" i="34"/>
  <c r="H7" i="34"/>
  <c r="W12" i="39"/>
  <c r="AC12" i="39"/>
  <c r="W12" i="40"/>
  <c r="U12" i="39"/>
  <c r="AB12" i="39"/>
  <c r="J7" i="37"/>
  <c r="F46" i="36"/>
  <c r="H7" i="37"/>
  <c r="H7" i="21"/>
  <c r="H67" i="40"/>
  <c r="I65" i="40"/>
  <c r="G42" i="35"/>
  <c r="H42" i="35"/>
  <c r="G43" i="35"/>
  <c r="H43" i="35"/>
  <c r="J7" i="34"/>
  <c r="S12" i="39"/>
  <c r="AA12" i="39"/>
  <c r="AA12" i="40"/>
  <c r="S12" i="40"/>
  <c r="AB12" i="40"/>
  <c r="U12" i="40"/>
  <c r="F7" i="21"/>
  <c r="C19" i="44"/>
  <c r="C17" i="15"/>
  <c r="F6" i="15"/>
  <c r="F8" i="44"/>
  <c r="F46" i="44"/>
  <c r="F41" i="15"/>
  <c r="C10" i="15"/>
  <c r="M11" i="15"/>
  <c r="J10" i="15"/>
  <c r="J5" i="15"/>
  <c r="J26" i="15"/>
  <c r="C8" i="44"/>
  <c r="C7" i="44"/>
  <c r="C40" i="44"/>
  <c r="C6" i="15"/>
  <c r="C5" i="15"/>
  <c r="C37" i="46"/>
  <c r="C34" i="46"/>
  <c r="T2" i="46"/>
  <c r="V2" i="46"/>
  <c r="C38" i="46"/>
  <c r="T8" i="46"/>
  <c r="V8" i="46"/>
  <c r="T16" i="46"/>
  <c r="V16" i="46"/>
  <c r="T13" i="46"/>
  <c r="V13" i="46"/>
  <c r="T15" i="46"/>
  <c r="V15" i="46"/>
  <c r="T10" i="46"/>
  <c r="V10" i="46"/>
  <c r="C35" i="46"/>
  <c r="C33" i="46"/>
  <c r="C39" i="46"/>
  <c r="C36" i="46"/>
  <c r="C29" i="46"/>
  <c r="T7" i="46"/>
  <c r="V7" i="46"/>
  <c r="T3" i="46"/>
  <c r="V3" i="46"/>
  <c r="T12" i="46"/>
  <c r="V12" i="46"/>
  <c r="T9" i="46"/>
  <c r="V9" i="46"/>
  <c r="T5" i="46"/>
  <c r="V5" i="46"/>
  <c r="T6" i="46"/>
  <c r="V6" i="46"/>
  <c r="T14" i="46"/>
  <c r="V14" i="46"/>
  <c r="T4" i="46"/>
  <c r="V4" i="46"/>
  <c r="T11" i="46"/>
  <c r="V11" i="46"/>
  <c r="C33" i="21"/>
  <c r="L38" i="9"/>
  <c r="B14" i="66"/>
  <c r="B1" i="66"/>
  <c r="D16" i="43"/>
  <c r="C16" i="43"/>
  <c r="D10" i="11"/>
  <c r="C21" i="4"/>
  <c r="O5" i="54"/>
  <c r="B45" i="63"/>
  <c r="D45" i="9"/>
  <c r="D46" i="9"/>
  <c r="E6" i="6"/>
  <c r="D16" i="12"/>
  <c r="F7" i="34"/>
  <c r="D3" i="6"/>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E6" i="3"/>
  <c r="H72" i="39"/>
  <c r="I70" i="39"/>
  <c r="I19" i="6"/>
  <c r="M27" i="6"/>
  <c r="C19" i="11"/>
  <c r="C20" i="11"/>
  <c r="C21" i="11"/>
  <c r="C22" i="11"/>
  <c r="C23" i="11"/>
  <c r="B2" i="11"/>
  <c r="B5" i="11"/>
  <c r="C13" i="43"/>
  <c r="L16" i="1"/>
  <c r="N16" i="1"/>
  <c r="C29" i="43"/>
  <c r="P6" i="1"/>
  <c r="P16" i="1"/>
  <c r="C13" i="12"/>
  <c r="S16" i="1"/>
  <c r="T6" i="1"/>
  <c r="F21" i="43"/>
  <c r="C23" i="43"/>
  <c r="D21" i="43"/>
  <c r="F68" i="15"/>
  <c r="J29" i="15"/>
  <c r="F26" i="12"/>
  <c r="C27" i="12"/>
  <c r="D26" i="12"/>
  <c r="C32" i="12"/>
  <c r="D30" i="12"/>
  <c r="F26" i="44"/>
  <c r="C26" i="44"/>
  <c r="C65" i="15"/>
  <c r="J28" i="44"/>
  <c r="J31" i="44"/>
  <c r="Q49" i="44"/>
  <c r="Q55" i="44"/>
  <c r="C59" i="15"/>
  <c r="J24" i="15"/>
  <c r="J20" i="44"/>
  <c r="J18" i="15"/>
  <c r="W7" i="34"/>
  <c r="AC7" i="34"/>
  <c r="V49" i="34"/>
  <c r="I49" i="34"/>
  <c r="J65" i="40"/>
  <c r="I67" i="40"/>
  <c r="AB7" i="37"/>
  <c r="T42" i="37"/>
  <c r="G42" i="37"/>
  <c r="U7" i="37"/>
  <c r="W7" i="37"/>
  <c r="AC7" i="37"/>
  <c r="V42" i="37"/>
  <c r="I42" i="37"/>
  <c r="S7" i="34"/>
  <c r="AA7" i="34"/>
  <c r="R49" i="34"/>
  <c r="G58" i="33"/>
  <c r="E42" i="37"/>
  <c r="R43" i="37"/>
  <c r="C39" i="35"/>
  <c r="B3" i="35"/>
  <c r="B2" i="35"/>
  <c r="C38" i="35"/>
  <c r="AA7" i="21"/>
  <c r="R48" i="21"/>
  <c r="S7" i="21"/>
  <c r="AB7" i="21"/>
  <c r="T48" i="21"/>
  <c r="G48" i="21"/>
  <c r="U7" i="21"/>
  <c r="G46" i="36"/>
  <c r="AB7" i="34"/>
  <c r="T49" i="34"/>
  <c r="G49" i="34"/>
  <c r="U7" i="34"/>
  <c r="AC7" i="21"/>
  <c r="V48" i="21"/>
  <c r="I48" i="21"/>
  <c r="W7" i="21"/>
  <c r="E43" i="35"/>
  <c r="F43" i="35"/>
  <c r="E42" i="35"/>
  <c r="F42" i="35"/>
  <c r="L52" i="44"/>
  <c r="C14" i="15"/>
  <c r="B3" i="11"/>
  <c r="C34" i="44"/>
  <c r="Q69" i="44"/>
  <c r="L58" i="44"/>
  <c r="L61" i="44"/>
  <c r="L47" i="44"/>
  <c r="C32" i="15"/>
  <c r="C38" i="15"/>
  <c r="J70" i="39"/>
  <c r="I72" i="39"/>
  <c r="C16" i="12"/>
  <c r="D19" i="12"/>
  <c r="C19" i="12"/>
  <c r="J33" i="21"/>
  <c r="H33" i="21"/>
  <c r="F33" i="21"/>
  <c r="C30" i="46"/>
  <c r="E30" i="46"/>
  <c r="C27" i="46"/>
  <c r="E29" i="46"/>
  <c r="E39" i="46"/>
  <c r="G39" i="46"/>
  <c r="I39" i="46"/>
  <c r="G35" i="46"/>
  <c r="I35" i="46"/>
  <c r="E35" i="46"/>
  <c r="G38" i="46"/>
  <c r="I38" i="46"/>
  <c r="E38" i="46"/>
  <c r="E34" i="46"/>
  <c r="G34" i="46"/>
  <c r="I34" i="46"/>
  <c r="K38" i="9"/>
  <c r="C14" i="66"/>
  <c r="B2" i="66"/>
  <c r="D23" i="6"/>
  <c r="E63" i="40"/>
  <c r="D10" i="6"/>
  <c r="D12" i="6"/>
  <c r="D5" i="6"/>
  <c r="D8" i="6"/>
  <c r="C22" i="4"/>
  <c r="D9" i="6"/>
  <c r="F46" i="9"/>
  <c r="E46" i="9"/>
  <c r="D11" i="6"/>
  <c r="D14" i="6"/>
  <c r="D15" i="6"/>
  <c r="F45" i="9"/>
  <c r="D13" i="6"/>
  <c r="D29" i="6"/>
  <c r="D21" i="6"/>
  <c r="D22" i="6"/>
  <c r="D26" i="6"/>
  <c r="E45" i="9"/>
  <c r="D25" i="6"/>
  <c r="D19" i="6"/>
  <c r="D20" i="6"/>
  <c r="D24" i="6"/>
  <c r="D28" i="6"/>
  <c r="D6" i="6"/>
  <c r="H21" i="6"/>
  <c r="R21" i="6"/>
  <c r="H22" i="6"/>
  <c r="R22" i="6"/>
  <c r="H23" i="6"/>
  <c r="R23" i="6"/>
  <c r="H24" i="6"/>
  <c r="R24" i="6"/>
  <c r="H25" i="6"/>
  <c r="R25" i="6"/>
  <c r="H20" i="6"/>
  <c r="R20" i="6"/>
  <c r="H26" i="6"/>
  <c r="R26" i="6"/>
  <c r="D22" i="12"/>
  <c r="C22" i="12"/>
  <c r="C20" i="12"/>
  <c r="D13" i="11"/>
  <c r="C13" i="11"/>
  <c r="C8" i="66"/>
  <c r="C7" i="66"/>
  <c r="G36" i="46"/>
  <c r="I36" i="46"/>
  <c r="E36" i="46"/>
  <c r="E33" i="46"/>
  <c r="G33" i="46"/>
  <c r="I33" i="46"/>
  <c r="E37" i="46"/>
  <c r="G37" i="46"/>
  <c r="I37" i="46"/>
  <c r="Q67" i="44"/>
  <c r="C15" i="15"/>
  <c r="C18" i="15"/>
  <c r="C14" i="12"/>
  <c r="C17" i="12"/>
  <c r="I27" i="6"/>
  <c r="S19" i="6"/>
  <c r="S27" i="6"/>
  <c r="H19" i="6"/>
  <c r="B4" i="11"/>
  <c r="T9" i="1"/>
  <c r="T8" i="1"/>
  <c r="T13" i="1"/>
  <c r="T10" i="1"/>
  <c r="T11" i="1"/>
  <c r="T12" i="1"/>
  <c r="T7" i="1"/>
  <c r="C14" i="43"/>
  <c r="C17" i="43"/>
  <c r="Q58" i="44"/>
  <c r="I52" i="21"/>
  <c r="J52" i="21"/>
  <c r="G53" i="34"/>
  <c r="H53" i="34"/>
  <c r="G54" i="34"/>
  <c r="H54" i="34"/>
  <c r="H46" i="36"/>
  <c r="I46" i="36"/>
  <c r="J46" i="36"/>
  <c r="K46" i="36"/>
  <c r="L46" i="36"/>
  <c r="M46" i="36"/>
  <c r="N46" i="36"/>
  <c r="O46" i="36"/>
  <c r="J7" i="36"/>
  <c r="G52" i="21"/>
  <c r="H52" i="21"/>
  <c r="G53" i="21"/>
  <c r="H53" i="21"/>
  <c r="R49" i="21"/>
  <c r="E48" i="21"/>
  <c r="I53" i="21"/>
  <c r="J53" i="21"/>
  <c r="C43" i="37"/>
  <c r="B3" i="37"/>
  <c r="B2" i="37"/>
  <c r="C42" i="37"/>
  <c r="R50" i="34"/>
  <c r="E49" i="34"/>
  <c r="I46" i="37"/>
  <c r="J46" i="37"/>
  <c r="I47" i="37"/>
  <c r="J47" i="37"/>
  <c r="I53" i="34"/>
  <c r="J53" i="34"/>
  <c r="I54" i="34"/>
  <c r="J54" i="34"/>
  <c r="E47" i="37"/>
  <c r="F47" i="37"/>
  <c r="E46" i="37"/>
  <c r="F46" i="37"/>
  <c r="H58" i="33"/>
  <c r="G46" i="37"/>
  <c r="H46" i="37"/>
  <c r="G47" i="37"/>
  <c r="H47" i="37"/>
  <c r="K65" i="40"/>
  <c r="J67" i="40"/>
  <c r="F7" i="67"/>
  <c r="C16" i="44"/>
  <c r="Q68" i="44"/>
  <c r="E4" i="67"/>
  <c r="D27" i="6"/>
  <c r="D8" i="66"/>
  <c r="D7" i="66"/>
  <c r="U33" i="21"/>
  <c r="AB33" i="21"/>
  <c r="Q59" i="44"/>
  <c r="Q64" i="44"/>
  <c r="H7" i="36"/>
  <c r="U7" i="36"/>
  <c r="F7" i="36"/>
  <c r="D30" i="6"/>
  <c r="D16" i="6"/>
  <c r="A6" i="51"/>
  <c r="B7" i="63"/>
  <c r="A6" i="64"/>
  <c r="A20" i="51"/>
  <c r="B15" i="63"/>
  <c r="N5" i="54"/>
  <c r="B43" i="63"/>
  <c r="A20" i="64"/>
  <c r="C26" i="46"/>
  <c r="AA33" i="21"/>
  <c r="S33" i="21"/>
  <c r="AC33" i="21"/>
  <c r="W33" i="21"/>
  <c r="J72" i="39"/>
  <c r="K70" i="39"/>
  <c r="Q77" i="44"/>
  <c r="C18" i="43"/>
  <c r="C19" i="43"/>
  <c r="C25" i="43"/>
  <c r="C24" i="43"/>
  <c r="C18" i="12"/>
  <c r="C23" i="12"/>
  <c r="C19" i="15"/>
  <c r="C20" i="15"/>
  <c r="C23" i="15"/>
  <c r="C20" i="44"/>
  <c r="C17" i="44"/>
  <c r="H27" i="6"/>
  <c r="R19" i="6"/>
  <c r="T16" i="1"/>
  <c r="L65" i="40"/>
  <c r="K67" i="40"/>
  <c r="I58" i="33"/>
  <c r="E54" i="34"/>
  <c r="F54" i="34"/>
  <c r="E53" i="34"/>
  <c r="F53" i="34"/>
  <c r="C49" i="21"/>
  <c r="B3" i="21"/>
  <c r="B2" i="21"/>
  <c r="C48" i="21"/>
  <c r="AA7" i="36"/>
  <c r="R36" i="36"/>
  <c r="S7" i="36"/>
  <c r="AB7" i="36"/>
  <c r="T36" i="36"/>
  <c r="G36" i="36"/>
  <c r="C50" i="34"/>
  <c r="B3" i="34"/>
  <c r="B2" i="34"/>
  <c r="C49" i="34"/>
  <c r="E53" i="21"/>
  <c r="F53" i="21"/>
  <c r="E52" i="21"/>
  <c r="F52" i="21"/>
  <c r="W7" i="36"/>
  <c r="AC7" i="36"/>
  <c r="V36" i="36"/>
  <c r="I36" i="36"/>
  <c r="E7" i="67"/>
  <c r="E3" i="67"/>
  <c r="D31" i="6"/>
  <c r="K72" i="39"/>
  <c r="L70" i="39"/>
  <c r="B2" i="46"/>
  <c r="C21" i="44"/>
  <c r="C22" i="44"/>
  <c r="C28" i="44"/>
  <c r="C26" i="15"/>
  <c r="C29" i="15"/>
  <c r="C33" i="15"/>
  <c r="C22" i="43"/>
  <c r="C21" i="43"/>
  <c r="C28" i="43"/>
  <c r="C30" i="43"/>
  <c r="C32" i="43"/>
  <c r="B2" i="43"/>
  <c r="R6" i="1"/>
  <c r="R27" i="6"/>
  <c r="G41" i="36"/>
  <c r="H41" i="36"/>
  <c r="G40" i="36"/>
  <c r="H40" i="36"/>
  <c r="E36" i="36"/>
  <c r="I41" i="36"/>
  <c r="J41" i="36"/>
  <c r="R37" i="36"/>
  <c r="I40" i="36"/>
  <c r="J40" i="36"/>
  <c r="L67" i="40"/>
  <c r="M65" i="40"/>
  <c r="J58" i="33"/>
  <c r="K58" i="33"/>
  <c r="L58" i="33"/>
  <c r="M58" i="33"/>
  <c r="N58" i="33"/>
  <c r="O58" i="33"/>
  <c r="F7" i="33"/>
  <c r="H7" i="33"/>
  <c r="F35" i="15"/>
  <c r="B7" i="67"/>
  <c r="M23" i="44"/>
  <c r="F37" i="44"/>
  <c r="M21" i="15"/>
  <c r="C36" i="44"/>
  <c r="J22" i="44"/>
  <c r="B2" i="67"/>
  <c r="D4" i="46"/>
  <c r="B4" i="46"/>
  <c r="B3" i="46"/>
  <c r="J7" i="33"/>
  <c r="M70" i="39"/>
  <c r="L72" i="39"/>
  <c r="I6" i="6"/>
  <c r="C11" i="21"/>
  <c r="I5" i="6"/>
  <c r="B3" i="43"/>
  <c r="B4" i="43"/>
  <c r="C25" i="44"/>
  <c r="C31" i="44"/>
  <c r="J16" i="44"/>
  <c r="B5" i="43"/>
  <c r="F62" i="15"/>
  <c r="C61" i="15"/>
  <c r="C34" i="15"/>
  <c r="C31" i="15"/>
  <c r="J20" i="15"/>
  <c r="J14" i="15"/>
  <c r="C56" i="15"/>
  <c r="Q50" i="15"/>
  <c r="J59" i="15"/>
  <c r="J60" i="15"/>
  <c r="Q49" i="15"/>
  <c r="C13" i="15"/>
  <c r="C36" i="15"/>
  <c r="J19" i="15"/>
  <c r="C35" i="44"/>
  <c r="R16" i="1"/>
  <c r="AA7" i="33"/>
  <c r="R48" i="33"/>
  <c r="S7" i="33"/>
  <c r="AB7" i="33"/>
  <c r="T48" i="33"/>
  <c r="G48" i="33"/>
  <c r="U7" i="33"/>
  <c r="E40" i="36"/>
  <c r="F40" i="36"/>
  <c r="E41" i="36"/>
  <c r="F41" i="36"/>
  <c r="AC7" i="33"/>
  <c r="V48" i="33"/>
  <c r="I48" i="33"/>
  <c r="W7" i="33"/>
  <c r="N65" i="40"/>
  <c r="N67" i="40"/>
  <c r="M67" i="40"/>
  <c r="C37" i="36"/>
  <c r="B3" i="36"/>
  <c r="B2" i="36"/>
  <c r="C36" i="36"/>
  <c r="C33" i="44"/>
  <c r="H11" i="21"/>
  <c r="J11" i="21"/>
  <c r="F11" i="21"/>
  <c r="N70" i="39"/>
  <c r="N72" i="39"/>
  <c r="J9" i="39"/>
  <c r="M72" i="39"/>
  <c r="B3" i="67"/>
  <c r="B4" i="67"/>
  <c r="J21" i="44"/>
  <c r="J19" i="44"/>
  <c r="Q51" i="44"/>
  <c r="C38" i="44"/>
  <c r="C15" i="44"/>
  <c r="Q72" i="44"/>
  <c r="J17" i="15"/>
  <c r="C63" i="15"/>
  <c r="C60" i="15"/>
  <c r="C58" i="15"/>
  <c r="C39" i="44"/>
  <c r="J24" i="44"/>
  <c r="J15" i="44"/>
  <c r="J25" i="44"/>
  <c r="J35" i="15"/>
  <c r="C37" i="15"/>
  <c r="C30" i="15"/>
  <c r="C39" i="15"/>
  <c r="C55" i="15"/>
  <c r="C64" i="15"/>
  <c r="Q71" i="15"/>
  <c r="J22" i="15"/>
  <c r="J13" i="15"/>
  <c r="J23" i="15"/>
  <c r="F9" i="40"/>
  <c r="H9" i="40"/>
  <c r="J9" i="40"/>
  <c r="I52" i="33"/>
  <c r="J52" i="33"/>
  <c r="G53" i="33"/>
  <c r="H53" i="33"/>
  <c r="G52" i="33"/>
  <c r="H52" i="33"/>
  <c r="R49" i="33"/>
  <c r="E48" i="33"/>
  <c r="L51" i="15"/>
  <c r="W9" i="39"/>
  <c r="AC9" i="39"/>
  <c r="V49" i="39"/>
  <c r="I49" i="39"/>
  <c r="I53" i="39"/>
  <c r="J53" i="39"/>
  <c r="H9" i="39"/>
  <c r="F9" i="39"/>
  <c r="AA11" i="21"/>
  <c r="S11" i="21"/>
  <c r="AB11" i="21"/>
  <c r="U11" i="21"/>
  <c r="W11" i="21"/>
  <c r="AC11" i="21"/>
  <c r="C32" i="44"/>
  <c r="C42" i="44"/>
  <c r="Q71" i="44"/>
  <c r="Q70" i="44"/>
  <c r="C43" i="44"/>
  <c r="C57" i="15"/>
  <c r="C66" i="15"/>
  <c r="C67" i="15"/>
  <c r="C70" i="15"/>
  <c r="J18" i="44"/>
  <c r="J27" i="44"/>
  <c r="J39" i="15"/>
  <c r="J40" i="15"/>
  <c r="J16" i="15"/>
  <c r="J25" i="15"/>
  <c r="Q68" i="15"/>
  <c r="C40" i="15"/>
  <c r="Q70" i="15"/>
  <c r="Q69" i="15"/>
  <c r="E52" i="33"/>
  <c r="F52" i="33"/>
  <c r="E53" i="33"/>
  <c r="F53" i="33"/>
  <c r="C49" i="33"/>
  <c r="B3" i="33"/>
  <c r="B2" i="33"/>
  <c r="C48" i="33"/>
  <c r="I53" i="33"/>
  <c r="J53" i="33"/>
  <c r="AB9" i="40"/>
  <c r="T44" i="40"/>
  <c r="G44" i="40"/>
  <c r="U9" i="40"/>
  <c r="AC9" i="40"/>
  <c r="V44" i="40"/>
  <c r="I44" i="40"/>
  <c r="W9" i="40"/>
  <c r="AA9" i="40"/>
  <c r="R44" i="40"/>
  <c r="S9" i="40"/>
  <c r="S9" i="39"/>
  <c r="AA9" i="39"/>
  <c r="R49" i="39"/>
  <c r="AB9" i="39"/>
  <c r="T49" i="39"/>
  <c r="G49" i="39"/>
  <c r="U9" i="39"/>
  <c r="C44" i="44"/>
  <c r="C45" i="44"/>
  <c r="B2" i="44"/>
  <c r="B5" i="44"/>
  <c r="Q66" i="15"/>
  <c r="Q76" i="15"/>
  <c r="Q57" i="15"/>
  <c r="Q63" i="15"/>
  <c r="B2" i="15"/>
  <c r="C43" i="15"/>
  <c r="Q48" i="15"/>
  <c r="Q54" i="15"/>
  <c r="J42" i="15"/>
  <c r="J43" i="15"/>
  <c r="C46" i="15"/>
  <c r="B3" i="44"/>
  <c r="I48" i="40"/>
  <c r="J48" i="40"/>
  <c r="G48" i="40"/>
  <c r="H48" i="40"/>
  <c r="G49" i="40"/>
  <c r="H49" i="40"/>
  <c r="E44" i="40"/>
  <c r="R45" i="40"/>
  <c r="E49" i="39"/>
  <c r="R50" i="39"/>
  <c r="G53" i="39"/>
  <c r="H53" i="39"/>
  <c r="G54" i="39"/>
  <c r="H54" i="39"/>
  <c r="B4" i="44"/>
  <c r="B3" i="15"/>
  <c r="C8" i="12"/>
  <c r="C10" i="12"/>
  <c r="C6" i="12"/>
  <c r="E48" i="40"/>
  <c r="F48" i="40"/>
  <c r="E49" i="40"/>
  <c r="F49" i="40"/>
  <c r="I49" i="40"/>
  <c r="J49" i="40"/>
  <c r="C45" i="40"/>
  <c r="C44" i="40"/>
  <c r="C49" i="39"/>
  <c r="C50" i="39"/>
  <c r="I54" i="39"/>
  <c r="J54" i="39"/>
  <c r="E54" i="39"/>
  <c r="F54" i="39"/>
  <c r="E53" i="39"/>
  <c r="F53" i="39"/>
  <c r="C24" i="12"/>
  <c r="C29" i="12"/>
  <c r="B55" i="40"/>
  <c r="F55" i="40"/>
  <c r="B61" i="40"/>
  <c r="F61" i="40"/>
  <c r="B57" i="40"/>
  <c r="F57" i="40"/>
  <c r="B54" i="40"/>
  <c r="F54" i="40"/>
  <c r="B60" i="40"/>
  <c r="F60" i="40"/>
  <c r="B53" i="40"/>
  <c r="F53" i="40"/>
  <c r="B59" i="40"/>
  <c r="F59" i="40"/>
  <c r="B56" i="40"/>
  <c r="F56" i="40"/>
  <c r="B62" i="40"/>
  <c r="F62" i="40"/>
  <c r="B58" i="40"/>
  <c r="F58" i="40"/>
  <c r="F63" i="40"/>
  <c r="B2" i="40"/>
  <c r="B58" i="39"/>
  <c r="F58" i="39"/>
  <c r="B60" i="39"/>
  <c r="F60" i="39"/>
  <c r="B62" i="39"/>
  <c r="F62" i="39"/>
  <c r="B64" i="39"/>
  <c r="F64" i="39"/>
  <c r="B66" i="39"/>
  <c r="F66" i="39"/>
  <c r="B59" i="39"/>
  <c r="F59" i="39"/>
  <c r="B61" i="39"/>
  <c r="F61" i="39"/>
  <c r="B63" i="39"/>
  <c r="F63" i="39"/>
  <c r="B67" i="39"/>
  <c r="F67" i="39"/>
  <c r="B65" i="39"/>
  <c r="F65" i="39"/>
  <c r="C35" i="12"/>
  <c r="C33" i="12"/>
  <c r="C28" i="12"/>
  <c r="C26" i="12"/>
  <c r="C31" i="12"/>
  <c r="C30" i="12"/>
  <c r="B3" i="40"/>
  <c r="B5" i="40"/>
  <c r="B4" i="40"/>
  <c r="F68" i="39"/>
  <c r="B2" i="39"/>
  <c r="C36" i="12"/>
  <c r="B2" i="12"/>
  <c r="B3" i="12"/>
  <c r="C19" i="9"/>
  <c r="D19" i="9"/>
  <c r="D20" i="9"/>
  <c r="L43" i="9"/>
  <c r="B4" i="39"/>
  <c r="B5" i="39"/>
  <c r="B3" i="39"/>
  <c r="B4" i="12"/>
  <c r="B5" i="12"/>
  <c r="G19" i="9"/>
  <c r="D27" i="9"/>
  <c r="L44" i="9"/>
  <c r="D22" i="9"/>
  <c r="C21" i="9"/>
  <c r="C20" i="9"/>
  <c r="D21" i="9"/>
  <c r="N43" i="9"/>
  <c r="G20" i="9"/>
  <c r="C32" i="9"/>
  <c r="O43" i="9"/>
  <c r="G22" i="9"/>
  <c r="G21" i="9"/>
  <c r="C34" i="9"/>
  <c r="E42" i="9"/>
  <c r="P5" i="54"/>
  <c r="B46" i="63"/>
  <c r="C42" i="9"/>
  <c r="C33" i="9"/>
  <c r="N38" i="9"/>
  <c r="K28" i="9"/>
  <c r="C35" i="9"/>
  <c r="F42" i="9"/>
  <c r="O38" i="9"/>
  <c r="K26" i="9"/>
  <c r="M38" i="9"/>
  <c r="K27" i="9"/>
  <c r="R5" i="54"/>
  <c r="B48" i="63"/>
  <c r="D14" i="66"/>
  <c r="C44" i="9"/>
  <c r="D63" i="9"/>
  <c r="N68" i="9"/>
  <c r="K25" i="9"/>
  <c r="D42" i="9"/>
  <c r="Q5" i="54"/>
  <c r="B47" i="63"/>
  <c r="C96" i="9"/>
  <c r="C91" i="9"/>
  <c r="C90" i="9"/>
  <c r="D77" i="9"/>
  <c r="N75" i="9"/>
  <c r="C111" i="9"/>
  <c r="C104" i="9"/>
  <c r="C103" i="9"/>
  <c r="D71" i="9"/>
  <c r="D66" i="9"/>
  <c r="N72" i="9"/>
  <c r="C82" i="9"/>
  <c r="C81" i="9"/>
  <c r="C85" i="9"/>
  <c r="C86" i="9"/>
  <c r="D72" i="9"/>
  <c r="D70" i="9"/>
  <c r="B5" i="66"/>
  <c r="E14" i="66"/>
  <c r="F14" i="66"/>
  <c r="D44" i="9"/>
  <c r="G14" i="66"/>
  <c r="B6" i="66"/>
  <c r="O39" i="9"/>
  <c r="F44" i="9"/>
  <c r="N69" i="9"/>
  <c r="E44" i="9"/>
  <c r="C97" i="9"/>
  <c r="C98" i="9"/>
  <c r="E98" i="9"/>
  <c r="E99" i="9"/>
  <c r="M83" i="9"/>
  <c r="N83" i="9"/>
  <c r="M86" i="9"/>
  <c r="N86" i="9"/>
  <c r="M84" i="9"/>
  <c r="N84" i="9"/>
  <c r="M85" i="9"/>
  <c r="N85" i="9"/>
  <c r="M88" i="9"/>
  <c r="N88" i="9"/>
  <c r="M87" i="9"/>
  <c r="N87" i="9"/>
  <c r="K29" i="9"/>
  <c r="K30" i="9"/>
  <c r="R6" i="54"/>
  <c r="B50" i="63"/>
  <c r="C6" i="66"/>
  <c r="D6" i="66"/>
  <c r="D5" i="66"/>
  <c r="C5" i="66"/>
  <c r="C113" i="9"/>
  <c r="C99" i="9"/>
  <c r="C114" i="9"/>
  <c r="E114" i="9"/>
  <c r="E115" i="9"/>
  <c r="N89" i="9"/>
  <c r="O89" i="9"/>
  <c r="C115" i="9"/>
  <c r="D76" i="9"/>
  <c r="D74" i="9"/>
  <c r="N74" i="9"/>
  <c r="O77" i="9"/>
  <c r="O78" i="9"/>
  <c r="Q77" i="9"/>
  <c r="O79" i="9"/>
  <c r="O81" i="9"/>
  <c r="O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<sst xmlns="http://schemas.openxmlformats.org/spreadsheetml/2006/main" count="8938" uniqueCount="3498">
  <si>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</si>
  <si>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</si>
  <si>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</si>
  <si>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</si>
  <si>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</si>
  <si>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</si>
  <si>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</si>
  <si>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</si>
  <si>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</si>
  <si>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</si>
  <si>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</si>
  <si>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</si>
  <si>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</si>
  <si>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</si>
  <si>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</si>
  <si>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</si>
  <si>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</si>
  <si>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</si>
  <si>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</si>
  <si>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</si>
  <si>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</si>
  <si>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</si>
  <si>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</si>
  <si>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</si>
  <si>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</si>
  <si>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</si>
  <si>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</si>
  <si>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</si>
  <si>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</si>
  <si>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</si>
  <si>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</si>
  <si>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</si>
  <si>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</si>
  <si>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</si>
  <si>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</si>
  <si>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</si>
  <si>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</si>
  <si>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</si>
  <si>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</si>
  <si>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</si>
  <si>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</si>
  <si>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</si>
  <si>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</si>
  <si>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</si>
  <si>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</si>
  <si>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</si>
  <si>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</si>
  <si>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</si>
  <si>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</si>
  <si>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</si>
  <si>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</si>
  <si>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</si>
  <si>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</si>
  <si>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</si>
  <si>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</si>
  <si>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</si>
  <si>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</si>
  <si>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</si>
  <si>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</si>
  <si>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</si>
  <si>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</si>
  <si>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</si>
  <si>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</si>
  <si>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</si>
  <si>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</si>
  <si>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</si>
  <si>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</si>
  <si>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</si>
  <si>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</si>
  <si>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</si>
  <si>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</si>
  <si>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</si>
  <si>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</si>
  <si>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</si>
  <si>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</si>
  <si>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</si>
  <si>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</si>
  <si>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</si>
  <si>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</si>
  <si>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</si>
  <si>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</si>
  <si>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</si>
  <si>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</si>
  <si>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</si>
  <si>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</si>
  <si>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</si>
  <si>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</si>
  <si>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</si>
  <si>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</si>
  <si>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</si>
  <si>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</si>
  <si>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</si>
  <si>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</si>
  <si>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</si>
  <si>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</si>
  <si>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</si>
  <si>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</si>
  <si>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</si>
  <si>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</si>
  <si>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</si>
  <si>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</si>
  <si>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</si>
  <si>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</si>
  <si>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</si>
  <si>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</si>
  <si>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</si>
  <si>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</si>
  <si>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</si>
  <si>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</si>
  <si>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</si>
  <si>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</si>
  <si>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</si>
  <si>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</si>
  <si>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</si>
  <si>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</si>
  <si>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</si>
  <si>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</si>
  <si>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</si>
  <si>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</si>
  <si>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</si>
  <si>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</si>
  <si>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</si>
  <si>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</si>
  <si>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</si>
  <si>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</si>
  <si>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</si>
  <si>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</si>
  <si>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</si>
  <si>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</si>
  <si>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</si>
  <si>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</si>
  <si>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</si>
  <si>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</si>
  <si>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</si>
  <si>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</si>
  <si>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</si>
  <si>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</si>
  <si>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</si>
  <si>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</si>
  <si>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</si>
  <si>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</si>
  <si>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</si>
  <si>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</si>
  <si>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</si>
  <si>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</si>
  <si>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</si>
  <si>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</si>
  <si>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</si>
  <si>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</si>
  <si>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</si>
  <si>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</si>
  <si>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</si>
  <si>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</si>
  <si>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</si>
  <si>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</si>
  <si>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</si>
  <si>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</si>
  <si>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</si>
  <si>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</si>
  <si>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</si>
  <si>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</si>
  <si>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</si>
  <si>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</si>
  <si>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</si>
  <si>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</si>
  <si>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</si>
  <si>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</si>
  <si>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</si>
  <si>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</si>
  <si>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</si>
  <si>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</si>
  <si>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</si>
  <si>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</si>
  <si>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</si>
  <si>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</si>
  <si>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</si>
  <si>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</si>
  <si>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</si>
  <si>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</si>
  <si>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</si>
  <si>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</si>
  <si>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</si>
  <si>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</si>
  <si>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</si>
  <si>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</si>
  <si>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</si>
  <si>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</si>
  <si>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</si>
  <si>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</si>
  <si>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</si>
  <si>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</si>
  <si>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</si>
  <si>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</si>
  <si>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</si>
  <si>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</si>
  <si>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</si>
  <si>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</si>
  <si>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</si>
  <si>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</si>
  <si>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</si>
  <si>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</si>
  <si>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</si>
  <si>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</si>
  <si>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</si>
  <si>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</si>
  <si>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</si>
  <si>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</si>
  <si>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</si>
  <si>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</si>
  <si>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</si>
  <si>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</si>
  <si>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</si>
  <si>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</si>
  <si>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</si>
  <si>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</si>
  <si>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</si>
  <si>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</si>
  <si>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</si>
  <si>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</si>
  <si>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</si>
  <si>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</si>
  <si>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</si>
  <si>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</si>
  <si>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</si>
  <si>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</si>
  <si>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</si>
  <si>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</si>
  <si>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</si>
  <si>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</si>
  <si>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</si>
  <si>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</si>
  <si>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</si>
  <si>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</si>
  <si>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</si>
  <si>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</si>
  <si>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</si>
  <si>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</si>
  <si>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</si>
  <si>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</si>
  <si>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</si>
  <si>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</si>
  <si>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</si>
  <si>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</si>
  <si>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</si>
  <si>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</si>
  <si>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</si>
  <si>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</si>
  <si>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</si>
  <si>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</si>
  <si>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</si>
  <si>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</si>
  <si>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</si>
  <si>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</si>
  <si>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</si>
  <si>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</si>
  <si>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</si>
  <si>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</si>
  <si>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</si>
  <si>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</si>
  <si>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</si>
  <si>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</si>
  <si>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</si>
  <si>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</si>
  <si>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</si>
  <si>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</si>
  <si>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</si>
  <si>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</si>
  <si>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</si>
  <si>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</si>
  <si>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</si>
  <si>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</si>
  <si>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</si>
  <si>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</si>
  <si>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</si>
  <si>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</si>
  <si>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</si>
  <si>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</si>
  <si>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</si>
  <si>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</si>
  <si>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</si>
  <si>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</si>
  <si>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</si>
  <si>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</si>
  <si>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</si>
  <si>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</si>
  <si>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</si>
  <si>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</si>
  <si>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</si>
  <si>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</si>
  <si>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</si>
  <si>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</si>
  <si>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</si>
  <si>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</si>
  <si>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</si>
  <si>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</si>
  <si>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</si>
  <si>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</si>
  <si>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</si>
  <si>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</si>
  <si>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</si>
  <si>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</si>
  <si>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</si>
  <si>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</si>
  <si>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</si>
  <si>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</si>
  <si>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</si>
  <si>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</si>
  <si>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</si>
  <si>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</si>
  <si>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</si>
  <si>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</si>
  <si>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</si>
  <si>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</si>
  <si>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</si>
  <si>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</si>
  <si>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</si>
  <si>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</si>
  <si>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</si>
  <si>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</si>
  <si>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</si>
  <si>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</si>
  <si>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</si>
  <si>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</si>
  <si>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</si>
  <si>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</si>
  <si>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</si>
  <si>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</si>
  <si>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</si>
  <si>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</si>
  <si>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</si>
  <si>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</si>
  <si>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</si>
  <si>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</si>
  <si>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</si>
  <si>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</si>
  <si>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</si>
  <si>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</si>
  <si>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</si>
  <si>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</si>
  <si>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</si>
  <si>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</si>
  <si>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</si>
  <si>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</si>
  <si>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</si>
  <si>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</si>
  <si>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</si>
  <si>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</si>
  <si>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</si>
  <si>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</si>
  <si>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</si>
  <si>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</si>
  <si>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</si>
  <si>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</si>
  <si>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</si>
  <si>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</si>
  <si>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</si>
  <si>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</si>
  <si>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</si>
  <si>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</si>
  <si>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</si>
  <si>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</si>
  <si>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</si>
  <si>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</si>
  <si>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</si>
  <si>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</si>
  <si>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</si>
  <si>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</si>
  <si>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</si>
  <si>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</si>
  <si>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</si>
  <si>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</si>
  <si>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</si>
  <si>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</si>
  <si>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</si>
  <si>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</si>
  <si>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</si>
  <si>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</si>
  <si>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</si>
  <si>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</si>
  <si>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</si>
  <si>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</si>
  <si>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</si>
  <si>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</si>
  <si>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</si>
  <si>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</si>
  <si>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</si>
  <si>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</si>
  <si>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</si>
  <si>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</si>
  <si>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</si>
  <si>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</si>
  <si>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</si>
  <si>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</si>
  <si>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</si>
  <si>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</si>
  <si>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</si>
  <si>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</si>
  <si>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</si>
  <si>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</si>
  <si>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</si>
  <si>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</si>
  <si>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</si>
  <si>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</si>
  <si>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</si>
  <si>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</si>
  <si>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</si>
  <si>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</si>
  <si>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</si>
  <si>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</si>
  <si>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</si>
  <si>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</si>
  <si>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</si>
  <si>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</si>
  <si>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</si>
  <si>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</si>
  <si>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</si>
  <si>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</si>
  <si>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</si>
  <si>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</si>
  <si>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</si>
  <si>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</si>
  <si>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</si>
  <si>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</si>
  <si>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</si>
  <si>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</si>
  <si>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</si>
  <si>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</si>
  <si>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</si>
  <si>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</si>
  <si>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</si>
  <si>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</si>
  <si>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</si>
  <si>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</si>
  <si>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</si>
  <si>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</si>
  <si>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</si>
  <si>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</si>
  <si>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</si>
  <si>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</si>
  <si>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</si>
  <si>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</si>
  <si>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</si>
  <si>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</si>
  <si>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</si>
  <si>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</si>
  <si>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</si>
  <si>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</si>
  <si>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</si>
  <si>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</si>
  <si>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</si>
  <si>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</si>
  <si>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</si>
  <si>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</si>
  <si>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</si>
  <si>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</si>
  <si>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</si>
  <si>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</si>
  <si>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</si>
  <si>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</si>
  <si>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</si>
  <si>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</si>
  <si>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</si>
  <si>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</si>
  <si>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</si>
  <si>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</si>
  <si>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</si>
  <si>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</si>
  <si>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</si>
  <si>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</si>
  <si>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</si>
  <si>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</si>
  <si>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</si>
  <si>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</si>
  <si>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</si>
  <si>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</si>
  <si>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</si>
  <si>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</si>
  <si>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</si>
  <si>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</si>
  <si>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</si>
  <si>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</si>
  <si>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</si>
  <si>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</si>
  <si>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</si>
  <si>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</si>
  <si>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</si>
  <si>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</si>
  <si>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</si>
  <si>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</si>
  <si>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</si>
  <si>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</si>
  <si>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</si>
  <si>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</si>
  <si>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</si>
  <si>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</si>
  <si>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</si>
  <si>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</si>
  <si>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</si>
  <si>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</si>
  <si>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</si>
  <si>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</si>
  <si>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</si>
  <si>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</si>
  <si>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</si>
  <si>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</si>
  <si>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</si>
  <si>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</si>
  <si>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</si>
  <si>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</si>
  <si>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</si>
  <si>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</si>
  <si>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</si>
  <si>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</si>
  <si>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</si>
  <si>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</si>
  <si>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</si>
  <si>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</si>
  <si>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</si>
  <si>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</si>
  <si>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</si>
  <si>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</si>
  <si>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</si>
  <si>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</si>
  <si>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</si>
  <si>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</si>
  <si>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</si>
  <si>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</si>
  <si>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</si>
  <si>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</si>
  <si>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</si>
  <si>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</si>
  <si>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</si>
  <si>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</si>
  <si>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</si>
  <si>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</si>
  <si>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</si>
  <si>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</si>
  <si>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</si>
  <si>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</si>
  <si>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</si>
  <si>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</si>
  <si>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</si>
  <si>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</si>
  <si>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</si>
  <si>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</si>
  <si>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</si>
  <si>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</si>
  <si>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</si>
  <si>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</si>
  <si>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</si>
  <si>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</si>
  <si>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</si>
  <si>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</si>
  <si>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</si>
  <si>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</si>
  <si>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</si>
  <si>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</si>
  <si>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</si>
  <si>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</si>
  <si>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</si>
  <si>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</si>
  <si>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</si>
  <si>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</si>
  <si>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</si>
  <si>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</si>
  <si>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</si>
  <si>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</si>
  <si>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</si>
  <si>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</si>
  <si>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</si>
  <si>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</si>
  <si>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</si>
  <si>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</si>
  <si>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</si>
  <si>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</si>
  <si>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</si>
  <si>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</si>
  <si>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</si>
  <si>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</si>
  <si>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</si>
  <si>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</si>
  <si>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</si>
  <si>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</si>
  <si>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</si>
  <si>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</si>
  <si>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</si>
  <si>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</si>
  <si>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</si>
  <si>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</si>
  <si>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</si>
  <si>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</si>
  <si>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</si>
  <si>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</si>
  <si>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</si>
  <si>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</si>
  <si>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</si>
  <si>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</si>
  <si>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</si>
  <si>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</si>
  <si>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</si>
  <si>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</si>
  <si>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</si>
  <si>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</si>
  <si>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</si>
  <si>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</si>
  <si>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</si>
  <si>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</si>
  <si>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</si>
  <si>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</si>
  <si>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</si>
  <si>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</si>
  <si>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</si>
  <si>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</si>
  <si>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</si>
  <si>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</si>
  <si>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</si>
  <si>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</si>
  <si>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</si>
  <si>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</si>
  <si>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</si>
  <si>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</si>
  <si>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</si>
  <si>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</si>
  <si>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</si>
  <si>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</si>
  <si>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</si>
  <si>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</si>
  <si>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</si>
  <si>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</si>
  <si>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</si>
  <si>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</si>
  <si>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</si>
  <si>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</si>
  <si>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</si>
  <si>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</si>
  <si>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</si>
  <si>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</si>
  <si>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</si>
  <si>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</si>
  <si>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</si>
  <si>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</si>
  <si>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</si>
  <si>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</si>
  <si>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</si>
  <si>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</si>
  <si>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</si>
  <si>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</si>
  <si>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</si>
  <si>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</si>
  <si>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</si>
  <si>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</si>
  <si>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</si>
  <si>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</si>
  <si>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</si>
  <si>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</si>
  <si>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</si>
  <si>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</si>
  <si>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</si>
  <si>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</si>
  <si>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</si>
  <si>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</si>
  <si>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</si>
  <si>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</si>
  <si>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</si>
  <si>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</si>
  <si>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</si>
  <si>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</si>
  <si>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</si>
  <si>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</si>
  <si>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</si>
  <si>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</si>
  <si>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</si>
  <si>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</si>
  <si>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</si>
  <si>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</si>
  <si>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</si>
  <si>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</si>
  <si>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</si>
  <si>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</si>
  <si>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</si>
  <si>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</si>
  <si>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</si>
  <si>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</si>
  <si>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</si>
  <si>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</si>
  <si>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</si>
  <si>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</si>
  <si>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</si>
  <si>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</si>
  <si>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</si>
  <si>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</si>
  <si>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</si>
  <si>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</si>
  <si>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</si>
  <si>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</si>
  <si>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</si>
  <si>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</si>
  <si>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</si>
  <si>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</si>
  <si>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</si>
  <si>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</si>
  <si>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</si>
  <si>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</si>
  <si>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</si>
  <si>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</si>
  <si>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</si>
  <si>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</si>
  <si>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</si>
  <si>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</si>
  <si>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</si>
  <si>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</si>
  <si>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</si>
  <si>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</si>
  <si>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</si>
  <si>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</si>
  <si>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</si>
  <si>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</si>
  <si>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</si>
  <si>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</si>
  <si>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</si>
  <si>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</si>
  <si>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</si>
  <si>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</si>
  <si>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</si>
  <si>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</si>
  <si>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</si>
  <si>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</si>
  <si>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</si>
  <si>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</si>
  <si>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</si>
  <si>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</si>
  <si>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</si>
  <si>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</si>
  <si>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</si>
  <si>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</si>
  <si>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</si>
  <si>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</si>
  <si>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</si>
  <si>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</si>
  <si>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</si>
  <si>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</si>
  <si>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</si>
  <si>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</si>
  <si>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</si>
  <si>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</si>
  <si>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</si>
  <si>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</si>
  <si>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</si>
  <si>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</si>
  <si>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</si>
  <si>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</si>
  <si>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</si>
  <si>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</si>
  <si>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</si>
  <si>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</si>
  <si>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</si>
  <si>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</si>
  <si>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</si>
  <si>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</si>
  <si>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</si>
  <si>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</si>
  <si>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</si>
  <si>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</si>
  <si>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</si>
  <si>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</si>
  <si>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</si>
  <si>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</si>
  <si>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</si>
  <si>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</si>
  <si>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</si>
  <si>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</si>
  <si>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</si>
  <si>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</si>
  <si>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</si>
  <si>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</si>
  <si>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</si>
  <si>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</si>
  <si>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</si>
  <si>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</si>
  <si>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</si>
  <si>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</si>
  <si>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</si>
  <si>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</si>
  <si>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</si>
  <si>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</si>
  <si>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</si>
  <si>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</si>
  <si>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</si>
  <si>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</si>
  <si>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</si>
  <si>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</si>
  <si>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</si>
  <si>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</si>
  <si>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</si>
  <si>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</si>
  <si>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</si>
  <si>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</si>
  <si>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</si>
  <si>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</si>
  <si>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</si>
  <si>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</si>
  <si>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</si>
  <si>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</si>
  <si>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</si>
  <si>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</si>
  <si>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</si>
  <si>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</si>
  <si>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</si>
  <si>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</si>
  <si>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</si>
  <si>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</si>
  <si>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</si>
  <si>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</si>
  <si>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</si>
  <si>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</si>
  <si>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</si>
  <si>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</si>
  <si>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</si>
  <si>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</si>
  <si>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</si>
  <si>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</si>
  <si>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</si>
  <si>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</si>
  <si>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</si>
  <si>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</si>
  <si>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</si>
  <si>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</si>
  <si>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</si>
  <si>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</si>
  <si>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</si>
  <si>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</si>
  <si>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</si>
  <si>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</si>
  <si>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</si>
  <si>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</si>
  <si>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</si>
  <si>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</si>
  <si>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</si>
  <si>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</si>
  <si>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</si>
  <si>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</si>
  <si>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</si>
  <si>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</si>
  <si>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</si>
  <si>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</si>
  <si>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</si>
  <si>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</si>
  <si>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</si>
  <si>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</si>
  <si>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</si>
  <si>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</si>
  <si>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</si>
  <si>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</si>
  <si>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</si>
  <si>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</si>
  <si>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</si>
  <si>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</si>
  <si>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</si>
  <si>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</si>
  <si>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</si>
  <si>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</si>
  <si>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</si>
  <si>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</si>
  <si>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</si>
  <si>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</si>
  <si>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</si>
  <si>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</si>
  <si>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</si>
  <si>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</si>
  <si>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</si>
  <si>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</si>
  <si>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</si>
  <si>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</si>
  <si>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</si>
  <si>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</si>
  <si>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</si>
  <si>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</si>
  <si>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</si>
  <si>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</si>
  <si>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</si>
  <si>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</si>
  <si>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</si>
  <si>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</si>
  <si>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</si>
  <si>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</si>
  <si>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</si>
  <si>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</si>
  <si>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</si>
  <si>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</si>
  <si>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</si>
  <si>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</si>
  <si>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</si>
  <si>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</si>
  <si>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</si>
  <si>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</si>
  <si>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</si>
  <si>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</si>
  <si>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</si>
  <si>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</si>
  <si>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</si>
  <si>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</si>
  <si>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</si>
  <si>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</si>
  <si>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</si>
  <si>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</si>
  <si>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</si>
  <si>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</si>
  <si>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</si>
  <si>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</si>
  <si>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</si>
  <si>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</si>
  <si>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</si>
  <si>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</si>
  <si>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</si>
  <si>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</si>
  <si>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</si>
  <si>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</si>
  <si>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</si>
  <si>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</si>
  <si>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</si>
  <si>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</si>
  <si>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</si>
  <si>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</si>
  <si>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</si>
  <si>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</si>
  <si>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</si>
  <si>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</si>
  <si>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</si>
  <si>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</si>
  <si>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</si>
  <si>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</si>
  <si>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</si>
  <si>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</si>
  <si>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</si>
  <si>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</si>
  <si>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</si>
  <si>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</si>
  <si>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</si>
  <si>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</si>
  <si>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</si>
  <si>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</si>
  <si>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</si>
  <si>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</si>
  <si>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</si>
  <si>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</si>
  <si>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</si>
  <si>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</si>
  <si>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</si>
  <si>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</si>
  <si>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</si>
  <si>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</si>
  <si>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</si>
  <si>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</si>
  <si>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</si>
  <si>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</si>
  <si>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</si>
  <si>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</si>
  <si>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</si>
  <si>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</si>
  <si>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</si>
  <si>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</si>
  <si>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</si>
  <si>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</si>
  <si>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</si>
  <si>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</si>
  <si>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</si>
  <si>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</si>
  <si>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</si>
  <si>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</si>
  <si>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</si>
  <si>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</si>
  <si>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</si>
  <si>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</si>
  <si>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</si>
  <si>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</si>
  <si>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</si>
  <si>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</si>
  <si>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</si>
  <si>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</si>
  <si>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</si>
  <si>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</si>
  <si>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</si>
  <si>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</si>
  <si>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</si>
  <si>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</si>
  <si>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</si>
  <si>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</si>
  <si>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</si>
  <si>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</si>
  <si>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</si>
  <si>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</si>
  <si>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</si>
  <si>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</si>
  <si>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</si>
  <si>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</si>
  <si>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</si>
  <si>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</si>
  <si>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</si>
  <si>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</si>
  <si>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</si>
  <si>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</si>
  <si>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</si>
  <si>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</si>
  <si>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</si>
  <si>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</si>
  <si>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</si>
  <si>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</si>
  <si>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</si>
  <si>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</si>
  <si>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</si>
  <si>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</si>
  <si>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</si>
  <si>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</si>
  <si>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</si>
  <si>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</si>
  <si>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</si>
  <si>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</si>
  <si>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</si>
  <si>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</si>
  <si>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</si>
  <si>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</si>
  <si>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</si>
  <si>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</si>
  <si>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</si>
  <si>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</si>
  <si>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</si>
  <si>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</si>
  <si>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</si>
  <si>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</si>
  <si>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</si>
  <si>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</si>
  <si>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</si>
  <si>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</si>
  <si>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</si>
  <si>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</si>
  <si>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</si>
  <si>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</si>
  <si>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</si>
  <si>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</si>
  <si>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</si>
  <si>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</si>
  <si>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</si>
  <si>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</si>
  <si>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</si>
  <si>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</si>
  <si>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</si>
  <si>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</si>
  <si>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</si>
  <si>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</si>
  <si>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</si>
  <si>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</si>
  <si>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</si>
  <si>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</si>
  <si>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</si>
  <si>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</si>
  <si>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</si>
  <si>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</si>
  <si>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</si>
  <si>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</si>
  <si>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</si>
  <si>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</si>
  <si>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</si>
  <si>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</si>
  <si>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</si>
  <si>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</si>
  <si>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</si>
  <si>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</si>
  <si>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</si>
  <si>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</si>
  <si>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</si>
  <si>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</si>
  <si>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</si>
  <si>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</si>
  <si>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</si>
  <si>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</si>
  <si>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</si>
  <si>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</si>
  <si>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</si>
  <si>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</si>
  <si>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</si>
  <si>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</si>
  <si>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</si>
  <si>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</si>
  <si>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</si>
  <si>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</si>
  <si>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</si>
  <si>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</si>
  <si>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</si>
  <si>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</si>
  <si>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</si>
  <si>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</si>
  <si>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</si>
  <si>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</si>
  <si>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</si>
  <si>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</si>
  <si>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</si>
  <si>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</si>
  <si>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</si>
  <si>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</si>
  <si>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</si>
  <si>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</si>
  <si>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</si>
  <si>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</si>
  <si>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</si>
  <si>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</si>
  <si>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</si>
  <si>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</si>
  <si>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</si>
  <si>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</si>
  <si>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</si>
  <si>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</si>
  <si>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</si>
  <si>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</si>
  <si>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</si>
  <si>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</si>
  <si>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</si>
  <si>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</si>
  <si>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</si>
  <si>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</si>
  <si>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</si>
  <si>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</si>
  <si>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</si>
  <si>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</si>
  <si>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</si>
  <si>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</si>
  <si>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</si>
  <si>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</si>
  <si>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</si>
  <si>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</si>
  <si>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</si>
  <si>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</si>
  <si>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</si>
  <si>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</si>
  <si>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</si>
  <si>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</si>
  <si>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</si>
  <si>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</si>
  <si>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</si>
  <si>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</si>
  <si>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</si>
  <si>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</si>
  <si>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</si>
  <si>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</si>
  <si>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</si>
  <si>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</si>
  <si>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</si>
  <si>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</si>
  <si>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</si>
  <si>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</si>
  <si>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</si>
  <si>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</si>
  <si>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</si>
  <si>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</si>
  <si>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</si>
  <si>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</si>
  <si>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</si>
  <si>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</si>
  <si>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</si>
  <si>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</si>
  <si>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</si>
  <si>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</si>
  <si>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</si>
  <si>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</si>
  <si>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</si>
  <si>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</si>
  <si>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</si>
  <si>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</si>
  <si>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</si>
  <si>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</si>
  <si>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</si>
  <si>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</si>
  <si>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</si>
  <si>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</si>
  <si>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</si>
  <si>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</si>
  <si>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</si>
  <si>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</si>
  <si>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</si>
  <si>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</si>
  <si>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</si>
  <si>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</si>
  <si>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</si>
  <si>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</si>
  <si>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</si>
  <si>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</si>
  <si>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</si>
  <si>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</si>
  <si>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</si>
  <si>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</si>
  <si>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</si>
  <si>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</si>
  <si>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</si>
  <si>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</si>
  <si>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</si>
  <si>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</si>
  <si>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</si>
  <si>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</si>
  <si>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</si>
  <si>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</si>
  <si>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</si>
  <si>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</si>
  <si>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</si>
  <si>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</si>
  <si>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</si>
  <si>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</si>
  <si>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</si>
  <si>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</si>
  <si>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</si>
  <si>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</si>
  <si>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</si>
  <si>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</si>
  <si>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</si>
  <si>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</si>
  <si>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</si>
  <si>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</si>
  <si>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</si>
  <si>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</si>
  <si>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</si>
  <si>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</si>
  <si>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</si>
  <si>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</si>
  <si>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</si>
  <si>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</si>
  <si>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</si>
  <si>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</si>
  <si>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</si>
  <si>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</si>
  <si>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</si>
  <si>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</si>
  <si>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</si>
  <si>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</si>
  <si>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</si>
  <si>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</si>
  <si>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</si>
  <si>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</si>
  <si>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</si>
  <si>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</si>
  <si>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</si>
  <si>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</si>
  <si>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</si>
  <si>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</si>
  <si>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</si>
  <si>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</si>
  <si>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</si>
  <si>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</si>
  <si>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</si>
  <si>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</si>
  <si>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</si>
  <si>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</si>
  <si>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</si>
  <si>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</si>
  <si>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</si>
  <si>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</si>
  <si>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</si>
  <si>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</si>
  <si>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</si>
  <si>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</si>
  <si>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</si>
  <si>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</si>
  <si>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</si>
  <si>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</si>
  <si>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</si>
  <si>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</si>
  <si>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</si>
  <si>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</si>
  <si>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</si>
  <si>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</si>
  <si>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</si>
  <si>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</si>
  <si>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</si>
  <si>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</si>
  <si>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</si>
  <si>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</si>
  <si>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</si>
  <si>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</si>
  <si>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</si>
  <si>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</si>
  <si>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</si>
  <si>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</si>
  <si>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</si>
  <si>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</si>
  <si>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</si>
  <si>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</si>
  <si>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</si>
  <si>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</si>
  <si>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</si>
  <si>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</si>
  <si>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</si>
  <si>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</si>
  <si>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</si>
  <si>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</si>
  <si>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</si>
  <si>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</si>
  <si>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</si>
  <si>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</si>
  <si>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</si>
  <si>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</si>
  <si>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</si>
  <si>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</si>
  <si>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</si>
  <si>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</si>
  <si>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</si>
  <si>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</si>
  <si>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</si>
  <si>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</si>
  <si>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</si>
  <si>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</si>
  <si>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</si>
  <si>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</si>
  <si>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</si>
  <si>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</si>
  <si>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</si>
  <si>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</si>
  <si>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</si>
  <si>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</si>
  <si>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</si>
  <si>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</si>
  <si>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</si>
  <si>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</si>
  <si>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</si>
  <si>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</si>
  <si>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</si>
  <si>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</si>
  <si>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</si>
  <si>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</si>
  <si>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</si>
  <si>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</si>
  <si>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</si>
  <si>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</si>
  <si>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</si>
  <si>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</si>
  <si>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</si>
  <si>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</si>
  <si>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</si>
  <si>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</si>
  <si>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</si>
  <si>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</si>
  <si>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</si>
  <si>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</si>
  <si>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</si>
  <si>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</si>
  <si>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</si>
  <si>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</si>
  <si>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</si>
  <si>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</si>
  <si>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</si>
  <si>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</si>
  <si>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</si>
  <si>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</si>
  <si>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</si>
  <si>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</si>
  <si>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</si>
  <si>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</si>
  <si>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</si>
  <si>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</si>
  <si>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</si>
  <si>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</si>
  <si>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</si>
  <si>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</si>
  <si>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</si>
  <si>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</si>
  <si>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</si>
  <si>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</si>
  <si>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</si>
  <si>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</si>
  <si>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</si>
  <si>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</si>
  <si>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</si>
  <si>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</si>
  <si>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</si>
  <si>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</si>
  <si>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</si>
  <si>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</si>
  <si>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</si>
  <si>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</si>
  <si>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</si>
  <si>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</si>
  <si>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</si>
  <si>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</si>
  <si>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</si>
  <si>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</si>
  <si>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</si>
  <si>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</si>
  <si>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</si>
  <si>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</si>
  <si>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</si>
  <si>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</si>
  <si>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</si>
  <si>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</si>
  <si>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</si>
  <si>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</si>
  <si>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</si>
  <si>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</si>
  <si>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</si>
  <si>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</si>
  <si>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</si>
  <si>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</si>
  <si>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</si>
  <si>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</si>
  <si>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</si>
  <si>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</si>
  <si>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</si>
  <si>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</si>
  <si>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</si>
  <si>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</si>
  <si>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</si>
  <si>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</si>
  <si>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</si>
  <si>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</si>
  <si>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</si>
  <si>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</si>
  <si>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</si>
  <si>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</si>
  <si>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</si>
  <si>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</si>
  <si>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</si>
  <si>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</si>
  <si>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</si>
  <si>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</si>
  <si>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</si>
  <si>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</si>
  <si>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</si>
  <si>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</si>
  <si>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</si>
  <si>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</si>
  <si>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</si>
  <si>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</si>
  <si>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</si>
  <si>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</si>
  <si>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</si>
  <si>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</si>
  <si>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</si>
  <si>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</si>
  <si>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</si>
  <si>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</si>
  <si>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</si>
  <si>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</si>
  <si>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</si>
  <si>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</si>
  <si>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</si>
  <si>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</si>
  <si>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</si>
  <si>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</si>
  <si>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</si>
  <si>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</si>
  <si>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</si>
  <si>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</si>
  <si>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</si>
  <si>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</si>
  <si>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</si>
  <si>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</si>
  <si>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</si>
  <si>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</si>
  <si>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</si>
  <si>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</si>
  <si>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</si>
  <si>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</si>
  <si>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</si>
  <si>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</si>
  <si>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</si>
  <si>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</si>
  <si>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</si>
  <si>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</si>
  <si>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</si>
  <si>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</si>
  <si>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</si>
  <si>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</si>
  <si>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</si>
  <si>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</si>
  <si>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</si>
  <si>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</si>
  <si>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</si>
  <si>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</si>
  <si>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</si>
  <si>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</si>
  <si>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</si>
  <si>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</si>
  <si>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</si>
  <si>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</si>
  <si>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</si>
  <si>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</si>
  <si>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</si>
  <si>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</si>
  <si>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</si>
  <si>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</si>
  <si>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</si>
  <si>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</si>
  <si>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</si>
  <si>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</si>
  <si>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</si>
  <si>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</si>
  <si>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</si>
  <si>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</si>
  <si>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</si>
  <si>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</si>
  <si>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</si>
  <si>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</si>
  <si>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</si>
  <si>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</si>
  <si>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</si>
  <si>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</si>
  <si>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</si>
  <si>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</si>
  <si>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</si>
  <si>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</si>
  <si>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</si>
  <si>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</si>
  <si>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</si>
  <si>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</si>
  <si>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</si>
  <si>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</si>
  <si>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</si>
  <si>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</si>
  <si>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</si>
  <si>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</si>
  <si>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</si>
  <si>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</si>
  <si>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</si>
  <si>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</si>
  <si>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</si>
  <si>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</si>
  <si>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</si>
  <si>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</si>
  <si>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</si>
  <si>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</si>
  <si>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</si>
  <si>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</si>
  <si>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</si>
  <si>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</si>
  <si>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</si>
  <si>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</si>
  <si>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</si>
  <si>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</si>
  <si>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</si>
  <si>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</si>
  <si>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</si>
  <si>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</si>
  <si>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</si>
  <si>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</si>
  <si>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</si>
  <si>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</si>
  <si>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</si>
  <si>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</si>
  <si>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</si>
  <si>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</si>
  <si>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</si>
  <si>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</si>
  <si>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</si>
  <si>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</si>
  <si>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</si>
  <si>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</si>
  <si>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</si>
  <si>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</si>
  <si>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</si>
  <si>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</si>
  <si>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</si>
  <si>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</si>
  <si>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</si>
  <si>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</si>
  <si>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</si>
  <si>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</si>
  <si>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</si>
  <si>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</si>
  <si>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</si>
  <si>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</si>
  <si>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</si>
  <si>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</si>
  <si>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</si>
  <si>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</si>
  <si>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</si>
  <si>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</si>
  <si>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</si>
  <si>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</si>
  <si>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</si>
  <si>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</si>
  <si>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</si>
  <si>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</si>
  <si>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</si>
  <si>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</si>
  <si>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</si>
  <si>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</si>
  <si>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</si>
  <si>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</si>
  <si>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</si>
  <si>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</si>
  <si>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</si>
  <si>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</si>
  <si>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</si>
  <si>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</si>
  <si>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</si>
  <si>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</si>
  <si>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</si>
  <si>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</si>
  <si>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</si>
  <si>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</si>
  <si>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</si>
  <si>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</si>
  <si>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</si>
  <si>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</si>
  <si>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</si>
  <si>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</si>
  <si>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</si>
  <si>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</si>
  <si>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</si>
  <si>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</si>
  <si>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</si>
  <si>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</si>
  <si>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</si>
  <si>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</si>
  <si>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</si>
  <si>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</si>
  <si>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</si>
  <si>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</si>
  <si>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</si>
  <si>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</si>
  <si>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</si>
  <si>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</si>
  <si>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</si>
  <si>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</si>
  <si>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</si>
  <si>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</si>
  <si>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</si>
  <si>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</si>
  <si>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</si>
  <si>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</si>
  <si>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</si>
  <si>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</si>
  <si>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</si>
  <si>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</si>
  <si>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</si>
  <si>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</si>
  <si>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</si>
  <si>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</si>
  <si>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</si>
  <si>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</si>
  <si>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</si>
  <si>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</si>
  <si>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</si>
  <si>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</si>
  <si>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</si>
  <si>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</si>
  <si>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</si>
  <si>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</si>
  <si>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</si>
  <si>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</si>
  <si>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</si>
  <si>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</si>
  <si>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</si>
  <si>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</si>
  <si>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</si>
  <si>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</si>
  <si>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</si>
  <si>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</si>
  <si>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</si>
  <si>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</si>
  <si>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</si>
  <si>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</si>
  <si>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</si>
  <si>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</si>
  <si>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</si>
  <si>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</si>
  <si>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</si>
  <si>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</si>
  <si>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</si>
  <si>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</si>
  <si>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</si>
  <si>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</si>
  <si>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</si>
  <si>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</si>
  <si>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</si>
  <si>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</si>
  <si>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</si>
  <si>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</si>
  <si>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</si>
  <si>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</si>
  <si>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</si>
  <si>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</si>
  <si>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</si>
  <si>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</si>
  <si>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</si>
  <si>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</si>
  <si>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</si>
  <si>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</si>
  <si>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</si>
  <si>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</si>
  <si>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</si>
  <si>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</si>
  <si>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</si>
  <si>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</si>
  <si>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</si>
  <si>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</si>
  <si>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</si>
  <si>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</si>
  <si>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</si>
  <si>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</si>
  <si>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</si>
  <si>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</si>
  <si>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</si>
  <si>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</si>
  <si>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</si>
  <si>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</si>
  <si>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</si>
  <si>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</si>
  <si>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</si>
  <si>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</si>
  <si>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</si>
  <si>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</si>
  <si>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</si>
  <si>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</si>
  <si>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</si>
  <si>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</si>
  <si>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</si>
  <si>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</si>
  <si>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</si>
  <si>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</si>
  <si>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</si>
  <si>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</si>
  <si>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</si>
  <si>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</si>
  <si>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</si>
  <si>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</si>
  <si>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</si>
  <si>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</si>
  <si>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</si>
  <si>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</si>
  <si>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</si>
  <si>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</si>
  <si>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</si>
  <si>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</si>
  <si>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</si>
  <si>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</si>
  <si>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</si>
  <si>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</si>
  <si>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</si>
  <si>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</si>
  <si>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</si>
  <si>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</si>
  <si>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</si>
  <si>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</si>
  <si>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</si>
  <si>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</si>
  <si>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</si>
  <si>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</si>
  <si>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</si>
  <si>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</si>
  <si>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</si>
  <si>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</si>
  <si>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</si>
  <si>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</si>
  <si>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</si>
  <si>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</si>
  <si>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</si>
  <si>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</si>
  <si>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</si>
  <si>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</si>
  <si>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</si>
  <si>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</si>
  <si>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</si>
  <si>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</si>
  <si>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</si>
  <si>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</si>
  <si>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</si>
  <si>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</si>
  <si>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</si>
  <si>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</si>
  <si>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</si>
  <si>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</si>
  <si>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</si>
  <si>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</si>
  <si>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</si>
  <si>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</si>
  <si>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</si>
  <si>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</si>
  <si>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</si>
  <si>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</si>
  <si>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</si>
  <si>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</si>
  <si>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</si>
  <si>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</si>
  <si>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</si>
  <si>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</si>
  <si>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</si>
  <si>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</si>
  <si>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</si>
  <si>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</si>
  <si>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</si>
  <si>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</si>
  <si>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</si>
  <si>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</si>
  <si>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</si>
  <si>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</si>
  <si>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</si>
  <si>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</si>
  <si>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</si>
  <si>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</si>
  <si>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</si>
  <si>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</si>
  <si>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</si>
  <si>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</si>
  <si>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</si>
  <si>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</si>
  <si>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</si>
  <si>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</si>
  <si>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</si>
  <si>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</si>
  <si>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</si>
  <si>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</si>
  <si>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</si>
  <si>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</si>
  <si>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</si>
  <si>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</si>
  <si>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</si>
  <si>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</si>
  <si>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</si>
  <si>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</si>
  <si>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</si>
  <si>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</si>
  <si>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</si>
  <si>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</si>
  <si>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</si>
  <si>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</si>
  <si>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</si>
  <si>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</si>
  <si>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</si>
  <si>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</si>
  <si>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</si>
  <si>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</si>
  <si>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</si>
  <si>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</si>
  <si>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</si>
  <si>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</si>
  <si>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</si>
  <si>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</si>
  <si>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</si>
  <si>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</si>
  <si>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</si>
  <si>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</si>
  <si>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</si>
  <si>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</si>
  <si>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</si>
  <si>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</si>
  <si>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</si>
  <si>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</si>
  <si>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</si>
  <si>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</si>
  <si>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</si>
  <si>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</si>
  <si>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</si>
  <si>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</si>
  <si>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</si>
  <si>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</si>
  <si>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</si>
  <si>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</si>
  <si>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</si>
  <si>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</si>
  <si>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</si>
  <si>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</si>
  <si>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</si>
  <si>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</si>
  <si>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</si>
  <si>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</si>
  <si>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</si>
  <si>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</si>
  <si>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</si>
  <si>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</si>
  <si>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</si>
  <si>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</si>
  <si>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</si>
  <si>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</si>
  <si>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</si>
  <si>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</si>
  <si>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</si>
  <si>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</si>
  <si>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</si>
  <si>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</si>
  <si>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</si>
  <si>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</si>
  <si>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</si>
  <si>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</si>
  <si>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</si>
  <si>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</si>
  <si>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</si>
  <si>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</si>
  <si>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</si>
  <si>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</si>
  <si>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</si>
  <si>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</si>
  <si>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</si>
  <si>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</si>
  <si>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</si>
  <si>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</si>
  <si>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</si>
  <si>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</si>
  <si>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</si>
  <si>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</si>
  <si>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</si>
  <si>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</si>
  <si>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</si>
  <si>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</si>
  <si>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</si>
  <si>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</si>
  <si>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</si>
  <si>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</si>
  <si>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</si>
  <si>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</si>
  <si>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</si>
  <si>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</si>
  <si>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</si>
  <si>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</si>
  <si>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</si>
  <si>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</si>
  <si>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</si>
  <si>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</si>
  <si>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</si>
  <si>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</si>
  <si>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</si>
  <si>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</si>
  <si>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</si>
  <si>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</si>
  <si>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</si>
  <si>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</si>
  <si>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</si>
  <si>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</si>
  <si>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</si>
  <si>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</si>
  <si>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</si>
  <si>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</si>
  <si>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</si>
  <si>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</si>
  <si>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</si>
  <si>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</si>
  <si>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</si>
  <si>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</si>
  <si>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</si>
  <si>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</si>
  <si>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</si>
  <si>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</si>
  <si>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</si>
  <si>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</si>
  <si>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</si>
  <si>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</si>
  <si>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</si>
  <si>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</si>
  <si>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</si>
  <si>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</si>
  <si>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</si>
  <si>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</si>
  <si>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</si>
  <si>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</si>
  <si>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</si>
  <si>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</si>
  <si>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</si>
  <si>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</si>
  <si>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</si>
  <si>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</si>
  <si>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</si>
  <si>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</si>
  <si>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</si>
  <si>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</si>
  <si>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</si>
  <si>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</si>
  <si>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</si>
  <si>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</si>
  <si>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</si>
  <si>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</si>
  <si>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</si>
  <si>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</si>
  <si>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</si>
  <si>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</si>
  <si>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</si>
  <si>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</si>
  <si>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</si>
  <si>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</si>
  <si>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</si>
  <si>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</si>
  <si>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</si>
  <si>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</si>
  <si>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</si>
  <si>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</si>
  <si>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</si>
  <si>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</si>
  <si>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</si>
  <si>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</si>
  <si>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</si>
  <si>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</si>
  <si>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</si>
  <si>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</si>
  <si>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</si>
  <si>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</si>
  <si>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</si>
  <si>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</si>
  <si>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</si>
  <si>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</si>
  <si>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</si>
  <si>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</si>
  <si>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</si>
  <si>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</si>
  <si>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</si>
  <si>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</si>
  <si>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</si>
  <si>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</si>
  <si>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</si>
  <si>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</si>
  <si>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</si>
  <si>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</si>
  <si>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</si>
  <si>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</si>
  <si>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</si>
  <si>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</si>
  <si>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</si>
  <si>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</si>
  <si>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</si>
  <si>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</si>
  <si>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</si>
  <si>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</si>
  <si>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</si>
  <si>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</si>
  <si>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</si>
  <si>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</si>
  <si>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</si>
  <si>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</si>
  <si>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</si>
  <si>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</si>
  <si>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</si>
  <si>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</si>
  <si>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</si>
  <si>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</si>
  <si>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</si>
  <si>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</si>
  <si>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</si>
  <si>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</si>
  <si>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</si>
  <si>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</si>
  <si>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</si>
  <si>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</si>
  <si>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</si>
  <si>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</si>
  <si>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</si>
  <si>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</si>
  <si>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</si>
  <si>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</si>
  <si>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</si>
  <si>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</si>
  <si>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</si>
  <si>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</si>
  <si>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</si>
  <si>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</si>
  <si>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</si>
  <si>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</si>
  <si>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</si>
  <si>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</si>
  <si>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</si>
  <si>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</si>
  <si>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</si>
  <si>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</si>
  <si>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</si>
  <si>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</si>
  <si>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</si>
  <si>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</si>
  <si>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</si>
  <si>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</si>
  <si>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</si>
  <si>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</si>
  <si>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</si>
  <si>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</si>
  <si>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</si>
  <si>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</si>
  <si>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</si>
  <si>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</si>
  <si>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</si>
  <si>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</si>
  <si>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</si>
  <si>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</si>
  <si>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</si>
  <si>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</si>
  <si>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</si>
  <si>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</si>
  <si>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</si>
  <si>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</si>
  <si>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</si>
  <si>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</si>
  <si>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</si>
  <si>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</si>
  <si>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</si>
  <si>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</si>
  <si>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</si>
  <si>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</si>
  <si>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</si>
  <si>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</si>
  <si>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</si>
  <si>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</si>
  <si>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</si>
  <si>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</si>
  <si>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</si>
  <si>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</si>
  <si>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</si>
  <si>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</si>
  <si>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</si>
  <si>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</si>
  <si>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</si>
  <si>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</si>
  <si>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</si>
  <si>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</si>
  <si>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</si>
  <si>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</si>
  <si>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</si>
  <si>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</si>
  <si>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</si>
  <si>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</si>
  <si>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</si>
  <si>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</si>
  <si>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</si>
  <si>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</si>
  <si>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</si>
  <si>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</si>
  <si>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</si>
  <si>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</si>
  <si>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</si>
  <si>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</si>
  <si>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</si>
  <si>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</si>
  <si>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</si>
  <si>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</si>
  <si>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</si>
  <si>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</si>
  <si>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</si>
  <si>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</si>
  <si>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</si>
  <si>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</si>
  <si>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</si>
  <si>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</si>
  <si>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</si>
  <si>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</si>
  <si>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</si>
  <si>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</si>
  <si>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</si>
  <si>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</si>
  <si>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</si>
  <si>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</si>
  <si>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</si>
  <si>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</si>
  <si>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</si>
  <si>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</si>
  <si>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</si>
  <si>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</si>
  <si>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</si>
  <si>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</si>
  <si>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</si>
  <si>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</si>
  <si>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</si>
  <si>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</si>
  <si>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</si>
  <si>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</si>
  <si>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</si>
  <si>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</si>
  <si>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</si>
  <si>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</si>
  <si>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</si>
  <si>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</si>
  <si>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</si>
  <si>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</si>
  <si>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</si>
  <si>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</si>
  <si>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</si>
  <si>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</si>
  <si>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</si>
  <si>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</si>
  <si>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</si>
  <si>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</si>
  <si>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</si>
  <si>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</si>
  <si>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</si>
  <si>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</si>
  <si>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</si>
  <si>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</si>
  <si>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</si>
  <si>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</si>
  <si>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</si>
  <si>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</si>
  <si>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</si>
  <si>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</si>
  <si>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</si>
  <si>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</si>
  <si>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</si>
  <si>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</si>
  <si>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</si>
  <si>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</si>
  <si>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</si>
  <si>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</si>
  <si>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</si>
  <si>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</si>
  <si>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</si>
  <si>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</si>
  <si>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</si>
  <si>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</si>
  <si>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</si>
  <si>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</si>
  <si>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</si>
  <si>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</si>
  <si>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</si>
  <si>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</si>
  <si>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</si>
  <si>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</si>
  <si>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</si>
  <si>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</si>
  <si>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</si>
  <si>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</si>
  <si>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</si>
  <si>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</si>
  <si>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</si>
  <si>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</si>
  <si>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</si>
  <si>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</si>
  <si>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</si>
  <si>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</si>
  <si>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</si>
  <si>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</si>
  <si>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</si>
  <si>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</si>
  <si>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</si>
  <si>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</si>
  <si>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</si>
  <si>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</si>
  <si>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</si>
  <si>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</si>
  <si>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</si>
  <si>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</si>
  <si>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</si>
  <si>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</si>
  <si>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</si>
  <si>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</si>
  <si>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</si>
  <si>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</si>
  <si>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</si>
  <si>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</si>
  <si>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</si>
  <si>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</si>
  <si>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</si>
  <si>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</si>
  <si>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</si>
  <si>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</si>
  <si>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</si>
  <si>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</si>
  <si>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</si>
  <si>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</si>
  <si>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</si>
  <si>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</si>
  <si>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</si>
  <si>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</si>
  <si>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</si>
  <si>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</si>
  <si>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</si>
  <si>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</si>
  <si>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</si>
  <si>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</si>
  <si>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</si>
  <si>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</si>
  <si>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</si>
  <si>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</si>
  <si>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</si>
  <si>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</si>
  <si>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</si>
  <si>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</si>
  <si>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</si>
  <si>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</si>
  <si>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</si>
  <si>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</si>
  <si>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</si>
  <si>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</si>
  <si>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</si>
  <si>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</si>
  <si>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</si>
  <si>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</si>
  <si>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</si>
  <si>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</si>
  <si>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</si>
  <si>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</si>
  <si>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</si>
  <si>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</si>
  <si>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</si>
  <si>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</si>
  <si>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</si>
  <si>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</si>
  <si>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</si>
  <si>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</si>
  <si>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</si>
  <si>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</si>
  <si>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</si>
  <si>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</si>
  <si>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</si>
  <si>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</si>
  <si>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</si>
  <si>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</si>
  <si>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</si>
  <si>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</si>
  <si>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</si>
  <si>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</si>
  <si>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</si>
  <si>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</si>
  <si>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</si>
  <si>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</si>
  <si>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</si>
  <si>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</si>
  <si>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</si>
  <si>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</si>
  <si>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</si>
  <si>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</si>
  <si>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</si>
  <si>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</si>
  <si>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</si>
  <si>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</si>
  <si>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</si>
  <si>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</si>
  <si>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</si>
  <si>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</si>
  <si>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</si>
  <si>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</si>
  <si>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</si>
  <si>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</si>
  <si>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</si>
  <si>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</si>
  <si>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</si>
  <si>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</si>
  <si>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</si>
  <si>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</si>
  <si>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</si>
  <si>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</si>
  <si>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</si>
  <si>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</si>
  <si>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</si>
  <si>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</si>
  <si>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</si>
  <si>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</si>
  <si>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</si>
  <si>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</si>
  <si>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</si>
  <si>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</si>
  <si>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</si>
  <si>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</si>
  <si>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</si>
  <si>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</si>
  <si>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</si>
  <si>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</si>
  <si>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</si>
  <si>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</si>
  <si>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</si>
  <si>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</si>
  <si>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</si>
  <si>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</si>
  <si>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</si>
  <si>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</si>
  <si>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</si>
  <si>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</si>
  <si>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</si>
  <si>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</si>
  <si>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</si>
  <si>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</si>
  <si>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</si>
  <si>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</si>
  <si>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</si>
  <si>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</si>
  <si>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</si>
  <si>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</si>
  <si>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</si>
  <si>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</si>
  <si>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</si>
  <si>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</si>
  <si>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</si>
  <si>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</si>
  <si>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</si>
  <si>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</si>
  <si>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</si>
  <si>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</si>
  <si>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</si>
  <si>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</si>
  <si>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</si>
  <si>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</si>
  <si>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</si>
  <si>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</si>
  <si>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</si>
  <si>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</si>
  <si>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</si>
  <si>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</si>
  <si>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</si>
  <si>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</si>
  <si>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</si>
  <si>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</si>
  <si>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</si>
  <si>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</si>
  <si>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</si>
  <si>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</si>
  <si>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</si>
  <si>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</si>
  <si>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</si>
  <si>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</si>
  <si>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</si>
  <si>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</si>
  <si>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</si>
  <si>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</si>
  <si>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</si>
  <si>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</si>
  <si>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</si>
  <si>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</si>
  <si>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</si>
  <si>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</si>
  <si>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</si>
  <si>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</si>
  <si>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</si>
  <si>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</si>
  <si>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</si>
  <si>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</si>
  <si>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</si>
  <si>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</si>
  <si>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</si>
  <si>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</si>
  <si>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</si>
  <si>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</si>
  <si>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</si>
  <si>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</si>
  <si>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</si>
  <si>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</si>
  <si>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</si>
  <si>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</si>
  <si>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</si>
  <si>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</si>
  <si>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</si>
  <si>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</si>
  <si>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</si>
  <si>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</si>
  <si>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</si>
  <si>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</si>
  <si>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</si>
  <si>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</si>
  <si>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</si>
  <si>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</si>
  <si>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</si>
  <si>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</si>
  <si>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</si>
  <si>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</si>
  <si>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</si>
  <si>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</si>
  <si>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</si>
  <si>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</si>
  <si>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</si>
  <si>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</si>
  <si>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</si>
  <si>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</si>
  <si>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</si>
  <si>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</si>
  <si>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</si>
  <si>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</si>
  <si>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</si>
  <si>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</si>
  <si>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</si>
  <si>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</si>
  <si>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</si>
  <si>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</si>
  <si>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</si>
  <si>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</si>
  <si>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</si>
  <si>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</si>
  <si>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</si>
  <si>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</si>
  <si>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</si>
  <si>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</si>
  <si>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</si>
  <si>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</si>
  <si>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</si>
  <si>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</si>
  <si>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</si>
  <si>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</si>
  <si>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</si>
  <si>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</si>
  <si>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</si>
  <si>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</si>
  <si>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</si>
  <si>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</si>
  <si>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</si>
  <si>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</si>
  <si>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</si>
  <si>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</si>
  <si>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</si>
  <si>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</si>
  <si>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</si>
  <si>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</si>
  <si>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</si>
  <si>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</si>
  <si>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</si>
  <si>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</si>
  <si>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</si>
  <si>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</si>
  <si>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</si>
  <si>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</si>
  <si>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</si>
  <si>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</si>
  <si>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</si>
  <si>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</si>
  <si>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</si>
  <si>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</si>
  <si>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</si>
  <si>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</si>
  <si>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</si>
  <si>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</si>
  <si>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</si>
  <si>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</si>
  <si>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</si>
  <si>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</si>
  <si>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</si>
  <si>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</si>
  <si>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</si>
  <si>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</si>
  <si>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</si>
  <si>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</si>
  <si>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</si>
  <si>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</si>
  <si>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</si>
  <si>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</si>
  <si>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</si>
  <si>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</si>
  <si>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</si>
  <si>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</si>
  <si>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</si>
  <si>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</si>
  <si>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</si>
  <si>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</si>
  <si>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</si>
  <si>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</si>
  <si>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</si>
  <si>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</si>
  <si>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</si>
  <si>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</si>
  <si>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</si>
  <si>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</si>
  <si>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</si>
  <si>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</si>
  <si>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</si>
  <si>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</si>
  <si>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</si>
  <si>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</si>
  <si>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</si>
  <si>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</si>
  <si>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</si>
  <si>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</si>
  <si>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</si>
  <si>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</si>
  <si>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</si>
  <si>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</si>
  <si>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</si>
  <si>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</si>
  <si>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</si>
  <si>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</si>
  <si>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</si>
  <si>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</si>
  <si>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</si>
  <si>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</si>
  <si>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</si>
  <si>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</si>
  <si>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</si>
  <si>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</si>
  <si>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</si>
  <si>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</si>
  <si>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</si>
  <si>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</si>
  <si>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</si>
  <si>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</si>
  <si>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</si>
  <si>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</si>
  <si>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</si>
  <si>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</si>
  <si>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</si>
  <si>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</si>
  <si>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</si>
  <si>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</si>
  <si>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</si>
  <si>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</si>
  <si>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</si>
  <si>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</si>
  <si>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</si>
  <si>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</si>
  <si>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</si>
  <si>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</si>
  <si>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</si>
  <si>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</si>
  <si>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</si>
  <si>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</si>
  <si>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</si>
  <si>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</si>
  <si>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</si>
  <si>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</si>
  <si>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</si>
  <si>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</si>
  <si>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</si>
  <si>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</si>
  <si>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</si>
  <si>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</si>
  <si>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</si>
  <si>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</si>
  <si>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</si>
  <si>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</si>
  <si>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</si>
  <si>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</si>
  <si>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</si>
  <si>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</si>
  <si>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</si>
  <si>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</si>
  <si>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</si>
  <si>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</si>
  <si>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</si>
  <si>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</si>
  <si>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</si>
  <si>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</si>
  <si>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</si>
  <si>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</si>
  <si>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</si>
  <si>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</si>
  <si>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</si>
  <si>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</si>
  <si>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</si>
  <si>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</si>
  <si>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</si>
  <si>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</si>
  <si>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</si>
  <si>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3" type="noConversion"/>
  </si>
  <si>
    <t>封皮-委托估价方</t>
    <phoneticPr fontId="243" type="noConversion"/>
  </si>
  <si>
    <t>封皮-土地估价师</t>
    <phoneticPr fontId="243" type="noConversion"/>
  </si>
  <si>
    <t>封皮-土地估价报告编号</t>
    <phoneticPr fontId="243"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</si>
  <si>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</si>
  <si>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</si>
  <si>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</si>
  <si>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</si>
  <si>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</si>
  <si>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</si>
  <si>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</si>
  <si>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</si>
  <si>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</si>
  <si>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</si>
  <si>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</si>
  <si>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</si>
  <si>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</si>
  <si>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</si>
  <si>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3"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</si>
  <si>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</si>
  <si>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</si>
  <si>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</si>
  <si>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</si>
  <si>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</si>
  <si>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</si>
  <si>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</si>
  <si>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</si>
  <si>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</si>
  <si>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</si>
  <si>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</si>
  <si>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</si>
  <si>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</si>
  <si>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</si>
  <si>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</si>
  <si>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</si>
  <si>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</si>
  <si>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</si>
  <si>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</si>
  <si>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</si>
  <si>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</si>
  <si>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</si>
  <si>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</si>
  <si>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</si>
  <si>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</si>
  <si>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</si>
  <si>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3"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</si>
  <si>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</si>
  <si>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</si>
  <si>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</si>
  <si>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3" type="noConversion"/>
  </si>
  <si>
    <t>致函-估价结果-表-地号</t>
    <phoneticPr fontId="243" type="noConversion"/>
  </si>
  <si>
    <t>致函-估价结果-表-权属证号</t>
    <phoneticPr fontId="243" type="noConversion"/>
  </si>
  <si>
    <t>致函-估价结果-表-用途-1</t>
    <phoneticPr fontId="243" type="noConversion"/>
  </si>
  <si>
    <t>致函-估价结果-表-用途-2</t>
  </si>
  <si>
    <t>致函-估价结果-表-用途-3</t>
  </si>
  <si>
    <t>致函-估价结果-表-容积率-1</t>
    <phoneticPr fontId="243" type="noConversion"/>
  </si>
  <si>
    <t>致函-估价结果-表-容积率-2</t>
  </si>
  <si>
    <t>致函-估价结果-表-容积率-3</t>
  </si>
  <si>
    <t>致函-估价结果-表-开发程度-1</t>
    <phoneticPr fontId="243" type="noConversion"/>
  </si>
  <si>
    <t>致函-估价结果-表-开发程度-2</t>
  </si>
  <si>
    <t>致函-估价结果-表-年限</t>
    <phoneticPr fontId="243" type="noConversion"/>
  </si>
  <si>
    <t>致函-估价结果-表-土地</t>
    <phoneticPr fontId="243" type="noConversion"/>
  </si>
  <si>
    <t>致函-估价结果-表-建筑</t>
    <phoneticPr fontId="243" type="noConversion"/>
  </si>
  <si>
    <t>致函-估价结果-表-地面价</t>
    <phoneticPr fontId="243" type="noConversion"/>
  </si>
  <si>
    <t>致函-估价结果-表-楼面价</t>
    <phoneticPr fontId="243" type="noConversion"/>
  </si>
  <si>
    <t>致函-估价结果-表-总额</t>
    <phoneticPr fontId="243" type="noConversion"/>
  </si>
  <si>
    <t>致函-估价结果-表-抵押</t>
    <phoneticPr fontId="243" type="noConversion"/>
  </si>
  <si>
    <t>致函-估价结果-表-已注</t>
    <phoneticPr fontId="243" type="noConversion"/>
  </si>
  <si>
    <t>致函-估价结果-表-净值</t>
    <phoneticPr fontId="243"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</si>
  <si>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</si>
  <si>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</si>
  <si>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</si>
  <si>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</si>
  <si>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3" type="noConversion"/>
  </si>
  <si>
    <t>致函-估价结果-表-地号(标题）</t>
    <phoneticPr fontId="243" type="noConversion"/>
  </si>
  <si>
    <t>土地使用证编号/不动产权证书编号</t>
    <phoneticPr fontId="136" type="noConversion"/>
  </si>
  <si>
    <t>致函-估价结果-表-宗地名称</t>
    <phoneticPr fontId="243" type="noConversion"/>
  </si>
  <si>
    <t>致函-估价结果-表-权属证号(标题）</t>
    <phoneticPr fontId="243" type="noConversion"/>
  </si>
  <si>
    <t>致函-估价结果-表-年限(标题）</t>
    <phoneticPr fontId="243" type="noConversion"/>
  </si>
  <si>
    <t>致函-估价结果-表-土地(标题）</t>
    <phoneticPr fontId="243" type="noConversion"/>
  </si>
  <si>
    <t>致函-估价结果-表-建筑(标题）</t>
    <phoneticPr fontId="243" type="noConversion"/>
  </si>
  <si>
    <t>致函-估价结果-表-抵押（名称）</t>
    <phoneticPr fontId="243" type="noConversion"/>
  </si>
  <si>
    <t>致函-估价结果-表-已注（名称）</t>
    <phoneticPr fontId="243" type="noConversion"/>
  </si>
  <si>
    <t>致函-估价结果-表-净值（名称）</t>
    <phoneticPr fontId="243"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</si>
  <si>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</si>
  <si>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</si>
  <si>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</si>
  <si>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</si>
  <si>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</si>
  <si>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</si>
  <si>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3"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</si>
  <si>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</si>
  <si>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</si>
  <si>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</si>
  <si>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</si>
  <si>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</si>
  <si>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</si>
  <si>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</si>
  <si>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</si>
  <si>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</si>
  <si>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</si>
  <si>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</si>
  <si>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</si>
  <si>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</si>
  <si>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</si>
  <si>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</si>
  <si>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</si>
  <si>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</si>
  <si>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</si>
  <si>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</si>
  <si>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</si>
  <si>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</si>
  <si>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</si>
  <si>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</si>
  <si>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</si>
  <si>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</si>
  <si>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</si>
  <si>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</si>
  <si>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</si>
  <si>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</si>
  <si>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</si>
  <si>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</si>
  <si>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</si>
  <si>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</si>
  <si>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</si>
  <si>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</si>
  <si>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</si>
  <si>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3"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</si>
  <si>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</si>
  <si>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</si>
  <si>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</si>
  <si>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</si>
  <si>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</si>
  <si>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</si>
  <si>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</si>
  <si>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</si>
  <si>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</si>
  <si>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</si>
  <si>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</si>
  <si>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</si>
  <si>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</si>
  <si>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</si>
  <si>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</si>
  <si>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</si>
  <si>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</si>
  <si>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</si>
  <si>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</si>
  <si>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</si>
  <si>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</si>
  <si>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</si>
  <si>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</si>
  <si>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</si>
  <si>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</si>
  <si>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</si>
  <si>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</si>
  <si>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</si>
  <si>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</si>
  <si>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</si>
  <si>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</si>
  <si>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</si>
  <si>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</si>
  <si>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</si>
  <si>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</si>
  <si>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</si>
  <si>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</si>
  <si>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</si>
  <si>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</si>
  <si>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</si>
  <si>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</si>
  <si>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</si>
  <si>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</si>
  <si>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</si>
  <si>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</si>
  <si>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</si>
  <si>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</si>
  <si>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</si>
  <si>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</si>
  <si>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</si>
  <si>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</si>
  <si>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</si>
  <si>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</si>
  <si>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</si>
  <si>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</si>
  <si>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</si>
  <si>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</si>
  <si>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</si>
  <si>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</si>
  <si>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</si>
  <si>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</si>
  <si>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</si>
  <si>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</si>
  <si>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</si>
  <si>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</si>
  <si>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</si>
  <si>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</si>
  <si>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</si>
  <si>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</si>
  <si>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</si>
  <si>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</si>
  <si>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</si>
  <si>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</si>
  <si>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</si>
  <si>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</si>
  <si>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</si>
  <si>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</si>
  <si>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</si>
  <si>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</si>
  <si>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</si>
  <si>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</si>
  <si>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</si>
  <si>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</si>
  <si>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</si>
  <si>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</si>
  <si>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</si>
  <si>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</si>
  <si>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</si>
  <si>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</si>
  <si>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</si>
  <si>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</si>
  <si>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</si>
  <si>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</si>
  <si>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</si>
  <si>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</si>
  <si>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</si>
  <si>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</si>
  <si>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</si>
  <si>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</si>
  <si>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</si>
  <si>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</si>
  <si>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</si>
  <si>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</si>
  <si>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</si>
  <si>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</si>
  <si>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</si>
  <si>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</si>
  <si>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</si>
  <si>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</si>
  <si>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</si>
  <si>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</si>
  <si>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</si>
  <si>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</si>
  <si>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</si>
  <si>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</si>
  <si>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</si>
  <si>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</si>
  <si>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</si>
  <si>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</si>
  <si>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</si>
  <si>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</si>
  <si>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</si>
  <si>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</si>
  <si>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</si>
  <si>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</si>
  <si>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</si>
  <si>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</si>
  <si>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</si>
  <si>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</si>
  <si>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</si>
  <si>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</si>
  <si>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</si>
  <si>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</si>
  <si>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</si>
  <si>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</si>
  <si>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</si>
  <si>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</si>
  <si>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</si>
  <si>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</si>
  <si>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</si>
  <si>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</si>
  <si>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</si>
  <si>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</si>
  <si>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</si>
  <si>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</si>
  <si>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</si>
  <si>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</si>
  <si>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</si>
  <si>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</si>
  <si>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</si>
  <si>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</si>
  <si>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</si>
  <si>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</si>
  <si>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</si>
  <si>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</si>
  <si>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</si>
  <si>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</si>
  <si>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</si>
  <si>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</si>
  <si>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</si>
  <si>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</si>
  <si>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</si>
  <si>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</si>
  <si>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</si>
  <si>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</si>
  <si>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</si>
  <si>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</si>
  <si>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</si>
  <si>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</si>
  <si>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</si>
  <si>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</si>
  <si>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</si>
  <si>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</si>
  <si>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</si>
  <si>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</si>
  <si>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</si>
  <si>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</si>
  <si>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</si>
  <si>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</si>
  <si>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</si>
  <si>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2"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</si>
  <si>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</si>
  <si>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</si>
  <si>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</si>
  <si>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</si>
  <si>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</si>
  <si>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</si>
  <si>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</si>
  <si>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2" type="noConversion"/>
  </si>
  <si>
    <t>收益期（按照规范取最低值，住宅取高）</t>
    <phoneticPr fontId="3" type="noConversion"/>
  </si>
  <si>
    <t>2018-3</t>
    <phoneticPr fontId="3" type="noConversion"/>
  </si>
  <si>
    <t>2018-2</t>
    <phoneticPr fontId="3" type="noConversion"/>
  </si>
  <si>
    <t>住宅用房</t>
  </si>
  <si>
    <t>住宅用房</t>
    <phoneticPr fontId="14" type="noConversion"/>
  </si>
  <si>
    <t>商业用房</t>
  </si>
  <si>
    <t>商业用房</t>
    <phoneticPr fontId="14" type="noConversion"/>
  </si>
  <si>
    <t>地上</t>
  </si>
  <si>
    <t>商业</t>
  </si>
  <si>
    <t>楼面地价</t>
  </si>
  <si>
    <t>较好</t>
  </si>
  <si>
    <t>六通</t>
  </si>
  <si>
    <t>出让</t>
  </si>
  <si>
    <t>符合</t>
  </si>
  <si>
    <t>一致</t>
  </si>
  <si>
    <t>抵押价格</t>
  </si>
  <si>
    <t>抵押</t>
  </si>
  <si>
    <t>其他：</t>
  </si>
  <si>
    <t>企业</t>
  </si>
  <si>
    <t>《国有建设用地使用权出让合同》</t>
    <phoneticPr fontId="6" type="noConversion"/>
  </si>
  <si>
    <t>《出让合同》</t>
    <phoneticPr fontId="3" type="noConversion"/>
  </si>
  <si>
    <t>《国有土地使用证》</t>
    <phoneticPr fontId="3" type="noConversion"/>
  </si>
  <si>
    <t>否</t>
  </si>
  <si>
    <t>居住项目</t>
  </si>
  <si>
    <t>无</t>
  </si>
  <si>
    <t>场地平整</t>
  </si>
  <si>
    <t>平整</t>
  </si>
  <si>
    <t>通路</t>
  </si>
  <si>
    <t>通电</t>
  </si>
  <si>
    <t>通讯</t>
  </si>
  <si>
    <t>通上水</t>
  </si>
  <si>
    <t>通下水</t>
  </si>
  <si>
    <t>燃气</t>
  </si>
  <si>
    <t>估价对象周边居住用地比例、居住小区规模和社区发展完善程度，综合评价居住社区成熟度一般</t>
  </si>
  <si>
    <t>估价对象位于XX商圈，周边商业氛围成熟，人流量大，商业繁华度好</t>
  </si>
  <si>
    <t>估价对象位于XX商圈，周边办公楼项目较多，入驻率高，办公集聚程度较好</t>
  </si>
  <si>
    <t>估价对象周边道路状况、公共交通通达情况、停车便捷程度，综合评价交通便捷度较好</t>
  </si>
  <si>
    <t>区域自然环境：；人文环境；综合评价环境状况一般</t>
  </si>
  <si>
    <t>估价对象所在区域公共配套设施齐备情况</t>
  </si>
  <si>
    <t>估价对象所在区域基础设施水平</t>
  </si>
  <si>
    <t>项目全部</t>
  </si>
  <si>
    <t>土地</t>
  </si>
  <si>
    <t>比较法-住宅、综合</t>
  </si>
  <si>
    <t>剩余法-待开发</t>
  </si>
  <si>
    <t>钢混</t>
  </si>
  <si>
    <t>土地（套用方法）</t>
  </si>
  <si>
    <t>不动产收益法</t>
  </si>
  <si>
    <t>shi</t>
    <phoneticPr fontId="9" type="noConversion"/>
  </si>
  <si>
    <t>售价</t>
  </si>
  <si>
    <t>国信·嘉源</t>
    <phoneticPr fontId="3" type="noConversion"/>
  </si>
  <si>
    <t>丹阳市新民西路</t>
    <phoneticPr fontId="3" type="noConversion"/>
  </si>
  <si>
    <t>丹阳市</t>
    <phoneticPr fontId="3" type="noConversion"/>
  </si>
  <si>
    <t>北二环路北侧</t>
    <phoneticPr fontId="3" type="noConversion"/>
  </si>
  <si>
    <t>崔锴</t>
  </si>
  <si>
    <t>住宅</t>
    <phoneticPr fontId="21" type="noConversion"/>
  </si>
  <si>
    <t>60-70（含）</t>
  </si>
  <si>
    <t>一般</t>
  </si>
  <si>
    <t>精装修</t>
  </si>
  <si>
    <t>精装修</t>
    <phoneticPr fontId="21" type="noConversion"/>
  </si>
  <si>
    <t>普通装修</t>
    <phoneticPr fontId="21" type="noConversion"/>
  </si>
  <si>
    <t>简单装修</t>
    <phoneticPr fontId="21" type="noConversion"/>
  </si>
  <si>
    <t>毛坯</t>
  </si>
  <si>
    <t>毛坯</t>
    <phoneticPr fontId="21" type="noConversion"/>
  </si>
  <si>
    <t>钢混</t>
    <phoneticPr fontId="21" type="noConversion"/>
  </si>
  <si>
    <t>好</t>
  </si>
  <si>
    <t>好</t>
    <phoneticPr fontId="21" type="noConversion"/>
  </si>
  <si>
    <t>较好</t>
    <phoneticPr fontId="21" type="noConversion"/>
  </si>
  <si>
    <t>一般</t>
    <phoneticPr fontId="21" type="noConversion"/>
  </si>
  <si>
    <t>较差</t>
    <phoneticPr fontId="21" type="noConversion"/>
  </si>
  <si>
    <t>差</t>
    <phoneticPr fontId="21" type="noConversion"/>
  </si>
  <si>
    <t>平层</t>
  </si>
  <si>
    <t>平层</t>
    <phoneticPr fontId="21" type="noConversion"/>
  </si>
  <si>
    <t>高层</t>
  </si>
  <si>
    <t>高层</t>
    <phoneticPr fontId="21" type="noConversion"/>
  </si>
  <si>
    <t>六通</t>
    <phoneticPr fontId="21" type="noConversion"/>
  </si>
  <si>
    <t>五通</t>
    <phoneticPr fontId="21" type="noConversion"/>
  </si>
  <si>
    <t>四通</t>
    <phoneticPr fontId="21" type="noConversion"/>
  </si>
  <si>
    <t>三通</t>
    <phoneticPr fontId="21" type="noConversion"/>
  </si>
  <si>
    <t>丹阳市经济开发区银杏路18号</t>
    <phoneticPr fontId="3" type="noConversion"/>
  </si>
  <si>
    <t>爱家尚城</t>
    <phoneticPr fontId="3" type="noConversion"/>
  </si>
  <si>
    <t>丹阳市阜阳路1号</t>
    <phoneticPr fontId="3"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</si>
  <si>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</si>
  <si>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</si>
  <si>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</si>
  <si>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</si>
  <si>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</si>
  <si>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</si>
  <si>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</si>
  <si>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</si>
  <si>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</si>
  <si>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</si>
  <si>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</si>
  <si>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</si>
  <si>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</si>
  <si>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</si>
  <si>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</si>
  <si>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</si>
  <si>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</si>
  <si>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</si>
  <si>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</si>
  <si>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</si>
  <si>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</si>
  <si>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</si>
  <si>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</si>
  <si>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</si>
  <si>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</si>
  <si>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</si>
  <si>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</si>
  <si>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</si>
  <si>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</si>
  <si>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</si>
  <si>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</si>
  <si>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</si>
  <si>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</si>
  <si>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</si>
  <si>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</si>
  <si>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</si>
  <si>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</si>
  <si>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</si>
  <si>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</si>
  <si>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</si>
  <si>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</si>
  <si>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</si>
  <si>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</si>
  <si>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挂牌</t>
  </si>
  <si>
    <t>≤30%</t>
  </si>
  <si>
    <t>未开工</t>
  </si>
  <si>
    <t>已成交</t>
  </si>
  <si>
    <t>≤30</t>
  </si>
  <si>
    <t>开工中</t>
  </si>
  <si>
    <t>2017-02-10</t>
  </si>
  <si>
    <t>2017-03-03</t>
  </si>
  <si>
    <t>≤25</t>
  </si>
  <si>
    <t>2016-09-20</t>
  </si>
  <si>
    <t>已部分缴纳</t>
  </si>
  <si>
    <t>较好</t>
    <phoneticPr fontId="26" type="noConversion"/>
  </si>
  <si>
    <t>信达·香堤国际</t>
    <phoneticPr fontId="3" type="noConversion"/>
  </si>
  <si>
    <t>王鹏</t>
  </si>
  <si>
    <t>三亚</t>
    <phoneticPr fontId="6" type="noConversion"/>
  </si>
  <si>
    <t>吉阳区人民街</t>
    <phoneticPr fontId="6" type="noConversion"/>
  </si>
  <si>
    <t>交B2-4层物流中心</t>
    <phoneticPr fontId="3" type="noConversion"/>
  </si>
  <si>
    <t>工程规证</t>
    <phoneticPr fontId="3" type="noConversion"/>
  </si>
  <si>
    <t>地下</t>
  </si>
  <si>
    <t>商业用房</t>
    <phoneticPr fontId="7" type="noConversion"/>
  </si>
  <si>
    <t>三亚市海棠湾C6片区控规A-2-11-1地块</t>
  </si>
  <si>
    <t>三亚市</t>
  </si>
  <si>
    <t>其它用地</t>
  </si>
  <si>
    <t>海棠区</t>
  </si>
  <si>
    <t>SY2018-07</t>
  </si>
  <si>
    <t>文体娱乐用地</t>
  </si>
  <si>
    <t>≤0.45</t>
  </si>
  <si>
    <t>≤40%</t>
  </si>
  <si>
    <t>≤30米</t>
  </si>
  <si>
    <t>2018-09-13</t>
  </si>
  <si>
    <t>2018-10-09</t>
  </si>
  <si>
    <t>2018-10-19</t>
  </si>
  <si>
    <t>三土资告字[2018]7号-1</t>
  </si>
  <si>
    <t>海南鸿瓴置业有限公司</t>
  </si>
  <si>
    <t>50年</t>
  </si>
  <si>
    <t>三亚市海棠湾C6片区控规A-2-11-2地块</t>
  </si>
  <si>
    <t>商业/办公用地</t>
  </si>
  <si>
    <t>住宿餐饮用地</t>
  </si>
  <si>
    <t>≤1.2</t>
  </si>
  <si>
    <t>≤35%</t>
  </si>
  <si>
    <t>≤80米</t>
  </si>
  <si>
    <t>三土资告字[2018]7号-2</t>
  </si>
  <si>
    <t>40年</t>
  </si>
  <si>
    <t>丰兴隆片区控制性详细规划A-23地块内</t>
  </si>
  <si>
    <t>吉阳区</t>
  </si>
  <si>
    <t>SY2018-06</t>
  </si>
  <si>
    <t>≤2.99</t>
  </si>
  <si>
    <t>≤25%</t>
  </si>
  <si>
    <t>2018-08-03</t>
  </si>
  <si>
    <t>2018-08-28</t>
  </si>
  <si>
    <t>2018-09-07</t>
  </si>
  <si>
    <t>三土资告字[2018]6号</t>
  </si>
  <si>
    <t>恒大地产集团海南有限公司</t>
  </si>
  <si>
    <t>三亚市创意产业园控规CY03-11-04地块</t>
  </si>
  <si>
    <t>崖州区</t>
  </si>
  <si>
    <t>SY2018-03</t>
  </si>
  <si>
    <t>港口码头用地</t>
  </si>
  <si>
    <t>≤0.6</t>
  </si>
  <si>
    <t>≤12米</t>
  </si>
  <si>
    <t>2018-01-24</t>
  </si>
  <si>
    <t>2018-02-13</t>
  </si>
  <si>
    <t>2018-03-02</t>
  </si>
  <si>
    <t>三土资告字[2018]3号</t>
  </si>
  <si>
    <t>中国船舶重工集团有限公司</t>
  </si>
  <si>
    <t>三亚市创意产业园控规CY03-11-02地块内</t>
  </si>
  <si>
    <t>SY2018-02</t>
  </si>
  <si>
    <t>科教用地</t>
  </si>
  <si>
    <t>≤24米</t>
  </si>
  <si>
    <t>三土资告字[2018]2号</t>
  </si>
  <si>
    <t>海棠湾C6片区控规A-3-5地块</t>
  </si>
  <si>
    <t>SY2017-22</t>
  </si>
  <si>
    <t>医卫慈善用地</t>
  </si>
  <si>
    <t>≤0.8</t>
  </si>
  <si>
    <t>≤40米</t>
  </si>
  <si>
    <t>2017-11-28</t>
  </si>
  <si>
    <t>2017-12-19</t>
  </si>
  <si>
    <t>2017-12-29</t>
  </si>
  <si>
    <t>三土资告字[2017]22号</t>
  </si>
  <si>
    <t>三亚汉隆医疗投资有限公司</t>
  </si>
  <si>
    <t>海棠湾林旺片区控规F-1-1地块和F-2-1地块</t>
  </si>
  <si>
    <t>SY2017-21</t>
  </si>
  <si>
    <t>其他商服用地</t>
  </si>
  <si>
    <t>≤0.7</t>
  </si>
  <si>
    <t>≤18米</t>
  </si>
  <si>
    <t>2017-12-11</t>
  </si>
  <si>
    <t>2017-12-22</t>
  </si>
  <si>
    <t>三土资告字[2017]21号</t>
  </si>
  <si>
    <t>太平人寿保险有限公司</t>
  </si>
  <si>
    <t>三亚市创意产业园控规CY03-09-03地块内</t>
  </si>
  <si>
    <t>SY2017-20</t>
  </si>
  <si>
    <t>≤1.5</t>
  </si>
  <si>
    <t>≤30*%</t>
  </si>
  <si>
    <t>2017-11-14</t>
  </si>
  <si>
    <t>2017-12-05</t>
  </si>
  <si>
    <t>2017-12-15</t>
  </si>
  <si>
    <t>三土资告字[2017]20号</t>
  </si>
  <si>
    <t>中国船舶工业系统工程研究院</t>
  </si>
  <si>
    <t>海棠湾C3片区控规A-05-(1)、A-05-(2)、A-05-(3)和A-04-01地块</t>
  </si>
  <si>
    <t>SY2017-19</t>
  </si>
  <si>
    <t>≤25米</t>
  </si>
  <si>
    <t>2017-11-09</t>
  </si>
  <si>
    <t>2017-12-08</t>
  </si>
  <si>
    <t>三土资告字[2017]19号</t>
  </si>
  <si>
    <t>三亚中交瀚星投资有限公司</t>
  </si>
  <si>
    <t>三亚中心渔港控规YG2-02-01地块</t>
  </si>
  <si>
    <t>SY2017-18</t>
  </si>
  <si>
    <t>批发零售用地</t>
  </si>
  <si>
    <t>≤0.4</t>
  </si>
  <si>
    <t>≤15</t>
  </si>
  <si>
    <t>2017-11-02</t>
  </si>
  <si>
    <t>2017-11-21</t>
  </si>
  <si>
    <t>2017-12-01</t>
  </si>
  <si>
    <t>三土资告字[2017]18号</t>
  </si>
  <si>
    <t>中国石化销售有限公司海南石油分公司</t>
  </si>
  <si>
    <t>吉阳安置区控规C-03-02地块内</t>
  </si>
  <si>
    <t>SY2017-15</t>
  </si>
  <si>
    <t>机关团体用地</t>
  </si>
  <si>
    <t>≤2.1</t>
  </si>
  <si>
    <t>≤35</t>
  </si>
  <si>
    <t>≤40</t>
  </si>
  <si>
    <t>2017-08-18</t>
  </si>
  <si>
    <t>2017-09-08</t>
  </si>
  <si>
    <t>2017-09-18</t>
  </si>
  <si>
    <t>三土资告字[2017]15号</t>
  </si>
  <si>
    <t>三亚隆平高科南繁基地有限公司</t>
  </si>
  <si>
    <t>三亚市月川片区控规YC3-19-3、YC3-21-1、YC3-23-1、YC3-24-5、YC3-25-7和YC3-26-2地块</t>
  </si>
  <si>
    <t>天涯区</t>
  </si>
  <si>
    <t>SY2017-07</t>
  </si>
  <si>
    <t>商务金融用地</t>
  </si>
  <si>
    <t>2017-06-08</t>
  </si>
  <si>
    <t>2017-06-27</t>
  </si>
  <si>
    <t>2017-07-07</t>
  </si>
  <si>
    <t>三土资告字[2017]7号</t>
  </si>
  <si>
    <t>三亚瑞庆投资管理有限公司</t>
  </si>
  <si>
    <t>三亚市海坡村棚户区改造控制性详细规划HPC-19-01、HPC-19-02、HPC-19-05、HPC-19-10地块</t>
  </si>
  <si>
    <t>SY2017-06</t>
  </si>
  <si>
    <t>≤2.5</t>
  </si>
  <si>
    <t>≤60米</t>
  </si>
  <si>
    <t>2017-06-02</t>
  </si>
  <si>
    <t>2017-06-24</t>
  </si>
  <si>
    <t>2017-07-04</t>
  </si>
  <si>
    <t>三土资告字[2017]6号</t>
  </si>
  <si>
    <t>海南碧桂园开发有限公司</t>
  </si>
  <si>
    <t>月川片区控规YC2-39-1地块</t>
  </si>
  <si>
    <t>SY2017-01</t>
  </si>
  <si>
    <t>≤3.6</t>
  </si>
  <si>
    <t>2017-03-13</t>
  </si>
  <si>
    <t>三土资告字[2017]1号</t>
  </si>
  <si>
    <t>三亚允达置业有限公司</t>
  </si>
  <si>
    <t>海棠湾C7片区控规C7-02-01、C7-02-02-a、C7-02-04地块</t>
  </si>
  <si>
    <t>SY2016-20</t>
  </si>
  <si>
    <t>≤0.48</t>
  </si>
  <si>
    <t>≤20</t>
  </si>
  <si>
    <t>2016-12-01</t>
  </si>
  <si>
    <t>2016-12-20</t>
  </si>
  <si>
    <t>2016-12-30</t>
  </si>
  <si>
    <t>三土资告字[2016]20号</t>
  </si>
  <si>
    <t>海南满天星旅业开发有限公司</t>
  </si>
  <si>
    <t>三亚市吉阳区南丁北片区控规ND-003、ND-004、ND-005、ND-006、ND-007、ND-008、ND-009地块</t>
  </si>
  <si>
    <t>SY2016-14</t>
  </si>
  <si>
    <t>≤0.5</t>
  </si>
  <si>
    <t>2016-09-14</t>
  </si>
  <si>
    <t>2016-10-07</t>
  </si>
  <si>
    <t>2016-10-17</t>
  </si>
  <si>
    <t>三土资告字[2016]14号</t>
  </si>
  <si>
    <t>三亚汇涛置业有限公司</t>
  </si>
  <si>
    <t>海棠湾A8片区A8-08-16、A8-08-19、A8-10-10地块</t>
  </si>
  <si>
    <t>SY2016-12</t>
  </si>
  <si>
    <t>≤18</t>
  </si>
  <si>
    <t>2016-10-04</t>
  </si>
  <si>
    <t>2016-10-14</t>
  </si>
  <si>
    <t>三土资告字[2016]12号</t>
  </si>
  <si>
    <t>三亚石药德中健康产业园有限公司</t>
  </si>
  <si>
    <t>海棠湾C6片区A-2-3地块</t>
  </si>
  <si>
    <t>SY2016-13</t>
  </si>
  <si>
    <t>三土资告字[2016]13号</t>
  </si>
  <si>
    <t>保利(三亚)房地产开发有限公司</t>
  </si>
  <si>
    <t>海棠湾A8片区A8-08-13、A8-10-13、A8-10-15地块</t>
  </si>
  <si>
    <t>SY2016-11</t>
  </si>
  <si>
    <t>2016-10-03</t>
  </si>
  <si>
    <t>2016-10-13</t>
  </si>
  <si>
    <t>三土资告字[2016]11号</t>
  </si>
  <si>
    <t>三亚湾海坡片区控规HPC-08-14地块内</t>
  </si>
  <si>
    <t>SY2016-10</t>
  </si>
  <si>
    <t>≤2</t>
  </si>
  <si>
    <t>≤50</t>
  </si>
  <si>
    <t>2016-08-26</t>
  </si>
  <si>
    <t>2016-09-16</t>
  </si>
  <si>
    <t>2016-09-26</t>
  </si>
  <si>
    <t>三土资告字[2016]10号</t>
  </si>
  <si>
    <t>海南三亚湾新城开发有限公司</t>
  </si>
  <si>
    <t>大东海片区D-10地块内</t>
  </si>
  <si>
    <t>SY2016-09</t>
  </si>
  <si>
    <t>≤1.95</t>
  </si>
  <si>
    <t>≤52</t>
  </si>
  <si>
    <t>三土资告字[2016]9号</t>
  </si>
  <si>
    <t>三亚火车站站前区控规YC3-1-1地块内</t>
  </si>
  <si>
    <t>SY2016-08</t>
  </si>
  <si>
    <t>2016-08-19</t>
  </si>
  <si>
    <t>2016-09-10</t>
  </si>
  <si>
    <t>三土资告字[2016]8号</t>
  </si>
  <si>
    <t>三亚夏日实业发展有限公司</t>
  </si>
  <si>
    <t>吉阳区亚龙湾国家旅游度假区A-02-2地块内</t>
  </si>
  <si>
    <t>SY2016-07</t>
  </si>
  <si>
    <t>2016-07-18</t>
  </si>
  <si>
    <t>2016-08-09</t>
  </si>
  <si>
    <t>三土资告字[2016]7号</t>
  </si>
  <si>
    <t>海南中亿健康产业股份有限公司</t>
  </si>
  <si>
    <t>海棠湾C6片区C-2-1、C-1-4地块</t>
  </si>
  <si>
    <t>SY2016-05</t>
  </si>
  <si>
    <t>2016-06-15</t>
  </si>
  <si>
    <t>2016-07-05</t>
  </si>
  <si>
    <t>2016-07-15</t>
  </si>
  <si>
    <t>三土资告字[2016]5号</t>
  </si>
  <si>
    <t>阳光人寿保险股份有限公司</t>
  </si>
  <si>
    <t>吉阳区高新技术产业园控规B6-1地块内</t>
  </si>
  <si>
    <t>SY2016-02</t>
  </si>
  <si>
    <t>≤24</t>
  </si>
  <si>
    <t>2016-03-18</t>
  </si>
  <si>
    <t>2016-04-09</t>
  </si>
  <si>
    <t>2016-04-18</t>
  </si>
  <si>
    <t>三土资告字[2016]2号</t>
  </si>
  <si>
    <t>三亚市干细胞技术有限公司</t>
  </si>
  <si>
    <t>临春片区控规E-2地块内</t>
  </si>
  <si>
    <t>SY2016-01</t>
  </si>
  <si>
    <t>≤0.2</t>
  </si>
  <si>
    <t>≤12</t>
  </si>
  <si>
    <t>2016-02-01</t>
  </si>
  <si>
    <t>2016-02-23</t>
  </si>
  <si>
    <t>2016-03-04</t>
  </si>
  <si>
    <t>三土资告字[2016]1号</t>
  </si>
  <si>
    <t>首都机场地产集团有限公司</t>
  </si>
  <si>
    <t>海棠湾林旺片区F-3-2、F-4-1地块</t>
  </si>
  <si>
    <t>SY2015-13</t>
  </si>
  <si>
    <t>F-3-2为医院用地、F-4-1为商业服务业用地(其他商服用地)</t>
  </si>
  <si>
    <t>f-3-2≤1.5、f-4-1≤1.03</t>
  </si>
  <si>
    <t>F-3-2≤40%、F-4-1≤35%</t>
  </si>
  <si>
    <t>F-3-2:45米、F-4-1:21米</t>
  </si>
  <si>
    <t>已完工</t>
  </si>
  <si>
    <t>2015-12-29</t>
  </si>
  <si>
    <t>2016-01-17</t>
  </si>
  <si>
    <t>2016-01-27</t>
  </si>
  <si>
    <t>三土环资告字[2015]13号</t>
  </si>
  <si>
    <t>三亚恒合融医院投资管理有限公司(恒大健康产业集团)</t>
  </si>
  <si>
    <t>商业40年、医院50年</t>
  </si>
  <si>
    <t>海棠湾林旺片区F-3-1地块</t>
  </si>
  <si>
    <t>SY2015-11</t>
  </si>
  <si>
    <t>2015-11-28</t>
  </si>
  <si>
    <t>2015-12-21</t>
  </si>
  <si>
    <t>2015-12-31</t>
  </si>
  <si>
    <t>三土环资告字[2015]11号</t>
  </si>
  <si>
    <t>国寿(三亚)健康投资有限公司</t>
  </si>
  <si>
    <t>40</t>
    <phoneticPr fontId="26" type="noConversion"/>
  </si>
  <si>
    <t>文体娱乐</t>
    <phoneticPr fontId="26" type="noConversion"/>
  </si>
  <si>
    <t>住宿餐饮</t>
    <phoneticPr fontId="26" type="noConversion"/>
  </si>
  <si>
    <t>其他商服</t>
    <phoneticPr fontId="26" type="noConversion"/>
  </si>
  <si>
    <t>2018-1-0856-P04DYGJ1</t>
    <phoneticPr fontId="6" type="noConversion"/>
  </si>
  <si>
    <t>文体娱乐</t>
  </si>
  <si>
    <t>住宿餐饮</t>
  </si>
  <si>
    <t>其他商服</t>
  </si>
  <si>
    <t>土地星级</t>
  </si>
  <si>
    <t>三亚槟榔河国际乡村文化旅游区控规B-1-3地块</t>
  </si>
  <si>
    <t>SY2018-09</t>
  </si>
  <si>
    <t>≤0.55</t>
  </si>
  <si>
    <t>≤10米</t>
  </si>
  <si>
    <t>2018-11-08</t>
  </si>
  <si>
    <t>2018-11-27</t>
  </si>
  <si>
    <t>2018-12-07</t>
  </si>
  <si>
    <t>三土资告字[2018]9号</t>
  </si>
  <si>
    <t>三亚苑鼎演艺有限公司</t>
  </si>
  <si>
    <t>2星</t>
  </si>
  <si>
    <t>槟榔河国际乡村文化旅游区控规B-3-7地块</t>
  </si>
  <si>
    <t>SY2018-08</t>
  </si>
  <si>
    <t>三土资告字[2018]8号</t>
  </si>
  <si>
    <t>三亚春瑞实业有限公司</t>
  </si>
  <si>
    <t>3星</t>
  </si>
  <si>
    <t>&amp;lt;100米</t>
  </si>
  <si>
    <t>4星</t>
  </si>
  <si>
    <t>0星</t>
  </si>
  <si>
    <t>1星</t>
  </si>
  <si>
    <t>海棠湾C6片区B-2-1地块和B-2-2地块</t>
  </si>
  <si>
    <t>SY2015-07</t>
  </si>
  <si>
    <t>2015-10-01</t>
  </si>
  <si>
    <t>2015-10-26</t>
  </si>
  <si>
    <t>2015-11-06</t>
  </si>
  <si>
    <t>三土环资告字[2015]7号</t>
  </si>
  <si>
    <t>三亚新天房投资发展有限公司</t>
  </si>
  <si>
    <t>三亚市海棠湾林旺片区控规G-01-01、G-01-03地块</t>
  </si>
  <si>
    <t>SY2015-06</t>
  </si>
  <si>
    <t>G-01-01地块:游乐公园,G-01-03地块:商业用地</t>
  </si>
  <si>
    <t>g-01-03地块≤0.4</t>
  </si>
  <si>
    <t>G-01-03地块≤40%</t>
  </si>
  <si>
    <t>G-01-03地块≤15米</t>
  </si>
  <si>
    <t>三土环资告字[2015]6号</t>
  </si>
  <si>
    <t>海昌控股(香港)有限公司</t>
  </si>
  <si>
    <t>海棠湾B1片区B1-c1-25、B1-b2-1、B1-b1-12地块</t>
  </si>
  <si>
    <t>SY2015-04</t>
  </si>
  <si>
    <t>≤1</t>
  </si>
  <si>
    <t>2015-09-09</t>
  </si>
  <si>
    <t>2015-10-06</t>
  </si>
  <si>
    <t>2015-10-16</t>
  </si>
  <si>
    <t>三土环资告字[2015]4号</t>
  </si>
  <si>
    <t>齐瓦颂(三亚)养生社区开发有限公司</t>
  </si>
  <si>
    <t>海棠湾B1片区B1-d1-10a地块、B1-d1-10b地块和B1-d1-8地块</t>
  </si>
  <si>
    <t>SY2015-02</t>
  </si>
  <si>
    <t>≤60</t>
  </si>
  <si>
    <t>2015-06-05</t>
  </si>
  <si>
    <t>2015-07-01</t>
  </si>
  <si>
    <t>2015-07-10</t>
  </si>
  <si>
    <t>三土环资告字[2015]2号</t>
  </si>
  <si>
    <t>海南中海三邦友房地产开发有限责任公司</t>
  </si>
  <si>
    <t>海棠湾C3片区A-05-1、A-05-2、A-05-3、A-04-01*及B-04地块</t>
  </si>
  <si>
    <t>SY2015-03</t>
  </si>
  <si>
    <t>三土环资告字[2015]3号</t>
  </si>
  <si>
    <t>海棠湾A5/A8/A9片区A8-03-26地块</t>
  </si>
  <si>
    <t>SY2015-01</t>
  </si>
  <si>
    <t>2015-02-06</t>
  </si>
  <si>
    <t>2015-02-28</t>
  </si>
  <si>
    <t>2015-03-10</t>
  </si>
  <si>
    <t>三土环资告字[2015]1号</t>
  </si>
  <si>
    <t>国旅(三亚)海棠湾投资发展有限公司</t>
  </si>
  <si>
    <t>海棠湾C6片区A-2-12地块</t>
  </si>
  <si>
    <t>SY2014-17</t>
  </si>
  <si>
    <t>小于或等于0.4</t>
  </si>
  <si>
    <t>小于或等于15%</t>
  </si>
  <si>
    <t>小于或等于10</t>
  </si>
  <si>
    <t>2014-09-28</t>
  </si>
  <si>
    <t>2014-10-17</t>
  </si>
  <si>
    <t>2014-10-27</t>
  </si>
  <si>
    <t>三土环资告字[2014]17号</t>
  </si>
  <si>
    <t>迎宾路西段控规(荔枝沟片区)LZG5-2-2和LZG5-2-8地块内</t>
  </si>
  <si>
    <t>SY2014-10</t>
  </si>
  <si>
    <t>小于或等于2.2</t>
  </si>
  <si>
    <t>小于或等于35%</t>
  </si>
  <si>
    <t>小于或等于60</t>
  </si>
  <si>
    <t>2014-07-09</t>
  </si>
  <si>
    <t>2014-07-29</t>
  </si>
  <si>
    <t>2014-08-07</t>
  </si>
  <si>
    <t>三土环资告字[2014]10号</t>
  </si>
  <si>
    <t>三亚富斯实业有限公司</t>
  </si>
  <si>
    <t>三亚市海棠湾C3片区A-10地块</t>
  </si>
  <si>
    <t>SY2014-05</t>
  </si>
  <si>
    <t>小于或等于0.3</t>
  </si>
  <si>
    <t>2014-04-16</t>
  </si>
  <si>
    <t>2014-05-11</t>
  </si>
  <si>
    <t>2014-05-21</t>
  </si>
  <si>
    <t>三土环资告字[2014]5号</t>
  </si>
  <si>
    <t>中国石油化工股份有限公司海南石油分公司</t>
  </si>
  <si>
    <t>三亚市海棠湾A5/8/9片区A8-05-20地块</t>
  </si>
  <si>
    <t>SY2014-06</t>
  </si>
  <si>
    <t>三土环资告字[2014]6号</t>
  </si>
  <si>
    <t>梅山红色旅游区11号地块</t>
  </si>
  <si>
    <t>SY2014-04</t>
  </si>
  <si>
    <t>小于或等于0.75</t>
  </si>
  <si>
    <t>小于或等于25%</t>
  </si>
  <si>
    <t>小于或等于30</t>
  </si>
  <si>
    <t>2014-04-08</t>
  </si>
  <si>
    <t>2014-04-30</t>
  </si>
  <si>
    <t>2014-05-14</t>
  </si>
  <si>
    <t>三土环资告字[2014]4号</t>
  </si>
  <si>
    <t>三亚三力置业投资有限公司</t>
  </si>
  <si>
    <t>三亚市河西片区旧城改造城市设计暨控制性详细规划HX6-3-1地块内</t>
  </si>
  <si>
    <t>SY2014-01</t>
  </si>
  <si>
    <t>小于或等于4.2</t>
  </si>
  <si>
    <t>2014-01-06</t>
  </si>
  <si>
    <t>2014-01-24</t>
  </si>
  <si>
    <t>2014-02-11</t>
  </si>
  <si>
    <t>三土环资告字[2014]1号</t>
  </si>
  <si>
    <t>三亚碧城房地产开发有限公司</t>
  </si>
  <si>
    <t>29年</t>
  </si>
  <si>
    <t>三亚市创意产业园CY03-09-01地块</t>
  </si>
  <si>
    <t>SY2013-34</t>
  </si>
  <si>
    <t>小于或等于1.5</t>
  </si>
  <si>
    <t>小于或等于30%</t>
  </si>
  <si>
    <t>小于或等于50</t>
  </si>
  <si>
    <t>2013-12-27</t>
  </si>
  <si>
    <t>2014-01-17</t>
  </si>
  <si>
    <t>2014-01-27</t>
  </si>
  <si>
    <t>三土环资告字[2013]34号</t>
  </si>
  <si>
    <t>三亚北大科技园实业开发有限公司</t>
  </si>
  <si>
    <t>三亚市半岭温泉旅游度假区控规BL-02-06地块</t>
  </si>
  <si>
    <t>招标</t>
  </si>
  <si>
    <t>SY2013-33(2)</t>
  </si>
  <si>
    <t>2013-12-20</t>
  </si>
  <si>
    <t>2014-01-09</t>
  </si>
  <si>
    <t>三土环资告字[2013]33号-2</t>
  </si>
  <si>
    <t>三亚沈煤森诺房地产开发有限公司</t>
  </si>
  <si>
    <t>三亚市半岭温泉旅游度假区控规BL-02-05地块</t>
  </si>
  <si>
    <t>SY2013-33(1)</t>
  </si>
  <si>
    <t>三土环资告字[2013]33号-1</t>
  </si>
  <si>
    <t>三亚市半岭温泉旅游度假区控规BL-02-07地块</t>
  </si>
  <si>
    <t>SY2013-33(3)</t>
  </si>
  <si>
    <t>三土环资告字[2013]33号-3</t>
  </si>
  <si>
    <t>海棠湾C6片区D-3-2地块</t>
  </si>
  <si>
    <t>SY2013-30</t>
  </si>
  <si>
    <t>小于或等于20%</t>
  </si>
  <si>
    <t>小于或等于20</t>
  </si>
  <si>
    <t>2013-11-29</t>
  </si>
  <si>
    <t>2013-12-31</t>
  </si>
  <si>
    <t>三土环资告字[2013]30号</t>
  </si>
  <si>
    <t>三亚海泰投资管理有限公司</t>
  </si>
  <si>
    <t>月川片区控规YC4-18-5地块</t>
  </si>
  <si>
    <t>SY2013-28</t>
  </si>
  <si>
    <t>小于或等于4.5</t>
  </si>
  <si>
    <t>小于或等于100</t>
  </si>
  <si>
    <t>2013-11-22</t>
  </si>
  <si>
    <t>2013-12-13</t>
  </si>
  <si>
    <t>2013-12-23</t>
  </si>
  <si>
    <t>三土环资告字[2013]28号</t>
  </si>
  <si>
    <t>三亚中铁置业有限公司</t>
  </si>
  <si>
    <t>三亚市创意产业园CY01-06-01地块</t>
  </si>
  <si>
    <t>SY2013-27</t>
  </si>
  <si>
    <t>小于或等于1</t>
  </si>
  <si>
    <t>2013-11-06</t>
  </si>
  <si>
    <t>2013-11-26</t>
  </si>
  <si>
    <t>2013-12-06</t>
  </si>
  <si>
    <t>三土环资告字[2013]27号</t>
  </si>
  <si>
    <t>创科投资有限公司</t>
  </si>
  <si>
    <t>三亚市红塘湾旅游度假区控规D-07地块和D-08地块</t>
  </si>
  <si>
    <t>SY2013-25</t>
  </si>
  <si>
    <t>小于或等于50%</t>
  </si>
  <si>
    <t>2013-10-25</t>
  </si>
  <si>
    <t>2013-11-15</t>
  </si>
  <si>
    <t>2013-11-25</t>
  </si>
  <si>
    <t>三土环资告字[2013]25号</t>
  </si>
  <si>
    <t>海南德璟正邦房地产开发有限责任公司</t>
  </si>
  <si>
    <t>吉阳区人民街</t>
    <phoneticPr fontId="3" type="noConversion"/>
  </si>
  <si>
    <t>吉阳区</t>
    <phoneticPr fontId="3" type="noConversion"/>
  </si>
  <si>
    <t>吉阳区</t>
    <phoneticPr fontId="3" type="noConversion"/>
  </si>
  <si>
    <t>自定义</t>
  </si>
  <si>
    <t>五通</t>
  </si>
  <si>
    <t>五通</t>
    <phoneticPr fontId="26" type="noConversion"/>
  </si>
  <si>
    <t>零溢价</t>
  </si>
  <si>
    <t>零溢价</t>
    <phoneticPr fontId="26" type="noConversion"/>
  </si>
  <si>
    <t>车位</t>
    <phoneticPr fontId="2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</si>
</sst>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0" fillId="0" borderId="0"/>
  </cellStyleXfs>
  <cellXfs count="349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0" fontId="75" fillId="0" borderId="2" xfId="0" applyNumberFormat="1" applyFont="1" applyBorder="1" applyAlignment="1" applyProtection="1">
      <alignment horizontal="center" vertical="center" wrapText="1"/>
      <protection locked="0"/>
    </xf>
    <xf numFmtId="180"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7"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7" fontId="75" fillId="5" borderId="6" xfId="0" applyNumberFormat="1" applyFont="1" applyFill="1" applyBorder="1" applyAlignment="1" applyProtection="1">
      <alignment horizontal="center" vertical="center" wrapText="1"/>
    </xf>
    <xf numFmtId="177" fontId="75" fillId="5" borderId="7" xfId="0" applyNumberFormat="1" applyFont="1" applyFill="1" applyBorder="1" applyAlignment="1" applyProtection="1">
      <alignment horizontal="center" vertical="center" wrapText="1"/>
    </xf>
    <xf numFmtId="177" fontId="75" fillId="5" borderId="8" xfId="0" applyNumberFormat="1" applyFont="1" applyFill="1" applyBorder="1" applyAlignment="1" applyProtection="1">
      <alignment horizontal="center" vertical="center" wrapText="1"/>
    </xf>
    <xf numFmtId="177" fontId="75" fillId="5" borderId="9" xfId="0" applyNumberFormat="1" applyFont="1" applyFill="1" applyBorder="1" applyAlignment="1" applyProtection="1">
      <alignment horizontal="center" vertical="center" wrapText="1"/>
    </xf>
    <xf numFmtId="177" fontId="75" fillId="5" borderId="10" xfId="0" applyNumberFormat="1" applyFont="1" applyFill="1" applyBorder="1" applyAlignment="1" applyProtection="1">
      <alignment horizontal="center" vertical="center" wrapText="1"/>
    </xf>
    <xf numFmtId="177" fontId="75" fillId="5" borderId="5" xfId="0" applyNumberFormat="1" applyFont="1" applyFill="1" applyBorder="1" applyAlignment="1" applyProtection="1">
      <alignment horizontal="center" vertical="center" wrapText="1"/>
    </xf>
    <xf numFmtId="177" fontId="75" fillId="5" borderId="11" xfId="0" applyNumberFormat="1" applyFont="1" applyFill="1" applyBorder="1" applyAlignment="1" applyProtection="1">
      <alignment horizontal="center" vertical="center" wrapText="1"/>
    </xf>
    <xf numFmtId="177" fontId="75" fillId="5" borderId="12" xfId="0" applyNumberFormat="1" applyFont="1" applyFill="1" applyBorder="1" applyAlignment="1" applyProtection="1">
      <alignment horizontal="center" vertical="center" wrapText="1"/>
    </xf>
    <xf numFmtId="177"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0"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5" fillId="5" borderId="8" xfId="0" applyNumberFormat="1" applyFont="1" applyFill="1" applyBorder="1" applyAlignment="1" applyProtection="1">
      <alignment horizontal="center" vertical="center"/>
    </xf>
    <xf numFmtId="180"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0"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0"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0"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0" fontId="75" fillId="5" borderId="20" xfId="0" applyNumberFormat="1" applyFont="1" applyFill="1" applyBorder="1" applyAlignment="1" applyProtection="1">
      <alignment horizontal="center" vertical="center" wrapText="1"/>
    </xf>
    <xf numFmtId="180" fontId="75" fillId="5" borderId="21" xfId="0" applyNumberFormat="1" applyFont="1" applyFill="1" applyBorder="1" applyAlignment="1" applyProtection="1">
      <alignment horizontal="center" vertical="center" wrapText="1"/>
    </xf>
    <xf numFmtId="180"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0"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7" fontId="75" fillId="0" borderId="21" xfId="0" applyNumberFormat="1" applyFont="1" applyFill="1" applyBorder="1" applyAlignment="1" applyProtection="1">
      <alignment horizontal="center" vertical="center" wrapText="1"/>
      <protection locked="0"/>
    </xf>
    <xf numFmtId="177" fontId="75" fillId="5" borderId="21" xfId="0" applyNumberFormat="1" applyFont="1" applyFill="1" applyBorder="1" applyAlignment="1" applyProtection="1">
      <alignment horizontal="center" vertical="center" wrapText="1"/>
    </xf>
    <xf numFmtId="177"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7" fontId="70" fillId="5" borderId="2" xfId="0" applyNumberFormat="1" applyFont="1" applyFill="1" applyBorder="1" applyAlignment="1" applyProtection="1">
      <alignment horizontal="center" vertical="center" wrapText="1"/>
    </xf>
    <xf numFmtId="177" fontId="70" fillId="0" borderId="21" xfId="0" applyNumberFormat="1" applyFont="1" applyFill="1" applyBorder="1" applyAlignment="1" applyProtection="1">
      <alignment horizontal="center" vertical="center" wrapText="1"/>
      <protection locked="0"/>
    </xf>
    <xf numFmtId="177" fontId="70" fillId="5" borderId="21" xfId="0" applyNumberFormat="1" applyFont="1" applyFill="1" applyBorder="1" applyAlignment="1" applyProtection="1">
      <alignment horizontal="center" vertical="center" wrapText="1"/>
    </xf>
    <xf numFmtId="177" fontId="70" fillId="5" borderId="10" xfId="0" applyNumberFormat="1" applyFont="1" applyFill="1" applyBorder="1" applyAlignment="1" applyProtection="1">
      <alignment horizontal="center" vertical="center" wrapText="1"/>
    </xf>
    <xf numFmtId="177" fontId="70" fillId="0" borderId="2" xfId="0" applyNumberFormat="1" applyFont="1" applyBorder="1" applyAlignment="1" applyProtection="1">
      <alignment vertical="center" wrapText="1"/>
      <protection locked="0"/>
    </xf>
    <xf numFmtId="177" fontId="70" fillId="0" borderId="2" xfId="0" applyNumberFormat="1" applyFont="1" applyBorder="1" applyAlignment="1" applyProtection="1">
      <alignment horizontal="center" vertical="center" wrapText="1"/>
      <protection locked="0"/>
    </xf>
    <xf numFmtId="177"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7" fontId="70" fillId="5" borderId="12" xfId="0" applyNumberFormat="1" applyFont="1" applyFill="1" applyBorder="1" applyAlignment="1" applyProtection="1">
      <alignment horizontal="center" vertical="center" wrapText="1"/>
    </xf>
    <xf numFmtId="177"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7"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7"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7"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7"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7"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7" fontId="82" fillId="5" borderId="29" xfId="2" applyNumberFormat="1" applyFont="1" applyFill="1" applyBorder="1" applyAlignment="1" applyProtection="1">
      <alignment horizontal="center" vertical="center"/>
    </xf>
    <xf numFmtId="177"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80"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7"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8"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8" fontId="70" fillId="0" borderId="9" xfId="2" applyNumberFormat="1" applyFont="1" applyFill="1" applyBorder="1" applyAlignment="1" applyProtection="1">
      <alignment vertical="center"/>
      <protection locked="0"/>
    </xf>
    <xf numFmtId="177"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0"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0"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8" fontId="70" fillId="2" borderId="5" xfId="2" applyNumberFormat="1" applyFont="1" applyFill="1" applyBorder="1" applyAlignment="1" applyProtection="1">
      <alignment vertical="center"/>
      <protection locked="0"/>
    </xf>
    <xf numFmtId="180" fontId="83" fillId="5" borderId="2" xfId="2" applyNumberFormat="1" applyFont="1" applyFill="1" applyBorder="1" applyAlignment="1" applyProtection="1">
      <alignment horizontal="center" vertical="center"/>
    </xf>
    <xf numFmtId="181" fontId="83" fillId="5" borderId="2" xfId="2" applyNumberFormat="1" applyFont="1" applyFill="1" applyBorder="1" applyAlignment="1" applyProtection="1">
      <alignment horizontal="center" vertical="center"/>
    </xf>
    <xf numFmtId="182"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80"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2" fontId="70" fillId="0" borderId="2" xfId="0" applyNumberFormat="1" applyFont="1" applyBorder="1" applyAlignment="1" applyProtection="1">
      <alignment vertical="center"/>
      <protection locked="0"/>
    </xf>
    <xf numFmtId="182"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2"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3"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8"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3"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2"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7"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80"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7" fontId="83" fillId="5" borderId="1" xfId="2" applyNumberFormat="1" applyFont="1" applyFill="1" applyBorder="1" applyAlignment="1" applyProtection="1">
      <alignment vertical="center" wrapText="1"/>
    </xf>
    <xf numFmtId="177" fontId="83" fillId="0" borderId="7" xfId="2" applyNumberFormat="1" applyFont="1" applyFill="1" applyBorder="1" applyAlignment="1" applyProtection="1">
      <alignment horizontal="center" vertical="center"/>
      <protection locked="0"/>
    </xf>
    <xf numFmtId="177" fontId="83" fillId="5" borderId="11" xfId="2" applyNumberFormat="1" applyFont="1" applyFill="1" applyBorder="1" applyAlignment="1" applyProtection="1">
      <alignment vertical="center" wrapText="1"/>
    </xf>
    <xf numFmtId="177" fontId="70" fillId="0" borderId="12" xfId="2" applyNumberFormat="1" applyFont="1" applyFill="1" applyBorder="1" applyAlignment="1" applyProtection="1">
      <alignment horizontal="center" vertical="center"/>
      <protection locked="0"/>
    </xf>
    <xf numFmtId="177" fontId="70" fillId="5" borderId="11" xfId="2" applyNumberFormat="1" applyFont="1" applyFill="1" applyBorder="1" applyAlignment="1" applyProtection="1">
      <alignment vertical="center" wrapText="1"/>
    </xf>
    <xf numFmtId="177" fontId="83" fillId="5" borderId="12" xfId="2" applyNumberFormat="1" applyFont="1" applyFill="1" applyBorder="1" applyAlignment="1" applyProtection="1">
      <alignment horizontal="center" vertical="center"/>
    </xf>
    <xf numFmtId="177" fontId="83" fillId="5" borderId="43" xfId="2" applyNumberFormat="1" applyFont="1" applyFill="1" applyBorder="1" applyAlignment="1" applyProtection="1">
      <alignment vertical="center" wrapText="1"/>
    </xf>
    <xf numFmtId="177"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2" fontId="75" fillId="0" borderId="12" xfId="0" applyNumberFormat="1" applyFont="1" applyFill="1" applyBorder="1" applyAlignment="1" applyProtection="1">
      <alignment horizontal="center" vertical="center"/>
      <protection locked="0"/>
    </xf>
    <xf numFmtId="182"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2"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3"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9"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80"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2"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5" fontId="75" fillId="6" borderId="2" xfId="0" applyNumberFormat="1" applyFont="1" applyFill="1" applyBorder="1" applyAlignment="1" applyProtection="1">
      <alignment horizontal="center" vertical="center" wrapText="1"/>
      <protection locked="0"/>
    </xf>
    <xf numFmtId="185"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5" fontId="75" fillId="0" borderId="2" xfId="0" applyNumberFormat="1" applyFont="1" applyFill="1" applyBorder="1" applyAlignment="1" applyProtection="1">
      <alignment horizontal="center"/>
      <protection locked="0"/>
    </xf>
    <xf numFmtId="185" fontId="75"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5"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8" fontId="75" fillId="5" borderId="2" xfId="0" applyNumberFormat="1" applyFont="1" applyFill="1" applyBorder="1" applyAlignment="1" applyProtection="1">
      <alignment horizontal="center" vertical="center"/>
    </xf>
    <xf numFmtId="180" fontId="75" fillId="5" borderId="2" xfId="2" applyNumberFormat="1" applyFont="1" applyFill="1" applyBorder="1" applyAlignment="1" applyProtection="1">
      <alignment horizontal="center"/>
    </xf>
    <xf numFmtId="182"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8" fontId="74" fillId="5" borderId="2" xfId="2" applyNumberFormat="1" applyFont="1" applyFill="1" applyBorder="1" applyAlignment="1" applyProtection="1">
      <alignment horizontal="center"/>
    </xf>
    <xf numFmtId="0" fontId="74" fillId="5" borderId="2" xfId="2" applyFont="1" applyFill="1" applyBorder="1" applyAlignment="1" applyProtection="1"/>
    <xf numFmtId="178"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8" fontId="74" fillId="5" borderId="2" xfId="2" applyNumberFormat="1" applyFont="1" applyFill="1" applyBorder="1" applyAlignment="1" applyProtection="1">
      <alignment vertical="center"/>
    </xf>
    <xf numFmtId="178" fontId="74" fillId="5" borderId="8" xfId="2" applyNumberFormat="1" applyFont="1" applyFill="1" applyBorder="1" applyAlignment="1" applyProtection="1">
      <alignment vertical="center"/>
    </xf>
    <xf numFmtId="178"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178"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8"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6" fontId="74" fillId="5" borderId="2" xfId="0" applyNumberFormat="1" applyFont="1" applyFill="1" applyBorder="1" applyAlignment="1" applyProtection="1">
      <alignment horizontal="right" vertical="center"/>
    </xf>
    <xf numFmtId="178"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8"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5"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4"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4"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178"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2" fontId="75" fillId="5" borderId="51" xfId="0" applyNumberFormat="1" applyFont="1" applyFill="1" applyBorder="1" applyAlignment="1" applyProtection="1">
      <alignment horizontal="center" vertical="center"/>
    </xf>
    <xf numFmtId="182" fontId="84" fillId="5" borderId="10" xfId="0" applyNumberFormat="1" applyFont="1" applyFill="1" applyBorder="1" applyAlignment="1" applyProtection="1">
      <alignment horizontal="center" vertical="center"/>
    </xf>
    <xf numFmtId="182" fontId="75" fillId="5" borderId="12" xfId="0" applyNumberFormat="1" applyFont="1" applyFill="1" applyBorder="1" applyAlignment="1" applyProtection="1">
      <alignment horizontal="center" vertical="center"/>
    </xf>
    <xf numFmtId="182"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2"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2"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0" fillId="5" borderId="57" xfId="0" applyNumberFormat="1" applyFont="1" applyFill="1" applyBorder="1" applyAlignment="1" applyProtection="1">
      <alignment horizontal="center" vertical="center" wrapText="1"/>
    </xf>
    <xf numFmtId="188"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80"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80"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7" fontId="70" fillId="5" borderId="43" xfId="0" applyNumberFormat="1" applyFont="1" applyFill="1" applyBorder="1" applyAlignment="1" applyProtection="1">
      <alignment vertical="center"/>
    </xf>
    <xf numFmtId="177"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0"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6" fillId="5" borderId="10" xfId="3" applyFont="1" applyFill="1" applyBorder="1" applyAlignment="1" applyProtection="1">
      <alignment horizontal="right" vertical="center"/>
    </xf>
    <xf numFmtId="180" fontId="83" fillId="5" borderId="2" xfId="3" applyNumberFormat="1" applyFont="1" applyFill="1" applyBorder="1" applyAlignment="1" applyProtection="1">
      <alignment horizontal="center" vertical="center" wrapText="1"/>
    </xf>
    <xf numFmtId="178"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6"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6"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7"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5"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0"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0"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9" xfId="0" applyNumberFormat="1" applyFont="1" applyFill="1" applyBorder="1" applyAlignment="1" applyProtection="1">
      <alignment horizontal="center" vertical="center" wrapText="1"/>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8" fontId="129" fillId="0" borderId="2" xfId="2" applyNumberFormat="1" applyFont="1" applyFill="1" applyBorder="1" applyAlignment="1" applyProtection="1">
      <alignment vertical="center"/>
      <protection locked="0"/>
    </xf>
    <xf numFmtId="177"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80" fontId="74" fillId="5" borderId="47" xfId="0" applyNumberFormat="1" applyFont="1" applyFill="1" applyBorder="1" applyAlignment="1" applyProtection="1">
      <alignment vertical="center"/>
    </xf>
    <xf numFmtId="180" fontId="74" fillId="5" borderId="44" xfId="0" applyNumberFormat="1" applyFont="1" applyFill="1" applyBorder="1" applyAlignment="1" applyProtection="1">
      <alignment vertical="center"/>
    </xf>
    <xf numFmtId="180"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182"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6" fontId="85" fillId="5" borderId="3" xfId="3" applyNumberFormat="1" applyFont="1" applyFill="1" applyBorder="1" applyAlignment="1" applyProtection="1">
      <alignment horizontal="center" vertical="center" wrapText="1"/>
    </xf>
    <xf numFmtId="186"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2"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16" xfId="0" applyNumberFormat="1" applyFont="1" applyFill="1" applyBorder="1" applyAlignment="1" applyProtection="1">
      <alignment horizontal="center" vertical="center" wrapText="1"/>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9" xfId="0" applyNumberFormat="1" applyFont="1" applyFill="1" applyBorder="1" applyAlignment="1" applyProtection="1">
      <alignment horizontal="center" vertical="center" wrapText="1"/>
    </xf>
    <xf numFmtId="188"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5"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5" fillId="0" borderId="44" xfId="0" applyNumberFormat="1" applyFont="1" applyFill="1" applyBorder="1" applyAlignment="1" applyProtection="1">
      <alignment horizontal="center"/>
      <protection locked="0"/>
    </xf>
    <xf numFmtId="185" fontId="75" fillId="0" borderId="46" xfId="0" applyNumberFormat="1" applyFont="1" applyFill="1" applyBorder="1" applyAlignment="1" applyProtection="1">
      <alignment horizontal="center"/>
      <protection locked="0"/>
    </xf>
    <xf numFmtId="178" fontId="75" fillId="5" borderId="44" xfId="0" applyNumberFormat="1" applyFont="1" applyFill="1" applyBorder="1" applyAlignment="1" applyProtection="1">
      <alignment horizontal="center" vertical="center" wrapText="1"/>
    </xf>
    <xf numFmtId="186"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2"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8"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7"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80"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0"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80"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0"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5"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7" fontId="70" fillId="5" borderId="2" xfId="0" applyNumberFormat="1" applyFont="1" applyFill="1" applyBorder="1" applyProtection="1">
      <alignment vertical="center"/>
    </xf>
    <xf numFmtId="178" fontId="129" fillId="5" borderId="11" xfId="2" applyNumberFormat="1" applyFont="1" applyFill="1" applyBorder="1" applyAlignment="1" applyProtection="1">
      <alignment horizontal="left" vertical="center"/>
    </xf>
    <xf numFmtId="178"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8" fontId="70" fillId="5" borderId="2" xfId="2" applyNumberFormat="1" applyFont="1" applyFill="1" applyBorder="1" applyAlignment="1" applyProtection="1">
      <alignment vertical="center"/>
    </xf>
    <xf numFmtId="178" fontId="70" fillId="5" borderId="5" xfId="2" applyNumberFormat="1" applyFont="1" applyFill="1" applyBorder="1" applyAlignment="1" applyProtection="1">
      <alignment vertical="center"/>
    </xf>
    <xf numFmtId="178" fontId="70" fillId="5" borderId="11" xfId="2" applyNumberFormat="1" applyFont="1" applyFill="1" applyBorder="1" applyAlignment="1" applyProtection="1">
      <alignment horizontal="center" vertical="center"/>
    </xf>
    <xf numFmtId="184" fontId="70" fillId="5" borderId="2" xfId="0" applyNumberFormat="1" applyFont="1" applyFill="1" applyBorder="1" applyAlignment="1" applyProtection="1">
      <alignment horizontal="center" vertical="center"/>
    </xf>
    <xf numFmtId="182" fontId="79" fillId="5" borderId="2" xfId="0" applyNumberFormat="1" applyFont="1" applyFill="1" applyBorder="1" applyAlignment="1" applyProtection="1">
      <alignment horizontal="center" vertical="center"/>
    </xf>
    <xf numFmtId="180" fontId="70" fillId="5" borderId="43" xfId="2" applyNumberFormat="1" applyFont="1" applyFill="1" applyBorder="1" applyAlignment="1" applyProtection="1">
      <alignment horizontal="center" vertical="center"/>
    </xf>
    <xf numFmtId="178"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8"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2" fontId="70" fillId="5" borderId="2" xfId="0" applyNumberFormat="1" applyFont="1" applyFill="1" applyBorder="1" applyAlignment="1" applyProtection="1">
      <alignment vertical="center"/>
    </xf>
    <xf numFmtId="182" fontId="70" fillId="5" borderId="5" xfId="0" applyNumberFormat="1" applyFont="1" applyFill="1" applyBorder="1" applyAlignment="1" applyProtection="1">
      <alignment vertical="center"/>
    </xf>
    <xf numFmtId="182" fontId="70" fillId="5" borderId="12" xfId="0" applyNumberFormat="1" applyFont="1" applyFill="1" applyBorder="1" applyAlignment="1" applyProtection="1">
      <alignment vertical="center"/>
    </xf>
    <xf numFmtId="182" fontId="70" fillId="5" borderId="2" xfId="0" applyNumberFormat="1" applyFont="1" applyFill="1" applyBorder="1" applyAlignment="1" applyProtection="1">
      <alignment horizontal="center" vertical="center"/>
    </xf>
    <xf numFmtId="182"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2"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8"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4"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4" fontId="213" fillId="0" borderId="2" xfId="7" applyNumberFormat="1" applyFont="1" applyFill="1" applyBorder="1" applyAlignment="1">
      <alignment horizontal="right" vertical="center"/>
    </xf>
    <xf numFmtId="184"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4"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2"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8"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8"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8"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8"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8"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2"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2"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182"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5" fontId="156" fillId="12" borderId="120" xfId="10" applyNumberFormat="1" applyFont="1" applyFill="1" applyBorder="1" applyAlignment="1">
      <alignment horizontal="center" vertical="center" wrapText="1"/>
    </xf>
    <xf numFmtId="185"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8" fontId="151" fillId="0" borderId="0" xfId="10" applyNumberFormat="1" applyFont="1">
      <alignment vertical="center"/>
    </xf>
    <xf numFmtId="182" fontId="151" fillId="0" borderId="122" xfId="10" applyNumberFormat="1" applyFont="1" applyBorder="1">
      <alignment vertical="center"/>
    </xf>
    <xf numFmtId="182" fontId="151" fillId="0" borderId="0" xfId="10" applyNumberFormat="1" applyFont="1">
      <alignment vertical="center"/>
    </xf>
    <xf numFmtId="185"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5" fontId="156" fillId="12" borderId="124" xfId="10" applyNumberFormat="1" applyFont="1" applyFill="1" applyBorder="1" applyAlignment="1">
      <alignment horizontal="center" vertical="center" wrapText="1"/>
    </xf>
    <xf numFmtId="185"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5"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8"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5" fontId="156" fillId="12" borderId="130" xfId="10" applyNumberFormat="1" applyFont="1" applyFill="1" applyBorder="1" applyAlignment="1">
      <alignment horizontal="center" vertical="center" wrapText="1"/>
    </xf>
    <xf numFmtId="185" fontId="156" fillId="12" borderId="134" xfId="10" applyNumberFormat="1" applyFont="1" applyFill="1" applyBorder="1" applyAlignment="1">
      <alignment horizontal="center" vertical="center" wrapText="1"/>
    </xf>
    <xf numFmtId="185" fontId="151" fillId="14" borderId="0" xfId="10" applyNumberFormat="1" applyFont="1" applyFill="1" applyAlignment="1">
      <alignment horizontal="center" vertical="center"/>
    </xf>
    <xf numFmtId="185"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8"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9"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9"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1" fontId="151" fillId="0" borderId="0" xfId="10" applyNumberFormat="1" applyFont="1" applyAlignment="1">
      <alignment horizontal="center" vertical="center"/>
    </xf>
    <xf numFmtId="181" fontId="151" fillId="0" borderId="122" xfId="10" applyNumberFormat="1" applyFont="1" applyBorder="1" applyAlignment="1">
      <alignment horizontal="center" vertical="center"/>
    </xf>
    <xf numFmtId="178"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8"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1" fontId="151" fillId="6" borderId="0" xfId="10" applyNumberFormat="1" applyFont="1" applyFill="1" applyAlignment="1">
      <alignment horizontal="center" vertical="center"/>
    </xf>
    <xf numFmtId="0" fontId="151" fillId="6" borderId="122" xfId="10" applyFont="1" applyFill="1" applyBorder="1">
      <alignment vertical="center"/>
    </xf>
    <xf numFmtId="179"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1" fontId="157" fillId="0" borderId="0" xfId="10" applyNumberFormat="1" applyFont="1" applyAlignment="1">
      <alignment horizontal="center" vertical="center"/>
    </xf>
    <xf numFmtId="181"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6"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0" fillId="0" borderId="67" xfId="0" applyNumberFormat="1" applyFont="1" applyFill="1" applyBorder="1" applyAlignment="1" applyProtection="1">
      <alignment horizontal="center" vertical="center" wrapText="1"/>
      <protection locked="0"/>
    </xf>
    <xf numFmtId="179"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5" fontId="242"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9"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9"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8"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5"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5" fontId="75" fillId="0" borderId="2" xfId="0" applyNumberFormat="1" applyFont="1" applyFill="1" applyBorder="1" applyAlignment="1" applyProtection="1">
      <alignment horizontal="center" vertical="center"/>
      <protection locked="0"/>
    </xf>
    <xf numFmtId="185"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5" fontId="75" fillId="0" borderId="44" xfId="0" applyNumberFormat="1" applyFont="1" applyFill="1" applyBorder="1" applyAlignment="1" applyProtection="1">
      <alignment horizontal="center" vertical="center"/>
      <protection locked="0"/>
    </xf>
    <xf numFmtId="185"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2"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8"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8"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6" fontId="75" fillId="5" borderId="9" xfId="0"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8" fontId="75" fillId="5" borderId="56" xfId="2" applyNumberFormat="1" applyFont="1" applyFill="1" applyBorder="1" applyAlignment="1" applyProtection="1">
      <alignment vertical="center"/>
    </xf>
    <xf numFmtId="185"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8" fillId="0" borderId="0" xfId="0" applyNumberFormat="1" applyFont="1" applyAlignment="1" applyProtection="1">
      <alignment horizontal="right" vertical="center" shrinkToFit="1"/>
      <protection locked="0"/>
    </xf>
    <xf numFmtId="0" fontId="250" fillId="0" borderId="0" xfId="0" applyFont="1" applyAlignment="1" applyProtection="1">
      <alignment horizontal="left" vertical="center" wrapText="1"/>
      <protection locked="0"/>
    </xf>
    <xf numFmtId="0" fontId="250"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1"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51" fillId="5" borderId="24" xfId="0" applyFont="1" applyFill="1" applyBorder="1" applyAlignment="1" applyProtection="1">
      <alignment vertical="center" wrapText="1"/>
    </xf>
    <xf numFmtId="184"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2" fillId="5" borderId="0" xfId="4" applyNumberFormat="1" applyFont="1" applyFill="1" applyAlignment="1">
      <alignment horizontal="center"/>
    </xf>
    <xf numFmtId="0" fontId="253" fillId="5" borderId="0" xfId="4" applyFont="1" applyFill="1" applyAlignment="1">
      <alignment horizontal="left"/>
    </xf>
    <xf numFmtId="14" fontId="252" fillId="5" borderId="0" xfId="4" applyNumberFormat="1" applyFont="1" applyFill="1" applyAlignment="1">
      <alignment horizontal="center"/>
    </xf>
    <xf numFmtId="0" fontId="252" fillId="5" borderId="0" xfId="4" applyFont="1" applyFill="1"/>
    <xf numFmtId="0" fontId="252" fillId="0" borderId="0" xfId="4" applyFont="1"/>
    <xf numFmtId="0" fontId="252" fillId="0" borderId="0" xfId="0" applyFont="1" applyAlignment="1"/>
    <xf numFmtId="0" fontId="254" fillId="5" borderId="0" xfId="4" applyFont="1" applyFill="1"/>
    <xf numFmtId="0" fontId="255" fillId="5" borderId="0" xfId="4" applyFont="1" applyFill="1"/>
    <xf numFmtId="0" fontId="254"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4"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7"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80" fontId="258"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1" fontId="213" fillId="0" borderId="2" xfId="7" applyNumberFormat="1" applyFont="1" applyFill="1" applyBorder="1" applyAlignment="1">
      <alignment horizontal="right" vertical="center"/>
    </xf>
    <xf numFmtId="184" fontId="213" fillId="0" borderId="2" xfId="7" applyNumberFormat="1" applyFont="1" applyFill="1" applyBorder="1" applyAlignment="1">
      <alignment horizontal="center" vertical="center"/>
    </xf>
    <xf numFmtId="191"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1" fillId="0" borderId="2" xfId="0" applyNumberFormat="1" applyFont="1" applyFill="1" applyBorder="1" applyAlignment="1" applyProtection="1">
      <alignment horizontal="center" vertical="center"/>
      <protection locked="0"/>
    </xf>
    <xf numFmtId="178"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5"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2"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9" fillId="0" borderId="0" xfId="0" applyFont="1">
      <alignment vertical="center"/>
    </xf>
    <xf numFmtId="0" fontId="261" fillId="5" borderId="2" xfId="14" applyFont="1" applyFill="1" applyBorder="1" applyAlignment="1">
      <alignment horizontal="center" vertical="center" wrapText="1"/>
    </xf>
    <xf numFmtId="0" fontId="261" fillId="0" borderId="0" xfId="14" applyFont="1" applyBorder="1" applyAlignment="1">
      <alignment horizontal="left" vertical="center" wrapText="1"/>
    </xf>
    <xf numFmtId="14" fontId="261" fillId="5" borderId="2" xfId="14" applyNumberFormat="1" applyFont="1" applyFill="1" applyBorder="1" applyAlignment="1">
      <alignment horizontal="center" vertical="center" wrapText="1"/>
    </xf>
    <xf numFmtId="0" fontId="261" fillId="13" borderId="2" xfId="14" applyFont="1" applyFill="1" applyBorder="1" applyAlignment="1" applyProtection="1">
      <alignment horizontal="center" vertical="center" wrapText="1"/>
      <protection locked="0"/>
    </xf>
    <xf numFmtId="0" fontId="261" fillId="5" borderId="10" xfId="14" applyFont="1" applyFill="1" applyBorder="1" applyAlignment="1">
      <alignment horizontal="center" vertical="center" wrapText="1"/>
    </xf>
    <xf numFmtId="0" fontId="261" fillId="0" borderId="2" xfId="14" applyFont="1" applyBorder="1" applyAlignment="1" applyProtection="1">
      <alignment horizontal="left" vertical="center" wrapText="1"/>
      <protection locked="0"/>
    </xf>
    <xf numFmtId="0" fontId="260" fillId="5" borderId="2" xfId="14" applyFill="1" applyBorder="1" applyAlignment="1">
      <alignment vertical="center"/>
    </xf>
    <xf numFmtId="0" fontId="144" fillId="5" borderId="2" xfId="14" applyFont="1" applyFill="1" applyBorder="1" applyAlignment="1">
      <alignment vertical="center"/>
    </xf>
    <xf numFmtId="0" fontId="260"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2" fillId="5" borderId="2" xfId="0" applyFont="1" applyFill="1" applyBorder="1" applyAlignment="1">
      <alignment horizontal="left" vertical="center" wrapText="1"/>
    </xf>
    <xf numFmtId="0" fontId="263" fillId="5" borderId="2" xfId="0" applyFont="1" applyFill="1" applyBorder="1" applyAlignment="1">
      <alignment vertical="center" wrapText="1"/>
    </xf>
    <xf numFmtId="182"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4"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66" fillId="0" borderId="46" xfId="0" applyFont="1" applyBorder="1" applyAlignment="1" applyProtection="1">
      <alignment horizontal="center" vertical="center"/>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182"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49" fontId="272"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42"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240" fillId="12" borderId="123" xfId="10" applyFont="1" applyFill="1" applyBorder="1" applyAlignment="1" applyProtection="1">
      <alignment horizontal="center" vertical="center" wrapText="1"/>
    </xf>
    <xf numFmtId="0" fontId="240" fillId="12" borderId="123" xfId="10" applyFont="1" applyFill="1" applyBorder="1" applyAlignment="1" applyProtection="1">
      <alignment vertical="center" wrapText="1"/>
    </xf>
    <xf numFmtId="0" fontId="240" fillId="12" borderId="152" xfId="10" applyFont="1" applyFill="1" applyBorder="1" applyAlignment="1" applyProtection="1">
      <alignment vertical="center" wrapText="1"/>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34"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42" fillId="16" borderId="0" xfId="13" applyFont="1" applyFill="1" applyBorder="1" applyAlignment="1" applyProtection="1">
      <alignment horizontal="center" vertical="center"/>
      <protection locked="0"/>
    </xf>
    <xf numFmtId="0" fontId="228"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6" fillId="12" borderId="120" xfId="13" applyNumberFormat="1" applyFont="1" applyFill="1" applyBorder="1" applyAlignment="1">
      <alignment horizontal="center" vertical="center" wrapText="1"/>
    </xf>
    <xf numFmtId="185"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3"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8" fillId="5" borderId="59" xfId="0" applyFont="1" applyFill="1" applyBorder="1" applyAlignment="1" applyProtection="1">
      <alignment horizontal="left" vertical="center" wrapText="1"/>
    </xf>
    <xf numFmtId="0" fontId="218"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8"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8"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43" fillId="0" borderId="6" xfId="0" applyNumberFormat="1" applyFont="1" applyFill="1" applyBorder="1" applyAlignment="1" applyProtection="1">
      <alignment horizontal="center" vertical="center" wrapText="1"/>
      <protection locked="0"/>
    </xf>
    <xf numFmtId="195" fontId="152" fillId="0" borderId="12" xfId="0" applyNumberFormat="1" applyFont="1" applyFill="1" applyBorder="1" applyAlignment="1" applyProtection="1">
      <alignment horizontal="center" vertical="center"/>
      <protection locked="0"/>
    </xf>
    <xf numFmtId="0" fontId="166" fillId="0" borderId="0" xfId="0" applyFont="1" applyAlignment="1" applyProtection="1">
      <alignment horizontal="center" vertical="center"/>
      <protection locked="0"/>
    </xf>
    <xf numFmtId="0" fontId="80" fillId="0" borderId="59"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182" fontId="152" fillId="6" borderId="9" xfId="0" applyNumberFormat="1" applyFont="1" applyFill="1" applyBorder="1" applyAlignment="1" applyProtection="1">
      <alignment vertical="center"/>
    </xf>
    <xf numFmtId="0" fontId="85" fillId="8" borderId="25" xfId="2" applyNumberFormat="1" applyFont="1" applyFill="1" applyBorder="1" applyAlignment="1" applyProtection="1">
      <alignment horizontal="center" vertical="center"/>
      <protection locked="0"/>
    </xf>
    <xf numFmtId="0" fontId="163" fillId="0" borderId="0" xfId="0" applyFont="1" applyAlignment="1"/>
    <xf numFmtId="0" fontId="163" fillId="6" borderId="0" xfId="0" applyFont="1" applyFill="1" applyAlignment="1"/>
    <xf numFmtId="0" fontId="152" fillId="6" borderId="1" xfId="0" applyNumberFormat="1" applyFont="1" applyFill="1" applyBorder="1" applyAlignment="1" applyProtection="1">
      <alignment horizontal="center" vertical="center" wrapText="1"/>
      <protection locked="0"/>
    </xf>
    <xf numFmtId="0" fontId="152" fillId="6" borderId="7" xfId="0" applyNumberFormat="1" applyFont="1" applyFill="1" applyBorder="1" applyAlignment="1" applyProtection="1">
      <alignment horizontal="center" vertical="center" wrapText="1"/>
    </xf>
    <xf numFmtId="0" fontId="152" fillId="6" borderId="6"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44" fillId="0" borderId="0" xfId="0" applyFont="1">
      <alignment vertical="center"/>
    </xf>
    <xf numFmtId="0" fontId="163" fillId="0" borderId="0" xfId="0" applyFont="1" applyFill="1" applyAlignment="1"/>
    <xf numFmtId="0" fontId="184"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84" fillId="5" borderId="61" xfId="0" applyFont="1" applyFill="1" applyBorder="1" applyAlignment="1" applyProtection="1">
      <alignment horizontal="center" vertical="center"/>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5"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0" fontId="265"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126" fillId="0" borderId="2" xfId="0" applyFont="1" applyBorder="1" applyAlignment="1"/>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265" fillId="0" borderId="32" xfId="0" applyFont="1" applyFill="1" applyBorder="1" applyAlignment="1" applyProtection="1">
      <alignment horizontal="center" vertical="center" wrapText="1"/>
      <protection locked="0"/>
    </xf>
    <xf numFmtId="0" fontId="265" fillId="0" borderId="9" xfId="0" applyFont="1" applyFill="1" applyBorder="1" applyAlignment="1" applyProtection="1">
      <alignment horizontal="center" vertical="center" wrapText="1"/>
      <protection locked="0"/>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266" fillId="0" borderId="43"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85" customWidth="1"/>
    <col min="2" max="2" width="78.21875" style="2886" customWidth="1"/>
    <col min="3" max="18" width="9" style="2880"/>
    <col min="19" max="19" width="17.88671875" style="2880" customWidth="1"/>
    <col min="20" max="51" width="9" style="2880"/>
    <col min="52" max="52" width="13.21875" style="2880" customWidth="1"/>
    <col min="53" max="53" width="13.44140625" style="2880" bestFit="1" customWidth="1"/>
    <col min="54" max="54" width="11.6640625" style="2880" bestFit="1" customWidth="1"/>
    <col min="55" max="55" width="13.44140625" style="2880" bestFit="1" customWidth="1"/>
    <col min="56" max="16384" width="9" style="2880"/>
  </cols>
  <sheetData>
    <row r="1" spans="1:55" s="2891" customFormat="1" ht="16.2" thickBot="1">
      <c r="A1" s="2889" t="s">
        <v>2618</v>
      </c>
      <c r="B1" s="2890" t="s">
        <v>2715</v>
      </c>
    </row>
    <row r="2" spans="1:55" s="2894" customFormat="1" ht="16.2" thickTop="1">
      <c r="A2" s="2892" t="s">
        <v>2622</v>
      </c>
      <c r="B2" s="2893" t="str">
        <f>'预评函-封皮'!B37</f>
        <v>三亚吉阳区人民街出让国有建设用地使用权抵押价格预评估</v>
      </c>
      <c r="AX2" s="2895"/>
      <c r="AZ2" s="2895"/>
      <c r="BA2" s="2896"/>
      <c r="BC2" s="2896"/>
    </row>
    <row r="3" spans="1:55" s="2897" customFormat="1">
      <c r="A3" s="2876" t="s">
        <v>2623</v>
      </c>
      <c r="B3" s="2879">
        <f>'预评函-封皮'!B40</f>
        <v>0</v>
      </c>
    </row>
    <row r="4" spans="1:55" s="2878" customFormat="1">
      <c r="A4" s="2876" t="s">
        <v>2624</v>
      </c>
      <c r="B4" s="2877" t="str">
        <f>'预评函-封皮'!B46</f>
        <v>王鹏、崔锴</v>
      </c>
      <c r="N4" s="2878" t="str">
        <f>'预评函-1'!A28</f>
        <v/>
      </c>
    </row>
    <row r="5" spans="1:55" s="2891" customFormat="1" ht="16.2" thickBot="1">
      <c r="A5" s="2898" t="s">
        <v>2625</v>
      </c>
      <c r="B5" s="2899" t="str">
        <f>'预评函-封皮'!B49</f>
        <v>康正预评字2018-1-0856-P04DYGJ1号</v>
      </c>
    </row>
    <row r="6" spans="1:55" s="2900" customFormat="1" ht="16.2" thickTop="1">
      <c r="A6" s="2892" t="s">
        <v>2667</v>
      </c>
      <c r="B6" s="2893" t="str">
        <f>'预评函-1'!A4</f>
        <v>受贵公司委托，我公司对三亚吉阳区人民街出让国有建设用地使用权抵押价格进行了预评估。</v>
      </c>
      <c r="AM6" s="2901"/>
    </row>
    <row r="7" spans="1:55" s="2875" customFormat="1">
      <c r="A7" s="2876" t="s">
        <v>2619</v>
      </c>
      <c r="B7" s="2877" t="str">
        <f>'预评函-1'!A6</f>
        <v>估价对象为使用的、位于三亚吉阳区人民街出让国有建设用地使用权。根据《国有土地使用证》，估价对象（分摊）出让国有建设用地使用权面积为7409.7平方米。根据《出让合同》，估价对象规划建筑面积为21457.6平方米。</v>
      </c>
    </row>
    <row r="8" spans="1:55" s="2875" customFormat="1">
      <c r="A8" s="2876" t="s">
        <v>2620</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2670</v>
      </c>
      <c r="B9" s="2877" t="str">
        <f>'预评函-1'!A9</f>
        <v>拟使用三亚吉阳区人民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75" customFormat="1">
      <c r="A10" s="2876" t="s">
        <v>2621</v>
      </c>
      <c r="B10" s="2877" t="str">
        <f>'预评函-1'!A11</f>
        <v>2018年12月24日（评估专业人员勘察现场之日）</v>
      </c>
    </row>
    <row r="11" spans="1:55" s="2875" customFormat="1">
      <c r="A11" s="2876" t="s">
        <v>2627</v>
      </c>
      <c r="B11" s="2877" t="str">
        <f>'预评函-1'!A14</f>
        <v>根据，本次评估估价对象证载（地类）用途为。</v>
      </c>
    </row>
    <row r="12" spans="1:55" s="2875" customFormat="1">
      <c r="A12" s="2876" t="s">
        <v>2628</v>
      </c>
      <c r="B12" s="2877" t="str">
        <f>'预评函-1'!A15</f>
        <v>本次评估设定用途即为证载用途。</v>
      </c>
    </row>
    <row r="13" spans="1:55" s="2875" customFormat="1">
      <c r="A13" s="2876" t="s">
        <v>2629</v>
      </c>
      <c r="B13" s="2877" t="str">
        <f>'预评函-1'!A17</f>
        <v>根据委托估价方介绍及评估专业人员现场勘查，本次评估估价对象实际土地开发程度为红线外市政基础设施达“七通”（即通路、通电、通讯、通上水、通上水、通下水、燃气）、宗地红线内场地平整。</v>
      </c>
    </row>
    <row r="14" spans="1:55" s="2875" customFormat="1">
      <c r="A14" s="2876" t="s">
        <v>2630</v>
      </c>
      <c r="B14" s="2877" t="str">
        <f>'预评函-1'!A18</f>
        <v>本次评估设定土地开发程度为红线外市政基础设施达“七通”、宗地红线内场地平整。</v>
      </c>
    </row>
    <row r="15" spans="1:55" s="2875" customFormat="1">
      <c r="A15" s="2876" t="s">
        <v>2626</v>
      </c>
      <c r="B15" s="2877" t="str">
        <f>'预评函-1'!A20</f>
        <v>根据《国有土地使用证》，估价对象（分摊）出让国有建设用地使用权面积为7409.7平方米。根据《出让合同》，估价对象规划建筑面积为21457.6平方米。</v>
      </c>
    </row>
    <row r="16" spans="1:55" s="2875" customFormat="1">
      <c r="A16" s="2876" t="s">
        <v>2631</v>
      </c>
      <c r="B16" s="2877" t="str">
        <f>'预评函-1'!A22</f>
        <v>本次估价对象为出让国有建设用地使用权，证载土地终止日期为商业2064年5月26日。截至估价期日，出让国有建设用地使用权剩余土地使用年限为。</v>
      </c>
    </row>
    <row r="17" spans="1:48" s="2875" customFormat="1">
      <c r="A17" s="2876" t="s">
        <v>2632</v>
      </c>
      <c r="B17" s="2877" t="str">
        <f>'预评函-1'!A23</f>
        <v>本次评估设定估价对象剩余土地使用年限为。</v>
      </c>
    </row>
    <row r="18" spans="1:48" s="2875" customFormat="1">
      <c r="A18" s="2876" t="s">
        <v>2633</v>
      </c>
      <c r="B18" s="2877" t="str">
        <f>'预评函-1'!A25</f>
        <v>本次估价的“出让国有建设用地使用权价格”是指在估价对象土地所有权为国家所有，使用权性质为出让，在公开市场条件下、于估价期日2018年12月24日，在规划利用条件下、设定土地开发程度为红线外“七通”、宗地内场地平整，设定用途为，剩余土地使用年限为的出让国有建设用地使用权价格。</v>
      </c>
    </row>
    <row r="19" spans="1:48" s="2875" customFormat="1">
      <c r="A19" s="2876" t="s">
        <v>2634</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2635</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6.2" thickBot="1">
      <c r="A21" s="2898" t="s">
        <v>2636</v>
      </c>
      <c r="B21" s="2899" t="str">
        <f>'预评函-1'!A28</f>
        <v/>
      </c>
    </row>
    <row r="22" spans="1:48" ht="16.2" thickTop="1">
      <c r="A22" s="2887" t="s">
        <v>2637</v>
      </c>
      <c r="B22" s="2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6" t="s">
        <v>2638</v>
      </c>
      <c r="B23" s="2877" t="str">
        <f>'预评函-2'!K2</f>
        <v>估价期日：2018年12月24日</v>
      </c>
    </row>
    <row r="24" spans="1:48">
      <c r="A24" s="2876" t="s">
        <v>2639</v>
      </c>
      <c r="B24" s="2877" t="str">
        <f>'预评函-2'!R2</f>
        <v>估价期日的国有建设用地使用权性质：出让</v>
      </c>
    </row>
    <row r="25" spans="1:48">
      <c r="A25" s="2876" t="s">
        <v>2695</v>
      </c>
      <c r="B25" s="2877" t="str">
        <f>'预评函-2'!A3</f>
        <v>估价期日土地使用者</v>
      </c>
    </row>
    <row r="26" spans="1:48">
      <c r="A26" s="2876" t="s">
        <v>2671</v>
      </c>
      <c r="B26" s="2877" t="str">
        <f>'预评函-2'!A5</f>
        <v>中信开发</v>
      </c>
    </row>
    <row r="27" spans="1:48">
      <c r="A27" s="2876" t="s">
        <v>2696</v>
      </c>
      <c r="B27" s="2877" t="str">
        <f>'预评函-2'!B3</f>
        <v>宗地编号/不动产单元号</v>
      </c>
    </row>
    <row r="28" spans="1:48">
      <c r="A28" s="2876" t="s">
        <v>2672</v>
      </c>
      <c r="B28" s="2877" t="str">
        <f>'预评函-2'!B5</f>
        <v>11111111111</v>
      </c>
    </row>
    <row r="29" spans="1:48">
      <c r="A29" s="2876" t="s">
        <v>2698</v>
      </c>
      <c r="B29" s="2877">
        <f>'预评函-2'!C5</f>
        <v>22</v>
      </c>
    </row>
    <row r="30" spans="1:48">
      <c r="A30" s="2876" t="s">
        <v>2699</v>
      </c>
      <c r="B30" s="2877" t="str">
        <f>'预评函-2'!D3</f>
        <v>土地使用证编号/不动产权证书编号</v>
      </c>
    </row>
    <row r="31" spans="1:48">
      <c r="A31" s="2876" t="s">
        <v>2673</v>
      </c>
      <c r="B31" s="2877" t="str">
        <f>'预评函-2'!D5</f>
        <v>京国土字第111号</v>
      </c>
    </row>
    <row r="32" spans="1:48">
      <c r="A32" s="2876" t="s">
        <v>2674</v>
      </c>
      <c r="B32" s="2877">
        <f>'预评函-2'!E5</f>
        <v>0</v>
      </c>
      <c r="AV32" s="2881"/>
    </row>
    <row r="33" spans="1:2">
      <c r="A33" s="2876" t="s">
        <v>2675</v>
      </c>
      <c r="B33" s="2877">
        <f>'预评函-2'!F5</f>
        <v>258</v>
      </c>
    </row>
    <row r="34" spans="1:2">
      <c r="A34" s="2876" t="s">
        <v>2676</v>
      </c>
      <c r="B34" s="2877">
        <f>'预评函-2'!G5</f>
        <v>0</v>
      </c>
    </row>
    <row r="35" spans="1:2">
      <c r="A35" s="2876" t="s">
        <v>2677</v>
      </c>
      <c r="B35" s="2877">
        <f>'预评函-2'!H5</f>
        <v>1.5</v>
      </c>
    </row>
    <row r="36" spans="1:2">
      <c r="A36" s="2876" t="s">
        <v>2678</v>
      </c>
      <c r="B36" s="2877">
        <f>'预评函-2'!I5</f>
        <v>1.5</v>
      </c>
    </row>
    <row r="37" spans="1:2">
      <c r="A37" s="2876" t="s">
        <v>2679</v>
      </c>
      <c r="B37" s="2877">
        <f>'预评函-2'!J5</f>
        <v>1.5</v>
      </c>
    </row>
    <row r="38" spans="1:2">
      <c r="A38" s="2876" t="s">
        <v>2680</v>
      </c>
      <c r="B38" s="2877" t="str">
        <f>'预评函-2'!K5</f>
        <v>红线外七通、宗地红线内场地平整</v>
      </c>
    </row>
    <row r="39" spans="1:2">
      <c r="A39" s="2876" t="s">
        <v>2681</v>
      </c>
      <c r="B39" s="2877" t="str">
        <f>'预评函-2'!L5</f>
        <v>红线外七通、宗地红线内场地平整</v>
      </c>
    </row>
    <row r="40" spans="1:2">
      <c r="A40" s="2876" t="s">
        <v>2700</v>
      </c>
      <c r="B40" s="2877" t="str">
        <f>'预评函-2'!M3</f>
        <v>（剩余）土地使用年限/年</v>
      </c>
    </row>
    <row r="41" spans="1:2">
      <c r="A41" s="2876" t="s">
        <v>2682</v>
      </c>
      <c r="B41" s="2877">
        <f>'预评函-2'!M5</f>
        <v>0</v>
      </c>
    </row>
    <row r="42" spans="1:2">
      <c r="A42" s="2876" t="s">
        <v>2701</v>
      </c>
      <c r="B42" s="2877" t="str">
        <f>'预评函-2'!N3</f>
        <v>（分摊）出让国有建设用地使用权面积/㎡</v>
      </c>
    </row>
    <row r="43" spans="1:2">
      <c r="A43" s="2876" t="s">
        <v>2683</v>
      </c>
      <c r="B43" s="2877">
        <f>'预评函-2'!N5</f>
        <v>7409.7</v>
      </c>
    </row>
    <row r="44" spans="1:2">
      <c r="A44" s="2876" t="s">
        <v>2702</v>
      </c>
      <c r="B44" s="2877" t="str">
        <f>'预评函-2'!O3</f>
        <v>规划建筑面积/㎡</v>
      </c>
    </row>
    <row r="45" spans="1:2">
      <c r="A45" s="2876" t="s">
        <v>2684</v>
      </c>
      <c r="B45" s="2877">
        <f>'预评函-2'!O5</f>
        <v>21457.599999999999</v>
      </c>
    </row>
    <row r="46" spans="1:2">
      <c r="A46" s="2876" t="s">
        <v>2685</v>
      </c>
      <c r="B46" s="2877">
        <f ca="1">'预评函-2'!P5</f>
        <v>6941</v>
      </c>
    </row>
    <row r="47" spans="1:2">
      <c r="A47" s="2876" t="s">
        <v>2686</v>
      </c>
      <c r="B47" s="2877">
        <f ca="1">'预评函-2'!Q5</f>
        <v>2397</v>
      </c>
    </row>
    <row r="48" spans="1:2">
      <c r="A48" s="2876" t="s">
        <v>2687</v>
      </c>
      <c r="B48" s="2877">
        <f ca="1">'预评函-2'!R5</f>
        <v>5143</v>
      </c>
    </row>
    <row r="49" spans="1:2">
      <c r="A49" s="2876" t="s">
        <v>2703</v>
      </c>
      <c r="B49" s="2877" t="str">
        <f>'预评函-2'!A6</f>
        <v>抵押价格</v>
      </c>
    </row>
    <row r="50" spans="1:2">
      <c r="A50" s="2876" t="s">
        <v>2688</v>
      </c>
      <c r="B50" s="2877">
        <f ca="1">'预评函-2'!R6</f>
        <v>5143</v>
      </c>
    </row>
    <row r="51" spans="1:2">
      <c r="A51" s="2876" t="s">
        <v>2704</v>
      </c>
      <c r="B51" s="2877" t="str">
        <f>'预评函-2'!A7</f>
        <v>——</v>
      </c>
    </row>
    <row r="52" spans="1:2">
      <c r="A52" s="2876" t="s">
        <v>2689</v>
      </c>
      <c r="B52" s="2877" t="str">
        <f>'预评函-2'!R7</f>
        <v>——</v>
      </c>
    </row>
    <row r="53" spans="1:2">
      <c r="A53" s="2876" t="s">
        <v>2705</v>
      </c>
      <c r="B53" s="2877" t="str">
        <f>'预评函-2'!A8</f>
        <v>——</v>
      </c>
    </row>
    <row r="54" spans="1:2" s="2891" customFormat="1" ht="16.2" thickBot="1">
      <c r="A54" s="2898" t="s">
        <v>2690</v>
      </c>
      <c r="B54" s="2899" t="str">
        <f>'预评函-2'!R8</f>
        <v>——</v>
      </c>
    </row>
    <row r="55" spans="1:2" ht="16.2" thickTop="1">
      <c r="A55" s="2887" t="s">
        <v>2640</v>
      </c>
      <c r="B55" s="2888" t="str">
        <f>'预评函-3'!A2</f>
        <v>1.权利限制：根据估价对象《不动产权证书》复印件、《国有土地使用权》复印件，截至估价期日，估价对象抵押权未见登记。未设定租赁等其他他项权利。</v>
      </c>
    </row>
    <row r="56" spans="1:2">
      <c r="A56" s="2876" t="s">
        <v>2641</v>
      </c>
      <c r="B56" s="2877" t="str">
        <f>'预评函-3'!A3</f>
        <v>2.基础设施条件：估价对象实际开发程度为红线外七通、宗地红线内场地平整；本次评估设定开发程度为红线外七通、宗地红线内场地平整。</v>
      </c>
    </row>
    <row r="57" spans="1:2">
      <c r="A57" s="2876" t="s">
        <v>2642</v>
      </c>
      <c r="B57" s="2877" t="str">
        <f>'预评函-3'!A4</f>
        <v>3.估价规划限制条件：详见《出让合同》。</v>
      </c>
    </row>
    <row r="58" spans="1:2" s="2891" customFormat="1" ht="16.2" thickBot="1">
      <c r="A58" s="2898" t="s">
        <v>2691</v>
      </c>
      <c r="B58" s="2899" t="str">
        <f>'预评函-3'!A5</f>
        <v>4.影响价格的其他限定条件：无。</v>
      </c>
    </row>
    <row r="59" spans="1:2" ht="16.2" thickTop="1">
      <c r="A59" s="2887" t="s">
        <v>2643</v>
      </c>
      <c r="B59" s="2888" t="str">
        <f>'预评函-3'!A8</f>
        <v>2.本《评估意见函》仅供金融机构进行内部审核使用，不做其他目的之用。</v>
      </c>
    </row>
    <row r="60" spans="1:2">
      <c r="A60" s="2876" t="s">
        <v>2644</v>
      </c>
      <c r="B60" s="2877" t="str">
        <f>'预评函-3'!A9</f>
        <v>3.抵押双方在办理抵押登记手续时，应使用本公司出具的正式《土地估价报告》，特提请报告使用者注意。</v>
      </c>
    </row>
    <row r="61" spans="1:2">
      <c r="A61" s="2876" t="s">
        <v>2646</v>
      </c>
      <c r="B61" s="2877" t="str">
        <f>'预评函-3'!A10</f>
        <v>4.估价师所知悉的法定优先受偿款情况为：</v>
      </c>
    </row>
    <row r="62" spans="1:2">
      <c r="A62" s="2876" t="s">
        <v>2645</v>
      </c>
      <c r="B62" s="2877" t="str">
        <f>'预评函-3'!A11</f>
        <v>（1）根据估价对象《不动产权证书》复印件、《国有土地使用权》复印件，截至估价期日，估价对象抵押权未见登记。</v>
      </c>
    </row>
    <row r="63" spans="1:2">
      <c r="A63" s="2876" t="s">
        <v>2647</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2648</v>
      </c>
      <c r="B64" s="2882" t="str">
        <f>'预评函-3'!A13</f>
        <v>（3）。</v>
      </c>
    </row>
    <row r="65" spans="1:2">
      <c r="A65" s="2876" t="s">
        <v>2649</v>
      </c>
      <c r="B65" s="2883" t="str">
        <f>'预评函-3'!A14</f>
        <v>综上，本次评估不存在估价师知悉的法定优先受偿款</v>
      </c>
    </row>
    <row r="66" spans="1:2">
      <c r="A66" s="2876" t="s">
        <v>2650</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2651</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6.2" thickBot="1">
      <c r="A68" s="2898" t="s">
        <v>2654</v>
      </c>
      <c r="B68" s="2902">
        <f>'预评函-3'!D30</f>
        <v>42558</v>
      </c>
    </row>
    <row r="69" spans="1:2" ht="16.2" thickTop="1">
      <c r="A69" s="2887" t="s">
        <v>2652</v>
      </c>
      <c r="B69" s="2888" t="str">
        <f>'预评函-3'!A20</f>
        <v>王鹏</v>
      </c>
    </row>
    <row r="70" spans="1:2">
      <c r="A70" s="2876" t="s">
        <v>2652</v>
      </c>
      <c r="B70" s="2883">
        <f ca="1">'预评函-3'!B20</f>
        <v>2002110030</v>
      </c>
    </row>
    <row r="71" spans="1:2">
      <c r="A71" s="2876" t="s">
        <v>2653</v>
      </c>
      <c r="B71" s="2877" t="str">
        <f>'预评函-3'!A21</f>
        <v>崔锴</v>
      </c>
    </row>
    <row r="72" spans="1:2" s="2891" customFormat="1" ht="16.2" thickBot="1">
      <c r="A72" s="2898" t="s">
        <v>2653</v>
      </c>
      <c r="B72" s="2904">
        <f ca="1">'预评函-3'!B21</f>
        <v>2010110070</v>
      </c>
    </row>
    <row r="73" spans="1:2" ht="16.2" thickTop="1">
      <c r="A73" s="2887" t="s">
        <v>2712</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2713</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6.2" thickBot="1">
      <c r="A75" s="2898" t="s">
        <v>2714</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85" t="s">
        <v>2749</v>
      </c>
      <c r="B76" s="2886" t="str">
        <f>'预评函-3'!A25</f>
        <v>XX</v>
      </c>
    </row>
  </sheetData>
  <sheetProtection sheet="1" objects="1" scenarios="1"/>
  <phoneticPr fontId="2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4.4"/>
  <cols>
    <col min="1" max="1" width="3.44140625" style="1653" customWidth="1"/>
    <col min="2" max="2" width="10.77734375" style="1653" customWidth="1"/>
    <col min="3" max="4" width="11.6640625" style="1653" customWidth="1"/>
    <col min="5" max="5" width="6.6640625" style="1653" customWidth="1"/>
    <col min="6" max="16384" width="9" style="1653"/>
  </cols>
  <sheetData>
    <row r="36" spans="1:9">
      <c r="A36" s="1652" t="s">
        <v>1863</v>
      </c>
      <c r="B36" s="1652" t="s">
        <v>1864</v>
      </c>
    </row>
    <row r="37" spans="1:9" ht="28.5" customHeight="1">
      <c r="A37" s="1652"/>
      <c r="B37" s="3194" t="str">
        <f>项目基本情况!B1</f>
        <v>三亚吉阳区人民街出让国有建设用地使用权抵押价格预评估</v>
      </c>
      <c r="C37" s="3194"/>
      <c r="D37" s="3194"/>
      <c r="E37" s="3194"/>
      <c r="F37" s="3194"/>
      <c r="G37" s="3194"/>
      <c r="H37" s="3194"/>
      <c r="I37" s="3194"/>
    </row>
    <row r="38" spans="1:9">
      <c r="A38" s="1654"/>
      <c r="B38" s="1654"/>
    </row>
    <row r="39" spans="1:9">
      <c r="A39" s="1652" t="s">
        <v>1863</v>
      </c>
      <c r="B39" s="1652" t="s">
        <v>2008</v>
      </c>
    </row>
    <row r="40" spans="1:9">
      <c r="A40" s="1652"/>
      <c r="B40" s="1652">
        <f>项目基本情况!B5</f>
        <v>0</v>
      </c>
    </row>
    <row r="41" spans="1:9">
      <c r="A41" s="1652"/>
      <c r="B41" s="1652"/>
    </row>
    <row r="42" spans="1:9">
      <c r="A42" s="1652" t="s">
        <v>1863</v>
      </c>
      <c r="B42" s="1652" t="s">
        <v>2009</v>
      </c>
    </row>
    <row r="43" spans="1:9">
      <c r="A43" s="1652"/>
      <c r="B43" s="1652" t="s">
        <v>1865</v>
      </c>
    </row>
    <row r="44" spans="1:9">
      <c r="A44" s="1652"/>
      <c r="B44" s="1652"/>
    </row>
    <row r="45" spans="1:9">
      <c r="A45" s="1652" t="s">
        <v>1863</v>
      </c>
      <c r="B45" s="1652" t="s">
        <v>2007</v>
      </c>
    </row>
    <row r="46" spans="1:9" s="1652" customFormat="1">
      <c r="B46" s="1652" t="str">
        <f>项目基本情况!K4</f>
        <v>王鹏、崔锴</v>
      </c>
    </row>
    <row r="47" spans="1:9">
      <c r="A47" s="1652"/>
      <c r="B47" s="1652"/>
    </row>
    <row r="48" spans="1:9">
      <c r="A48" s="1652" t="s">
        <v>1863</v>
      </c>
      <c r="B48" s="1652" t="s">
        <v>2010</v>
      </c>
    </row>
    <row r="49" spans="2:2">
      <c r="B49" s="1652" t="str">
        <f>"康正预评字"&amp;项目基本情况!B2&amp;"号"</f>
        <v>康正预评字2018-1-0856-P04DYGJ1号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7" customWidth="1"/>
    <col min="2" max="2" width="9" style="1777"/>
    <col min="3" max="4" width="9.6640625" style="1777" customWidth="1"/>
    <col min="5" max="16384" width="9" style="1777"/>
  </cols>
  <sheetData>
    <row r="1" spans="1:4" ht="22.2">
      <c r="A1" s="1776" t="s">
        <v>1866</v>
      </c>
    </row>
    <row r="2" spans="1:4">
      <c r="A2" s="1778"/>
    </row>
    <row r="3" spans="1:4" ht="17.399999999999999">
      <c r="A3" s="1796" t="str">
        <f>项目基本情况!B5&amp;"："</f>
        <v>：</v>
      </c>
    </row>
    <row r="4" spans="1:4" ht="34.799999999999997">
      <c r="A4" s="1790" t="str">
        <f>"受贵公司委托，我公司对"&amp;项目基本情况!K2&amp;项目基本情况!B9&amp;"进行了预评估。"</f>
        <v>受贵公司委托，我公司对三亚吉阳区人民街出让国有建设用地使用权抵押价格进行了预评估。</v>
      </c>
    </row>
    <row r="5" spans="1:4" ht="17.399999999999999">
      <c r="A5" s="1793" t="s">
        <v>1867</v>
      </c>
    </row>
    <row r="6" spans="1:4" ht="69.599999999999994">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三亚吉阳区人民街出让国有建设用地使用权。根据《国有土地使用证》，估价对象（分摊）出让国有建设用地使用权面积为7409.7平方米。根据《出让合同》，估价对象规划建筑面积为21457.6平方米。</v>
      </c>
    </row>
    <row r="7" spans="1:4" ht="52.2">
      <c r="A7" s="1794" t="s">
        <v>2709</v>
      </c>
    </row>
    <row r="8" spans="1:4" ht="17.399999999999999">
      <c r="A8" s="1793" t="s">
        <v>1868</v>
      </c>
    </row>
    <row r="9" spans="1:4" ht="69.599999999999994">
      <c r="A9" s="1795" t="str">
        <f>IF(项目基本情况!B8="抵押",IF(项目基本情况!B5=项目基本情况!B6,定义!C51,定义!B51),定义!D51)</f>
        <v>拟使用三亚吉阳区人民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96" t="s">
        <v>1988</v>
      </c>
    </row>
    <row r="11" spans="1:4" ht="17.399999999999999">
      <c r="A11" s="1779" t="str">
        <f>TEXT(项目基本情况!D3,"yyyy年m月d日;;")&amp;IF(项目基本情况!B3=项目基本情况!D3,"（评估专业人员勘察现场之日）","")</f>
        <v>2018年12月24日（评估专业人员勘察现场之日）</v>
      </c>
    </row>
    <row r="12" spans="1:4" ht="17.399999999999999">
      <c r="A12" s="1796" t="s">
        <v>1987</v>
      </c>
    </row>
    <row r="13" spans="1:4" ht="17.399999999999999">
      <c r="A13" s="1790" t="s">
        <v>2903</v>
      </c>
    </row>
    <row r="14" spans="1:4" ht="17.399999999999999">
      <c r="A14" s="1790" t="str">
        <f>"根据"&amp;项目基本情况!F12&amp;"，本次评估估价对象证载（地类）用途为"&amp;项目基本情况!B12&amp;"。"</f>
        <v>根据，本次评估估价对象证载（地类）用途为。</v>
      </c>
      <c r="C14" s="1780"/>
      <c r="D14" s="1781"/>
    </row>
    <row r="15" spans="1:4" ht="17.399999999999999">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7.399999999999999">
      <c r="A16" s="1790" t="s">
        <v>2034</v>
      </c>
    </row>
    <row r="17" spans="1:1" ht="52.2">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根据委托估价方介绍及评估专业人员现场勘查，本次评估估价对象实际土地开发程度为红线外市政基础设施达“七通”（即通路、通电、通讯、通上水、通上水、通下水、燃气）、宗地红线内场地平整。</v>
      </c>
    </row>
    <row r="18" spans="1:1" ht="34.799999999999997">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90" t="s">
        <v>2035</v>
      </c>
    </row>
    <row r="20" spans="1:1" ht="52.2">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根据《国有土地使用证》，估价对象（分摊）出让国有建设用地使用权面积为7409.7平方米。根据《出让合同》，估价对象规划建筑面积为21457.6平方米。</v>
      </c>
    </row>
    <row r="21" spans="1:1" ht="17.399999999999999">
      <c r="A21" s="1790" t="s">
        <v>2036</v>
      </c>
    </row>
    <row r="22" spans="1:1" ht="52.2">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本次估价对象为出让国有建设用地使用权，证载土地终止日期为商业2064年5月26日。截至估价期日，出让国有建设用地使用权剩余土地使用年限为。</v>
      </c>
    </row>
    <row r="23" spans="1:1" ht="17.399999999999999">
      <c r="A23" s="1790" t="str">
        <f>IF(项目基本情况!B16="出让","本次评估设定估价对象剩余土地使用年限为"&amp;项目基本情况!D20&amp;"。","")</f>
        <v>本次评估设定估价对象剩余土地使用年限为。</v>
      </c>
    </row>
    <row r="24" spans="1:1" ht="17.399999999999999">
      <c r="A24" s="1790" t="s">
        <v>2037</v>
      </c>
    </row>
    <row r="25" spans="1:1" ht="87">
      <c r="A25" s="1790" t="str">
        <f>定义!C53</f>
        <v>本次估价的“出让国有建设用地使用权价格”是指在估价对象土地所有权为国家所有，使用权性质为出让，在公开市场条件下、于估价期日2018年12月24日，在规划利用条件下、设定土地开发程度为红线外“七通”、宗地内场地平整，设定用途为，剩余土地使用年限为的出让国有建设用地使用权价格。</v>
      </c>
    </row>
    <row r="26" spans="1:1" ht="52.2">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0" t="str">
        <f>IF(项目基本情况!B9="市场价格","——",IF(项目基本情况!E9="——","",定义!C57))</f>
        <v/>
      </c>
    </row>
    <row r="29" spans="1:1" ht="17.399999999999999">
      <c r="A29" s="1796" t="s">
        <v>1989</v>
      </c>
    </row>
    <row r="30" spans="1:1" ht="69.599999999999994">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7.399999999999999">
      <c r="A32" s="1798" t="s">
        <v>1990</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7" customWidth="1"/>
    <col min="2" max="2" width="9" style="1777"/>
    <col min="3" max="4" width="9.6640625" style="1777" customWidth="1"/>
    <col min="5" max="16384" width="9" style="1777"/>
  </cols>
  <sheetData>
    <row r="1" spans="1:4" ht="22.2">
      <c r="A1" s="1776" t="s">
        <v>1866</v>
      </c>
    </row>
    <row r="2" spans="1:4">
      <c r="A2" s="1778"/>
    </row>
    <row r="3" spans="1:4" ht="17.399999999999999">
      <c r="A3" s="1796" t="str">
        <f>项目基本情况!B5&amp;"："</f>
        <v>：</v>
      </c>
    </row>
    <row r="4" spans="1:4" ht="34.799999999999997">
      <c r="A4" s="1790" t="str">
        <f>"受贵公司委托，我公司对"&amp;项目基本情况!K2&amp;项目基本情况!B9&amp;"进行了预评估。"</f>
        <v>受贵公司委托，我公司对三亚吉阳区人民街出让国有建设用地使用权抵押价格进行了预评估。</v>
      </c>
    </row>
    <row r="5" spans="1:4" ht="17.399999999999999">
      <c r="A5" s="1793" t="s">
        <v>1867</v>
      </c>
    </row>
    <row r="6" spans="1:4" ht="69.599999999999994">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三亚吉阳区人民街出让国有建设用地使用权。根据《国有土地使用证》，估价对象（分摊）出让国有建设用地使用权面积为7409.7平方米。根据《出让合同》，估价对象规划建筑面积为21457.6平方米。</v>
      </c>
    </row>
    <row r="7" spans="1:4" ht="87">
      <c r="A7" s="2872" t="s">
        <v>2710</v>
      </c>
    </row>
    <row r="8" spans="1:4" ht="17.399999999999999">
      <c r="A8" s="1793" t="s">
        <v>1868</v>
      </c>
    </row>
    <row r="9" spans="1:4" ht="69.599999999999994">
      <c r="A9" s="1795" t="str">
        <f>IF(项目基本情况!B8="抵押",IF(项目基本情况!B5=项目基本情况!B6,定义!C51,定义!B51),定义!D51)</f>
        <v>拟使用三亚吉阳区人民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96" t="s">
        <v>1988</v>
      </c>
    </row>
    <row r="11" spans="1:4" ht="17.399999999999999">
      <c r="A11" s="1779" t="str">
        <f>TEXT(项目基本情况!D3,"yyyy年m月d日;;")&amp;IF(项目基本情况!B3=项目基本情况!D3,"（评估专业人员勘察现场之日）","")</f>
        <v>2018年12月24日（评估专业人员勘察现场之日）</v>
      </c>
    </row>
    <row r="12" spans="1:4" ht="17.399999999999999">
      <c r="A12" s="1796" t="s">
        <v>1987</v>
      </c>
    </row>
    <row r="13" spans="1:4" ht="17.399999999999999">
      <c r="A13" s="1790" t="s">
        <v>2033</v>
      </c>
    </row>
    <row r="14" spans="1:4" ht="17.399999999999999">
      <c r="A14" s="1790" t="str">
        <f>"根据"&amp;项目基本情况!F12&amp;"，本次评估估价对象证载（地类）用途为"&amp;项目基本情况!B12&amp;"。"</f>
        <v>根据，本次评估估价对象证载（地类）用途为。</v>
      </c>
      <c r="C14" s="1780"/>
      <c r="D14" s="1781"/>
    </row>
    <row r="15" spans="1:4" ht="17.399999999999999">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7.399999999999999">
      <c r="A16" s="1790" t="s">
        <v>2034</v>
      </c>
    </row>
    <row r="17" spans="1:1" ht="52.2">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根据委托估价方介绍及评估专业人员现场勘查，本次评估估价对象实际土地开发程度为红线外市政基础设施达“七通”（即通路、通电、通讯、通上水、通上水、通下水、燃气）、宗地红线内场地平整。</v>
      </c>
    </row>
    <row r="18" spans="1:1" ht="52.2">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90" t="s">
        <v>2035</v>
      </c>
    </row>
    <row r="20" spans="1:1" ht="52.2">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根据《国有土地使用证》，估价对象（分摊）出让国有建设用地使用权面积为7409.7平方米。根据《出让合同》，估价对象规划建筑面积为21457.6平方米。</v>
      </c>
    </row>
    <row r="21" spans="1:1" ht="87">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0" t="s">
        <v>2036</v>
      </c>
    </row>
    <row r="23" spans="1:1" ht="17.399999999999999">
      <c r="A23" s="2874" t="s">
        <v>2711</v>
      </c>
    </row>
    <row r="24" spans="1:1" ht="17.399999999999999">
      <c r="A24" s="1790" t="s">
        <v>2037</v>
      </c>
    </row>
    <row r="25" spans="1:1" ht="87">
      <c r="A25" s="1790" t="str">
        <f>定义!C53</f>
        <v>本次估价的“出让国有建设用地使用权价格”是指在估价对象土地所有权为国家所有，使用权性质为出让，在公开市场条件下、于估价期日2018年12月24日，在规划利用条件下、设定土地开发程度为红线外“七通”、宗地内场地平整，设定用途为，剩余土地使用年限为的出让国有建设用地使用权价格。</v>
      </c>
    </row>
    <row r="26" spans="1:1" ht="52.2">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0" t="str">
        <f>IF(项目基本情况!E9="——","",定义!C57)</f>
        <v/>
      </c>
    </row>
    <row r="29" spans="1:1" ht="17.399999999999999">
      <c r="A29" s="1796" t="s">
        <v>1989</v>
      </c>
    </row>
    <row r="30" spans="1:1" ht="69.599999999999994">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7.399999999999999">
      <c r="A32" s="1798" t="s">
        <v>1990</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99" t="s">
        <v>2000</v>
      </c>
      <c r="B1" s="3199"/>
      <c r="C1" s="3199"/>
      <c r="D1" s="3199"/>
      <c r="E1" s="3199"/>
      <c r="F1" s="3199"/>
      <c r="G1" s="3199"/>
      <c r="H1" s="3199"/>
      <c r="I1" s="3199"/>
      <c r="J1" s="3199"/>
      <c r="K1" s="3199"/>
      <c r="L1" s="3199"/>
      <c r="M1" s="3199"/>
      <c r="N1" s="3199"/>
      <c r="O1" s="3199"/>
      <c r="P1" s="3199"/>
      <c r="Q1" s="3199"/>
      <c r="R1" s="3199"/>
    </row>
    <row r="2" spans="1:18">
      <c r="A2" s="1806" t="s">
        <v>2002</v>
      </c>
      <c r="B2" s="1806"/>
      <c r="C2" s="1806"/>
      <c r="D2" s="1806"/>
      <c r="E2" s="1806"/>
      <c r="F2" s="1806"/>
      <c r="G2" s="1806"/>
      <c r="H2" s="1806"/>
      <c r="I2" s="1807"/>
      <c r="J2" s="1807"/>
      <c r="K2" s="1808" t="str">
        <f>"估价期日："&amp;TEXT(项目基本情况!D3,"yyyy年m月d日;;")</f>
        <v>估价期日：2018年12月24日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00" t="s">
        <v>1991</v>
      </c>
      <c r="B3" s="3200" t="s">
        <v>2693</v>
      </c>
      <c r="C3" s="3201" t="s">
        <v>1992</v>
      </c>
      <c r="D3" s="3200" t="s">
        <v>2697</v>
      </c>
      <c r="E3" s="3195" t="s">
        <v>1993</v>
      </c>
      <c r="F3" s="3195"/>
      <c r="G3" s="3195"/>
      <c r="H3" s="3195" t="s">
        <v>1994</v>
      </c>
      <c r="I3" s="3195"/>
      <c r="J3" s="3195"/>
      <c r="K3" s="3201" t="s">
        <v>1995</v>
      </c>
      <c r="L3" s="3201" t="s">
        <v>1996</v>
      </c>
      <c r="M3" s="3200" t="s">
        <v>2694</v>
      </c>
      <c r="N3" s="3202" t="str">
        <f>"（分摊）"&amp;项目基本情况!B16&amp;"国有建设用地使用权面积/㎡"</f>
        <v>（分摊）出让国有建设用地使用权面积/㎡</v>
      </c>
      <c r="O3" s="3200" t="s">
        <v>2025</v>
      </c>
      <c r="P3" s="3201" t="s">
        <v>2005</v>
      </c>
      <c r="Q3" s="3201" t="s">
        <v>2026</v>
      </c>
      <c r="R3" s="3201" t="s">
        <v>1997</v>
      </c>
    </row>
    <row r="4" spans="1:18" ht="36.75" customHeight="1">
      <c r="A4" s="3200"/>
      <c r="B4" s="3200"/>
      <c r="C4" s="3201"/>
      <c r="D4" s="3200"/>
      <c r="E4" s="2648" t="s">
        <v>2004</v>
      </c>
      <c r="F4" s="2648" t="s">
        <v>2706</v>
      </c>
      <c r="G4" s="2648" t="s">
        <v>1998</v>
      </c>
      <c r="H4" s="2648" t="s">
        <v>1999</v>
      </c>
      <c r="I4" s="2648" t="s">
        <v>2707</v>
      </c>
      <c r="J4" s="2648" t="s">
        <v>1998</v>
      </c>
      <c r="K4" s="3201"/>
      <c r="L4" s="3201"/>
      <c r="M4" s="3200"/>
      <c r="N4" s="3202"/>
      <c r="O4" s="3200"/>
      <c r="P4" s="3201"/>
      <c r="Q4" s="3201"/>
      <c r="R4" s="3201"/>
    </row>
    <row r="5" spans="1:18" ht="135" customHeight="1">
      <c r="A5" s="1942" t="s">
        <v>2617</v>
      </c>
      <c r="B5" s="2866" t="s">
        <v>2615</v>
      </c>
      <c r="C5" s="2647">
        <v>22</v>
      </c>
      <c r="D5" s="2646" t="s">
        <v>2616</v>
      </c>
      <c r="E5" s="1809">
        <f>项目基本情况!B12</f>
        <v>0</v>
      </c>
      <c r="F5" s="2646">
        <v>258</v>
      </c>
      <c r="G5" s="1809">
        <f>项目基本情况!B13</f>
        <v>0</v>
      </c>
      <c r="H5" s="2646">
        <v>1.5</v>
      </c>
      <c r="I5" s="2646">
        <v>1.5</v>
      </c>
      <c r="J5" s="2646">
        <v>1.5</v>
      </c>
      <c r="K5" s="1809" t="str">
        <f>"红线外"&amp;项目基本情况!T40&amp;"、宗地红线内"&amp;项目基本情况!B35</f>
        <v>红线外七通、宗地红线内场地平整</v>
      </c>
      <c r="L5" s="1809" t="str">
        <f>"红线外"&amp;项目基本情况!T40&amp;"、宗地红线内场地"&amp;项目基本情况!D36</f>
        <v>红线外七通、宗地红线内场地平整</v>
      </c>
      <c r="M5" s="1809">
        <f>IF(项目基本情况!B16="出让",项目基本情况!D20,"——")</f>
        <v>0</v>
      </c>
      <c r="N5" s="1809">
        <f>项目基本情况!C22</f>
        <v>7409.7</v>
      </c>
      <c r="O5" s="1809">
        <f>项目基本情况!C21</f>
        <v>21457.599999999999</v>
      </c>
      <c r="P5" s="1809">
        <f ca="1">结果表!E42</f>
        <v>6941</v>
      </c>
      <c r="Q5" s="1809">
        <f ca="1">结果表!D42</f>
        <v>2397</v>
      </c>
      <c r="R5" s="1810">
        <f ca="1">结果表!C42</f>
        <v>5143</v>
      </c>
    </row>
    <row r="6" spans="1:18">
      <c r="A6" s="3196" t="str">
        <f>IF(项目基本情况!B9="市场价格","——","抵押价格")</f>
        <v>抵押价格</v>
      </c>
      <c r="B6" s="3197"/>
      <c r="C6" s="3197"/>
      <c r="D6" s="3197"/>
      <c r="E6" s="3197"/>
      <c r="F6" s="3197"/>
      <c r="G6" s="3197"/>
      <c r="H6" s="3197"/>
      <c r="I6" s="3197"/>
      <c r="J6" s="3197"/>
      <c r="K6" s="3197"/>
      <c r="L6" s="3197"/>
      <c r="M6" s="3197"/>
      <c r="N6" s="3197"/>
      <c r="O6" s="3197"/>
      <c r="P6" s="3197"/>
      <c r="Q6" s="3198"/>
      <c r="R6" s="1811">
        <f ca="1">结果表!O39</f>
        <v>5143</v>
      </c>
    </row>
    <row r="7" spans="1:18">
      <c r="A7" s="3196" t="str">
        <f>IF(项目基本情况!B9="市场价格","——",IF(项目基本情况!E8="已注销及未注销","抵押担保权已注销时的抵押价格","——"))</f>
        <v>——</v>
      </c>
      <c r="B7" s="3197"/>
      <c r="C7" s="3197"/>
      <c r="D7" s="3197"/>
      <c r="E7" s="3197"/>
      <c r="F7" s="3197"/>
      <c r="G7" s="3197"/>
      <c r="H7" s="3197"/>
      <c r="I7" s="3197"/>
      <c r="J7" s="3197"/>
      <c r="K7" s="3197"/>
      <c r="L7" s="3197"/>
      <c r="M7" s="3197"/>
      <c r="N7" s="3197"/>
      <c r="O7" s="3197"/>
      <c r="P7" s="3197"/>
      <c r="Q7" s="3198"/>
      <c r="R7" s="1811" t="str">
        <f>结果表!O40</f>
        <v>——</v>
      </c>
    </row>
    <row r="8" spans="1:18">
      <c r="A8" s="3196" t="str">
        <f>IF(项目基本情况!B9="市场价格","——",项目基本情况!E9)</f>
        <v>——</v>
      </c>
      <c r="B8" s="3197"/>
      <c r="C8" s="3197"/>
      <c r="D8" s="3197"/>
      <c r="E8" s="3197"/>
      <c r="F8" s="3197"/>
      <c r="G8" s="3197"/>
      <c r="H8" s="3197"/>
      <c r="I8" s="3197"/>
      <c r="J8" s="3197"/>
      <c r="K8" s="3197"/>
      <c r="L8" s="3197"/>
      <c r="M8" s="3197"/>
      <c r="N8" s="3197"/>
      <c r="O8" s="3197"/>
      <c r="P8" s="3197"/>
      <c r="Q8" s="3198"/>
      <c r="R8" s="1811" t="str">
        <f>结果表!O41</f>
        <v>——</v>
      </c>
    </row>
    <row r="9" spans="1:18">
      <c r="A9" s="1812" t="s">
        <v>2003</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1990</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1" customWidth="1"/>
    <col min="2" max="3" width="21.33203125" style="1801" customWidth="1"/>
    <col min="4" max="4" width="19.88671875" style="1801" customWidth="1"/>
    <col min="5" max="16384" width="9" style="1801"/>
  </cols>
  <sheetData>
    <row r="1" spans="1:4">
      <c r="A1" s="3204" t="s">
        <v>2027</v>
      </c>
      <c r="B1" s="3204"/>
      <c r="C1" s="3204"/>
      <c r="D1" s="3204"/>
    </row>
    <row r="2" spans="1:4" ht="47.25" customHeight="1">
      <c r="A2" s="3205" t="str">
        <f>"1.权利限制："&amp;项目基本情况!L24&amp;"未设定租赁等其他他项权利。"</f>
        <v>1.权利限制：根据估价对象《不动产权证书》复印件、《国有土地使用权》复印件，截至估价期日，估价对象抵押权未见登记。未设定租赁等其他他项权利。</v>
      </c>
      <c r="B2" s="3205"/>
      <c r="C2" s="3205"/>
      <c r="D2" s="3205"/>
    </row>
    <row r="3" spans="1:4" ht="48" customHeight="1">
      <c r="A3" s="320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4"/>
      <c r="C3" s="3204"/>
      <c r="D3" s="3204"/>
    </row>
    <row r="4" spans="1:4" ht="36.75" customHeight="1">
      <c r="A4" s="3204" t="str">
        <f>"3.估价规划限制条件：详见"&amp;项目基本情况!E21&amp;"。"</f>
        <v>3.估价规划限制条件：详见《出让合同》。</v>
      </c>
      <c r="B4" s="3204"/>
      <c r="C4" s="3204"/>
      <c r="D4" s="3204"/>
    </row>
    <row r="5" spans="1:4">
      <c r="A5" s="3203" t="s">
        <v>2028</v>
      </c>
      <c r="B5" s="3203"/>
      <c r="C5" s="3203"/>
      <c r="D5" s="3203"/>
    </row>
    <row r="6" spans="1:4">
      <c r="A6" s="3204" t="s">
        <v>2006</v>
      </c>
      <c r="B6" s="3204"/>
      <c r="C6" s="3204"/>
      <c r="D6" s="3204"/>
    </row>
    <row r="7" spans="1:4" ht="33" customHeight="1">
      <c r="A7" s="3204" t="s">
        <v>2537</v>
      </c>
      <c r="B7" s="3204"/>
      <c r="C7" s="3204"/>
      <c r="D7" s="3204"/>
    </row>
    <row r="8" spans="1:4" ht="32.25" customHeight="1">
      <c r="A8" s="320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4"/>
      <c r="C8" s="3204"/>
      <c r="D8" s="3204"/>
    </row>
    <row r="9" spans="1:4" ht="33.75" customHeight="1">
      <c r="A9" s="320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4"/>
      <c r="C9" s="3204"/>
      <c r="D9" s="3204"/>
    </row>
    <row r="10" spans="1:4">
      <c r="A10" s="3204" t="str">
        <f>IF(项目基本情况!B8="抵押","4.估价师所知悉的法定优先受偿款情况为：","——")</f>
        <v>4.估价师所知悉的法定优先受偿款情况为：</v>
      </c>
      <c r="B10" s="3204"/>
      <c r="C10" s="3204"/>
      <c r="D10" s="3204"/>
    </row>
    <row r="11" spans="1:4" ht="37.5" customHeight="1">
      <c r="A11" s="3206" t="str">
        <f>IF(项目基本情况!B8="抵押","（1）"&amp;CONCATENATE(项目基本情况!L24,项目基本情况!L25,项目基本情况!L26),"——")</f>
        <v>（1）根据估价对象《不动产权证书》复印件、《国有土地使用权》复印件，截至估价期日，估价对象抵押权未见登记。</v>
      </c>
      <c r="B11" s="3206"/>
      <c r="C11" s="3206"/>
      <c r="D11" s="3206"/>
    </row>
    <row r="12" spans="1:4" ht="168" customHeight="1">
      <c r="A12" s="3203" t="s">
        <v>2030</v>
      </c>
      <c r="B12" s="3203"/>
      <c r="C12" s="3203"/>
      <c r="D12" s="3203"/>
    </row>
    <row r="13" spans="1:4">
      <c r="A13" s="3207" t="s">
        <v>2708</v>
      </c>
      <c r="B13" s="3207"/>
      <c r="C13" s="3207"/>
      <c r="D13" s="3207"/>
    </row>
    <row r="14" spans="1:4">
      <c r="A14" s="3206" t="str">
        <f>IF(项目基本情况!B8="抵押","综上，"&amp;结果表!K47,"——")</f>
        <v>综上，本次评估不存在估价师知悉的法定优先受偿款</v>
      </c>
      <c r="B14" s="3206"/>
      <c r="C14" s="3206"/>
      <c r="D14" s="3206"/>
    </row>
    <row r="15" spans="1:4" ht="58.5" customHeight="1">
      <c r="A15" s="320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4"/>
      <c r="C15" s="3204"/>
      <c r="D15" s="3204"/>
    </row>
    <row r="16" spans="1:4" ht="70.5" customHeight="1">
      <c r="A16" s="320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4"/>
      <c r="C16" s="3204"/>
      <c r="D16" s="3204"/>
    </row>
    <row r="17" spans="1:4">
      <c r="A17" s="3204" t="s">
        <v>2664</v>
      </c>
      <c r="B17" s="3204"/>
      <c r="C17" s="3204"/>
      <c r="D17" s="3204"/>
    </row>
    <row r="18" spans="1:4">
      <c r="A18" s="3204" t="s">
        <v>2656</v>
      </c>
      <c r="B18" s="3204"/>
      <c r="C18" s="3204"/>
      <c r="D18" s="3204"/>
    </row>
    <row r="19" spans="1:4">
      <c r="A19" s="2867" t="s">
        <v>2657</v>
      </c>
      <c r="B19" s="2867" t="s">
        <v>2658</v>
      </c>
      <c r="C19" s="2867" t="s">
        <v>2659</v>
      </c>
      <c r="D19" s="2867" t="s">
        <v>2660</v>
      </c>
    </row>
    <row r="20" spans="1:4">
      <c r="A20" s="2867" t="str">
        <f>项目基本情况!B4</f>
        <v>王鹏</v>
      </c>
      <c r="B20" s="2867">
        <f ca="1">项目基本情况!C4</f>
        <v>2002110030</v>
      </c>
      <c r="C20" s="2869"/>
      <c r="D20" s="1799" t="s">
        <v>2665</v>
      </c>
    </row>
    <row r="21" spans="1:4">
      <c r="A21" s="2867" t="str">
        <f>项目基本情况!D4</f>
        <v>崔锴</v>
      </c>
      <c r="B21" s="2867">
        <f ca="1">项目基本情况!E4</f>
        <v>2010110070</v>
      </c>
      <c r="C21" s="2869"/>
      <c r="D21" s="1799" t="s">
        <v>2666</v>
      </c>
    </row>
    <row r="23" spans="1:4">
      <c r="A23" s="3204" t="s">
        <v>2661</v>
      </c>
      <c r="B23" s="3204"/>
      <c r="C23" s="3204"/>
      <c r="D23" s="3204"/>
    </row>
    <row r="24" spans="1:4">
      <c r="A24" s="2867" t="s">
        <v>2657</v>
      </c>
      <c r="B24" s="2867" t="s">
        <v>2662</v>
      </c>
      <c r="C24" s="2867" t="s">
        <v>2659</v>
      </c>
      <c r="D24" s="2867" t="s">
        <v>2660</v>
      </c>
    </row>
    <row r="25" spans="1:4">
      <c r="A25" s="2870" t="s">
        <v>2663</v>
      </c>
      <c r="B25" s="2867" t="s">
        <v>917</v>
      </c>
      <c r="C25" s="2869"/>
      <c r="D25" s="1799" t="s">
        <v>2666</v>
      </c>
    </row>
    <row r="29" spans="1:4">
      <c r="D29" s="2868" t="s">
        <v>2001</v>
      </c>
    </row>
    <row r="30" spans="1:4">
      <c r="D30" s="287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44140625" defaultRowHeight="15.6"/>
  <cols>
    <col min="1" max="1" width="14.44140625" style="1163" customWidth="1"/>
    <col min="2" max="16384" width="14.44140625" style="1161"/>
  </cols>
  <sheetData>
    <row r="1" spans="1:7" s="1159" customFormat="1" ht="17.399999999999999">
      <c r="A1" s="1158" t="s">
        <v>64</v>
      </c>
    </row>
    <row r="3" spans="1:7">
      <c r="A3" s="1160" t="s">
        <v>65</v>
      </c>
      <c r="B3" s="1161" t="s">
        <v>66</v>
      </c>
      <c r="G3" s="1162"/>
    </row>
    <row r="4" spans="1:7">
      <c r="G4" s="1162"/>
    </row>
    <row r="5" spans="1:7">
      <c r="A5" s="1164" t="s">
        <v>44</v>
      </c>
      <c r="B5" s="1161" t="s">
        <v>45</v>
      </c>
      <c r="G5" s="1162"/>
    </row>
    <row r="6" spans="1:7">
      <c r="G6" s="1162"/>
    </row>
    <row r="7" spans="1:7">
      <c r="A7" s="1165" t="s">
        <v>46</v>
      </c>
      <c r="B7" s="1161" t="s">
        <v>47</v>
      </c>
      <c r="G7" s="1162"/>
    </row>
    <row r="8" spans="1:7">
      <c r="G8" s="1162"/>
    </row>
    <row r="9" spans="1:7">
      <c r="A9" s="1166" t="s">
        <v>48</v>
      </c>
      <c r="B9" s="1161" t="s">
        <v>49</v>
      </c>
    </row>
    <row r="11" spans="1:7">
      <c r="A11" s="1167" t="s">
        <v>50</v>
      </c>
      <c r="B11" s="1168" t="s">
        <v>837</v>
      </c>
    </row>
    <row r="13" spans="1:7">
      <c r="A13" s="1169" t="s">
        <v>51</v>
      </c>
    </row>
    <row r="15" spans="1:7" ht="14.4">
      <c r="A15" s="3215" t="s">
        <v>52</v>
      </c>
      <c r="B15" s="3216" t="s">
        <v>811</v>
      </c>
      <c r="C15" s="3212"/>
    </row>
    <row r="16" spans="1:7" ht="14.4">
      <c r="A16" s="3215"/>
      <c r="B16" s="3213" t="s">
        <v>53</v>
      </c>
      <c r="C16" s="1170" t="s">
        <v>52</v>
      </c>
    </row>
    <row r="17" spans="1:3" ht="14.4">
      <c r="A17" s="3215"/>
      <c r="B17" s="3213"/>
      <c r="C17" s="1170" t="s">
        <v>54</v>
      </c>
    </row>
    <row r="18" spans="1:3" ht="14.4">
      <c r="A18" s="3215"/>
      <c r="B18" s="3213"/>
      <c r="C18" s="1170" t="s">
        <v>55</v>
      </c>
    </row>
    <row r="19" spans="1:3" ht="14.4">
      <c r="A19" s="3215"/>
      <c r="B19" s="3211" t="s">
        <v>56</v>
      </c>
      <c r="C19" s="3212"/>
    </row>
    <row r="20" spans="1:3" ht="14.4">
      <c r="A20" s="1171" t="s">
        <v>57</v>
      </c>
      <c r="B20" s="1172"/>
      <c r="C20" s="1173"/>
    </row>
    <row r="21" spans="1:3" ht="14.4">
      <c r="A21" s="3214" t="s">
        <v>58</v>
      </c>
      <c r="B21" s="3211" t="s">
        <v>59</v>
      </c>
      <c r="C21" s="3212"/>
    </row>
    <row r="22" spans="1:3" ht="14.4">
      <c r="A22" s="3214"/>
      <c r="B22" s="3211" t="s">
        <v>60</v>
      </c>
      <c r="C22" s="3212"/>
    </row>
    <row r="23" spans="1:3" ht="14.4">
      <c r="A23" s="3214"/>
      <c r="B23" s="3211" t="s">
        <v>61</v>
      </c>
      <c r="C23" s="3212"/>
    </row>
    <row r="24" spans="1:3" ht="14.4">
      <c r="A24" s="3214"/>
      <c r="B24" s="3217" t="s">
        <v>62</v>
      </c>
      <c r="C24" s="1174" t="s">
        <v>802</v>
      </c>
    </row>
    <row r="25" spans="1:3" ht="14.4">
      <c r="A25" s="3214"/>
      <c r="B25" s="3218"/>
      <c r="C25" s="1174" t="s">
        <v>803</v>
      </c>
    </row>
    <row r="26" spans="1:3" ht="14.4">
      <c r="A26" s="3214"/>
      <c r="B26" s="3218"/>
      <c r="C26" s="1174" t="s">
        <v>804</v>
      </c>
    </row>
    <row r="27" spans="1:3" ht="14.4">
      <c r="A27" s="3214"/>
      <c r="B27" s="3218"/>
      <c r="C27" s="1174" t="s">
        <v>805</v>
      </c>
    </row>
    <row r="28" spans="1:3" ht="14.4">
      <c r="A28" s="3214"/>
      <c r="B28" s="3218"/>
      <c r="C28" s="1174" t="s">
        <v>806</v>
      </c>
    </row>
    <row r="29" spans="1:3" ht="14.4">
      <c r="A29" s="3214"/>
      <c r="B29" s="3218"/>
      <c r="C29" s="1174" t="s">
        <v>807</v>
      </c>
    </row>
    <row r="30" spans="1:3" ht="14.4">
      <c r="A30" s="3214"/>
      <c r="B30" s="3218"/>
      <c r="C30" s="1174" t="s">
        <v>808</v>
      </c>
    </row>
    <row r="31" spans="1:3" ht="14.4">
      <c r="A31" s="3214"/>
      <c r="B31" s="3218"/>
      <c r="C31" s="1174" t="s">
        <v>809</v>
      </c>
    </row>
    <row r="32" spans="1:3" ht="14.4">
      <c r="A32" s="3214"/>
      <c r="B32" s="3218"/>
      <c r="C32" s="1174" t="s">
        <v>1611</v>
      </c>
    </row>
    <row r="33" spans="1:3" ht="14.4">
      <c r="A33" s="3214"/>
      <c r="B33" s="3208" t="s">
        <v>1617</v>
      </c>
      <c r="C33" s="1174" t="s">
        <v>1612</v>
      </c>
    </row>
    <row r="34" spans="1:3" ht="14.4">
      <c r="A34" s="3214"/>
      <c r="B34" s="3209"/>
      <c r="C34" s="1179" t="s">
        <v>1613</v>
      </c>
    </row>
    <row r="35" spans="1:3" ht="14.4">
      <c r="A35" s="3214"/>
      <c r="B35" s="3209"/>
      <c r="C35" s="1180" t="s">
        <v>1614</v>
      </c>
    </row>
    <row r="36" spans="1:3" ht="14.4">
      <c r="A36" s="3214"/>
      <c r="B36" s="3209"/>
      <c r="C36" s="1180" t="s">
        <v>1615</v>
      </c>
    </row>
    <row r="37" spans="1:3" ht="14.4">
      <c r="A37" s="3214"/>
      <c r="B37" s="3210"/>
      <c r="C37" s="1181" t="s">
        <v>1616</v>
      </c>
    </row>
    <row r="38" spans="1:3">
      <c r="A38" s="1175" t="s">
        <v>810</v>
      </c>
    </row>
    <row r="41" spans="1:3">
      <c r="A41" s="1175" t="s">
        <v>67</v>
      </c>
    </row>
    <row r="42" spans="1:3" ht="14.4">
      <c r="A42" s="1176" t="s">
        <v>818</v>
      </c>
    </row>
    <row r="43" spans="1:3" ht="14.4">
      <c r="A43" s="1177" t="s">
        <v>68</v>
      </c>
    </row>
    <row r="44" spans="1:3" ht="14.4">
      <c r="A44" s="1176" t="s">
        <v>817</v>
      </c>
    </row>
    <row r="45" spans="1:3" ht="14.4">
      <c r="A45" s="1178" t="s">
        <v>819</v>
      </c>
    </row>
    <row r="46" spans="1:3" ht="14.4">
      <c r="A46" s="1177"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640625" defaultRowHeight="20.25" customHeight="1"/>
  <cols>
    <col min="1" max="1" width="24.77734375" style="2340" customWidth="1"/>
    <col min="2" max="5" width="22.6640625" style="2340"/>
    <col min="6" max="6" width="25.6640625" style="2340" customWidth="1"/>
    <col min="7" max="16384" width="22.6640625" style="2340"/>
  </cols>
  <sheetData>
    <row r="2" spans="1:6" ht="20.25" customHeight="1">
      <c r="A2" s="2337" t="s">
        <v>1869</v>
      </c>
      <c r="B2" s="1655">
        <f ca="1">TODAY()</f>
        <v>43472</v>
      </c>
      <c r="C2" s="2338" t="s">
        <v>1870</v>
      </c>
      <c r="D2" s="2339"/>
    </row>
    <row r="3" spans="1:6" ht="20.25" customHeight="1">
      <c r="A3" s="2341" t="s">
        <v>1871</v>
      </c>
      <c r="B3" s="2342" t="s">
        <v>1872</v>
      </c>
      <c r="C3" s="2342" t="s">
        <v>1873</v>
      </c>
      <c r="D3" s="2343" t="s">
        <v>1874</v>
      </c>
      <c r="E3" s="2342" t="s">
        <v>1875</v>
      </c>
      <c r="F3" s="2342" t="s">
        <v>1873</v>
      </c>
    </row>
    <row r="4" spans="1:6" ht="20.25" customHeight="1">
      <c r="A4" s="2342" t="s">
        <v>1876</v>
      </c>
      <c r="B4" s="2342">
        <f ca="1">IF(C4&lt;B2,"已过期",1119970066)</f>
        <v>1119970066</v>
      </c>
      <c r="C4" s="3005">
        <v>43849</v>
      </c>
      <c r="D4" s="2342" t="s">
        <v>1876</v>
      </c>
      <c r="E4" s="2342">
        <f ca="1">IF(F4&lt;B2,"已过期",96010014)</f>
        <v>96010014</v>
      </c>
      <c r="F4" s="3006">
        <v>47118</v>
      </c>
    </row>
    <row r="5" spans="1:6" ht="20.25" customHeight="1">
      <c r="A5" s="2342" t="s">
        <v>1877</v>
      </c>
      <c r="B5" s="2342">
        <f ca="1">IF(C5&lt;B2,"已过期",1119970074)</f>
        <v>1119970074</v>
      </c>
      <c r="C5" s="3005">
        <v>43849</v>
      </c>
      <c r="D5" s="2342" t="s">
        <v>1877</v>
      </c>
      <c r="E5" s="2342">
        <f ca="1">IF(F5&lt;B2,"已过期",2002110027)</f>
        <v>2002110027</v>
      </c>
      <c r="F5" s="3006">
        <v>46752</v>
      </c>
    </row>
    <row r="6" spans="1:6" ht="20.25" customHeight="1">
      <c r="A6" s="2342" t="s">
        <v>1878</v>
      </c>
      <c r="B6" s="2342">
        <f ca="1">IF(C6&lt;B2,"已过期",1119970111)</f>
        <v>1119970111</v>
      </c>
      <c r="C6" s="3005">
        <v>43849</v>
      </c>
      <c r="D6" s="2342" t="s">
        <v>1878</v>
      </c>
      <c r="E6" s="2342">
        <f ca="1">IF(F6&lt;B2,"已过期",94010078)</f>
        <v>94010078</v>
      </c>
      <c r="F6" s="3006">
        <v>46387</v>
      </c>
    </row>
    <row r="7" spans="1:6" ht="20.25" customHeight="1">
      <c r="A7" s="2342" t="s">
        <v>1879</v>
      </c>
      <c r="B7" s="2342">
        <f ca="1">IF(C7&lt;B2,"已过期",1120050019)</f>
        <v>1120050019</v>
      </c>
      <c r="C7" s="3005">
        <v>44395</v>
      </c>
      <c r="D7" s="2342" t="s">
        <v>1879</v>
      </c>
      <c r="E7" s="2342">
        <f ca="1">IF(F7&lt;B2,"已过期",2002110030)</f>
        <v>2002110030</v>
      </c>
      <c r="F7" s="3006">
        <v>46387</v>
      </c>
    </row>
    <row r="8" spans="1:6" ht="20.25" customHeight="1">
      <c r="A8" s="2342" t="s">
        <v>1880</v>
      </c>
      <c r="B8" s="2342">
        <f ca="1">IF(C8&lt;B2,"已过期",1120000080)</f>
        <v>1120000080</v>
      </c>
      <c r="C8" s="3005">
        <v>43849</v>
      </c>
      <c r="D8" s="2342" t="s">
        <v>1880</v>
      </c>
      <c r="E8" s="2342">
        <f ca="1">IF(F8&lt;B2,"已过期",2000110082)</f>
        <v>2000110082</v>
      </c>
      <c r="F8" s="3006">
        <v>46387</v>
      </c>
    </row>
    <row r="9" spans="1:6" ht="20.25" customHeight="1">
      <c r="A9" s="2342" t="s">
        <v>1881</v>
      </c>
      <c r="B9" s="2342">
        <f ca="1">IF(C9&lt;B2,"已过期",1419970001)</f>
        <v>1419970001</v>
      </c>
      <c r="C9" s="3005">
        <v>43867</v>
      </c>
      <c r="D9" s="2342" t="s">
        <v>1881</v>
      </c>
      <c r="E9" s="2342">
        <f ca="1">IF(F9&lt;B2,"已过期",2002110125)</f>
        <v>2002110125</v>
      </c>
      <c r="F9" s="3006">
        <v>47118</v>
      </c>
    </row>
    <row r="10" spans="1:6" ht="20.25" customHeight="1">
      <c r="A10" s="2342" t="s">
        <v>1882</v>
      </c>
      <c r="B10" s="2342">
        <f ca="1">IF(C10&lt;B2,"已过期",1120060040)</f>
        <v>1120060040</v>
      </c>
      <c r="C10" s="3005">
        <v>43483</v>
      </c>
      <c r="D10" s="2342" t="s">
        <v>1882</v>
      </c>
      <c r="E10" s="2342">
        <f ca="1">IF(F10&lt;B2,"已过期",2004110096)</f>
        <v>2004110096</v>
      </c>
      <c r="F10" s="3006">
        <v>47118</v>
      </c>
    </row>
    <row r="11" spans="1:6" ht="20.25" customHeight="1">
      <c r="A11" s="2342" t="s">
        <v>1883</v>
      </c>
      <c r="B11" s="2342">
        <f ca="1">IF(C11&lt;B2,"已过期",1120100036)</f>
        <v>1120100036</v>
      </c>
      <c r="C11" s="3005">
        <v>43622</v>
      </c>
      <c r="D11" s="2342" t="s">
        <v>1883</v>
      </c>
      <c r="E11" s="2342">
        <f ca="1">IF(F11&lt;B2,"已过期",2010110070)</f>
        <v>2010110070</v>
      </c>
      <c r="F11" s="3006">
        <v>47907</v>
      </c>
    </row>
    <row r="12" spans="1:6" ht="20.25" customHeight="1">
      <c r="A12" s="2342" t="s">
        <v>2937</v>
      </c>
      <c r="B12" s="2342">
        <v>1120110054</v>
      </c>
      <c r="C12" s="3005">
        <v>43937</v>
      </c>
      <c r="D12" s="2342" t="s">
        <v>2937</v>
      </c>
      <c r="E12" s="2342">
        <v>2008110060</v>
      </c>
      <c r="F12" s="3006">
        <v>47177</v>
      </c>
    </row>
    <row r="13" spans="1:6" ht="20.25" customHeight="1">
      <c r="A13" s="2342" t="s">
        <v>1884</v>
      </c>
      <c r="B13" s="2342">
        <f ca="1">IF(C13&lt;B2,"已过期",1120070131)</f>
        <v>1120070131</v>
      </c>
      <c r="C13" s="3005">
        <v>43814</v>
      </c>
      <c r="D13" s="2342" t="s">
        <v>1884</v>
      </c>
      <c r="E13" s="2342">
        <v>2014110011</v>
      </c>
      <c r="F13" s="3006">
        <v>49302</v>
      </c>
    </row>
    <row r="14" spans="1:6" ht="20.25" customHeight="1">
      <c r="A14" s="2342" t="s">
        <v>1885</v>
      </c>
      <c r="B14" s="2342">
        <f ca="1">IF(C14&lt;B2,"已过期",1120130020)</f>
        <v>1120130020</v>
      </c>
      <c r="C14" s="3005">
        <v>43622</v>
      </c>
      <c r="D14" s="2342"/>
      <c r="E14" s="2342"/>
      <c r="F14" s="2342"/>
    </row>
    <row r="15" spans="1:6" ht="20.25" customHeight="1">
      <c r="A15" s="2342" t="s">
        <v>2536</v>
      </c>
      <c r="B15" s="2342">
        <v>1120070085</v>
      </c>
      <c r="C15" s="3005">
        <v>43814</v>
      </c>
      <c r="D15" s="2342" t="s">
        <v>2536</v>
      </c>
      <c r="E15" s="2342">
        <v>2004110128</v>
      </c>
      <c r="F15" s="3006">
        <v>47118</v>
      </c>
    </row>
    <row r="16" spans="1:6" ht="20.25" customHeight="1">
      <c r="A16" s="2342" t="s">
        <v>1886</v>
      </c>
      <c r="B16" s="2342">
        <f ca="1">IF(C16&lt;B2,"已过期",1120140022)</f>
        <v>1120140022</v>
      </c>
      <c r="C16" s="3005">
        <v>44029</v>
      </c>
      <c r="D16" s="2342" t="s">
        <v>1886</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1887</v>
      </c>
      <c r="E21" s="2342">
        <f ca="1">IF(F21&lt;B2,"已过期",2011110090)</f>
        <v>2011110090</v>
      </c>
      <c r="F21" s="3006">
        <v>48302</v>
      </c>
    </row>
    <row r="22" spans="1:7" ht="20.25" customHeight="1">
      <c r="A22" s="2342" t="s">
        <v>1888</v>
      </c>
      <c r="B22" s="2342">
        <f ca="1">IF(C22&lt;B2,"已过期",1120020033)</f>
        <v>1120020033</v>
      </c>
      <c r="C22" s="3005">
        <v>44339</v>
      </c>
      <c r="D22" s="2342" t="s">
        <v>1888</v>
      </c>
      <c r="E22" s="2342">
        <f ca="1">IF(F22&lt;B2,"已过期",2000110137)</f>
        <v>2000110137</v>
      </c>
      <c r="F22" s="3006">
        <v>46387</v>
      </c>
    </row>
    <row r="23" spans="1:7" ht="20.25" customHeight="1">
      <c r="A23" s="2342" t="s">
        <v>1889</v>
      </c>
      <c r="B23" s="2342">
        <f ca="1">IF(C23&lt;B2,"已过期",1120130048)</f>
        <v>1120130048</v>
      </c>
      <c r="C23" s="3005">
        <v>43686</v>
      </c>
      <c r="D23" s="2342"/>
      <c r="E23" s="2342"/>
      <c r="F23" s="2342"/>
    </row>
    <row r="24" spans="1:7" s="2346" customFormat="1" ht="20.25" customHeight="1">
      <c r="A24" s="2344" t="s">
        <v>2015</v>
      </c>
      <c r="B24" s="2344" t="s">
        <v>2015</v>
      </c>
      <c r="C24" s="3005"/>
      <c r="D24" s="3007" t="s">
        <v>2015</v>
      </c>
      <c r="E24" s="2344" t="s">
        <v>2015</v>
      </c>
      <c r="F24" s="2345"/>
    </row>
    <row r="25" spans="1:7" ht="20.25" customHeight="1">
      <c r="A25" s="3219" t="s">
        <v>1890</v>
      </c>
      <c r="B25" s="3219"/>
      <c r="C25" s="3219"/>
      <c r="D25" s="3219"/>
      <c r="E25" s="3219"/>
      <c r="F25" s="3219"/>
      <c r="G25" s="3219"/>
    </row>
    <row r="26" spans="1:7" ht="20.25" customHeight="1">
      <c r="A26" s="3220" t="s">
        <v>1891</v>
      </c>
      <c r="B26" s="3220"/>
      <c r="C26" s="3220"/>
      <c r="D26" s="3220" t="s">
        <v>1892</v>
      </c>
      <c r="E26" s="3220"/>
      <c r="F26" s="3220"/>
    </row>
    <row r="27" spans="1:7" s="2350" customFormat="1" ht="20.25" customHeight="1">
      <c r="A27" s="2347" t="s">
        <v>1893</v>
      </c>
      <c r="B27" s="2348" t="s">
        <v>1894</v>
      </c>
      <c r="C27" s="2348" t="s">
        <v>1895</v>
      </c>
      <c r="D27" s="2349" t="s">
        <v>1893</v>
      </c>
      <c r="E27" s="2348" t="s">
        <v>1894</v>
      </c>
      <c r="F27" s="2348" t="s">
        <v>1895</v>
      </c>
    </row>
    <row r="28" spans="1:7" s="2350" customFormat="1" ht="20.25" customHeight="1">
      <c r="A28" s="2351" t="s">
        <v>1896</v>
      </c>
      <c r="B28" s="2351" t="s">
        <v>1897</v>
      </c>
      <c r="C28" s="2352">
        <v>43725</v>
      </c>
      <c r="D28" s="2351" t="s">
        <v>1898</v>
      </c>
      <c r="E28" s="2351" t="s">
        <v>1899</v>
      </c>
      <c r="F28" s="2353">
        <v>44377</v>
      </c>
    </row>
    <row r="29" spans="1:7" s="2350" customFormat="1" ht="20.25" customHeight="1">
      <c r="A29" s="2351"/>
      <c r="B29" s="2351"/>
      <c r="C29" s="2354"/>
      <c r="D29" s="2351" t="s">
        <v>1900</v>
      </c>
      <c r="E29" s="2355" t="s">
        <v>2905</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0" sqref="B10"/>
    </sheetView>
  </sheetViews>
  <sheetFormatPr defaultColWidth="9" defaultRowHeight="13.8"/>
  <cols>
    <col min="1" max="1" width="14.44140625" style="1183" customWidth="1"/>
    <col min="2" max="2" width="18.88671875" style="1161" customWidth="1"/>
    <col min="3" max="3" width="18.88671875" style="10" hidden="1" customWidth="1"/>
    <col min="4" max="4" width="5.44140625" style="9" hidden="1" customWidth="1"/>
    <col min="5" max="5" width="7.109375" style="9" hidden="1" customWidth="1"/>
    <col min="6" max="6" width="10.6640625" style="9" hidden="1" customWidth="1"/>
    <col min="7" max="7" width="7.44140625" style="9" hidden="1" customWidth="1"/>
    <col min="8" max="8" width="9" style="10" hidden="1" customWidth="1"/>
    <col min="9" max="9" width="11.6640625" style="10" hidden="1" customWidth="1"/>
    <col min="10" max="10" width="9" style="10" hidden="1" customWidth="1"/>
    <col min="11" max="19" width="9" style="9" hidden="1" customWidth="1"/>
    <col min="20" max="22" width="9" style="10" hidden="1" customWidth="1"/>
    <col min="23" max="23" width="9" style="10" customWidth="1"/>
    <col min="24" max="24" width="14.6640625" style="1161" customWidth="1"/>
    <col min="25" max="25" width="7.21875" style="1161" customWidth="1"/>
    <col min="26" max="16384" width="9" style="1161"/>
  </cols>
  <sheetData>
    <row r="1" spans="1:23" s="1182" customFormat="1" ht="28.8">
      <c r="A1" s="965" t="s">
        <v>821</v>
      </c>
      <c r="B1" s="5" t="s">
        <v>105</v>
      </c>
      <c r="C1" s="1548" t="s">
        <v>1670</v>
      </c>
      <c r="D1" s="6" t="s">
        <v>106</v>
      </c>
      <c r="E1" s="6" t="s">
        <v>107</v>
      </c>
      <c r="F1" s="6" t="s">
        <v>108</v>
      </c>
      <c r="G1" s="6" t="s">
        <v>109</v>
      </c>
      <c r="H1" s="6" t="s">
        <v>110</v>
      </c>
      <c r="I1" s="6" t="s">
        <v>111</v>
      </c>
      <c r="J1" s="6" t="s">
        <v>112</v>
      </c>
      <c r="K1" s="6" t="s">
        <v>113</v>
      </c>
      <c r="L1" s="6" t="s">
        <v>114</v>
      </c>
      <c r="M1" s="6" t="s">
        <v>115</v>
      </c>
      <c r="N1" s="6" t="s">
        <v>116</v>
      </c>
      <c r="O1" s="6" t="s">
        <v>117</v>
      </c>
      <c r="P1" s="6" t="s">
        <v>118</v>
      </c>
      <c r="Q1" s="2582" t="s">
        <v>2507</v>
      </c>
      <c r="R1" s="2581" t="s">
        <v>2501</v>
      </c>
      <c r="S1" s="6" t="s">
        <v>119</v>
      </c>
      <c r="T1" s="7" t="s">
        <v>120</v>
      </c>
      <c r="U1" s="6" t="s">
        <v>121</v>
      </c>
      <c r="V1" s="6" t="s">
        <v>122</v>
      </c>
      <c r="W1" s="1002" t="s">
        <v>839</v>
      </c>
    </row>
    <row r="2" spans="1:23" ht="14.4">
      <c r="A2" s="3112" t="s">
        <v>2943</v>
      </c>
      <c r="B2" s="8" t="s">
        <v>123</v>
      </c>
      <c r="C2" s="1549" t="s">
        <v>1671</v>
      </c>
      <c r="D2" s="9" t="s">
        <v>72</v>
      </c>
      <c r="E2" s="9" t="s">
        <v>100</v>
      </c>
      <c r="F2" s="9" t="s">
        <v>101</v>
      </c>
      <c r="G2" s="9">
        <v>40</v>
      </c>
      <c r="H2" s="9" t="s">
        <v>102</v>
      </c>
      <c r="I2" s="9" t="s">
        <v>103</v>
      </c>
      <c r="J2" s="9" t="s">
        <v>104</v>
      </c>
      <c r="K2" s="9" t="s">
        <v>73</v>
      </c>
      <c r="L2" s="9" t="s">
        <v>73</v>
      </c>
      <c r="M2" s="9" t="s">
        <v>73</v>
      </c>
      <c r="N2" s="9" t="s">
        <v>73</v>
      </c>
      <c r="O2" s="9" t="s">
        <v>73</v>
      </c>
      <c r="P2" s="1004" t="s">
        <v>845</v>
      </c>
      <c r="Q2" s="9" t="s">
        <v>73</v>
      </c>
      <c r="R2" s="1004" t="s">
        <v>2502</v>
      </c>
      <c r="S2" s="9" t="s">
        <v>73</v>
      </c>
      <c r="T2" s="9" t="s">
        <v>74</v>
      </c>
      <c r="U2" s="9" t="s">
        <v>73</v>
      </c>
      <c r="V2" s="9" t="s">
        <v>75</v>
      </c>
      <c r="W2" s="9" t="s">
        <v>840</v>
      </c>
    </row>
    <row r="3" spans="1:23" ht="14.4">
      <c r="A3" s="3112" t="s">
        <v>2945</v>
      </c>
      <c r="B3" s="3180" t="s">
        <v>2985</v>
      </c>
      <c r="C3" s="1550" t="s">
        <v>1672</v>
      </c>
      <c r="D3" s="9" t="s">
        <v>76</v>
      </c>
      <c r="E3" s="9" t="s">
        <v>6</v>
      </c>
      <c r="F3" s="9" t="s">
        <v>77</v>
      </c>
      <c r="G3" s="9">
        <v>50</v>
      </c>
      <c r="H3" s="9" t="s">
        <v>78</v>
      </c>
      <c r="I3" s="9" t="s">
        <v>79</v>
      </c>
      <c r="J3" s="9" t="s">
        <v>80</v>
      </c>
      <c r="K3" s="9" t="s">
        <v>81</v>
      </c>
      <c r="L3" s="9" t="s">
        <v>81</v>
      </c>
      <c r="M3" s="9" t="s">
        <v>81</v>
      </c>
      <c r="N3" s="9" t="s">
        <v>81</v>
      </c>
      <c r="O3" s="9" t="s">
        <v>81</v>
      </c>
      <c r="P3" s="1004" t="s">
        <v>565</v>
      </c>
      <c r="Q3" s="9" t="s">
        <v>81</v>
      </c>
      <c r="R3" s="1004" t="s">
        <v>2503</v>
      </c>
      <c r="S3" s="9" t="s">
        <v>81</v>
      </c>
      <c r="T3" s="9" t="s">
        <v>82</v>
      </c>
      <c r="U3" s="9" t="s">
        <v>81</v>
      </c>
      <c r="V3" s="9" t="s">
        <v>83</v>
      </c>
      <c r="W3" s="9" t="s">
        <v>841</v>
      </c>
    </row>
    <row r="4" spans="1:23" ht="14.4">
      <c r="A4" s="3112"/>
      <c r="B4" s="8" t="s">
        <v>124</v>
      </c>
      <c r="C4" s="1549" t="s">
        <v>1673</v>
      </c>
      <c r="D4" s="9" t="s">
        <v>1957</v>
      </c>
      <c r="E4" s="9" t="s">
        <v>84</v>
      </c>
      <c r="F4" s="9" t="s">
        <v>85</v>
      </c>
      <c r="G4" s="9">
        <v>70</v>
      </c>
      <c r="H4" s="9" t="s">
        <v>86</v>
      </c>
      <c r="I4" s="9" t="s">
        <v>87</v>
      </c>
      <c r="K4" s="9" t="s">
        <v>88</v>
      </c>
      <c r="L4" s="9" t="s">
        <v>88</v>
      </c>
      <c r="M4" s="9" t="s">
        <v>88</v>
      </c>
      <c r="N4" s="9" t="s">
        <v>88</v>
      </c>
      <c r="O4" s="9" t="s">
        <v>88</v>
      </c>
      <c r="P4" s="1004" t="s">
        <v>725</v>
      </c>
      <c r="Q4" s="9" t="s">
        <v>88</v>
      </c>
      <c r="R4" s="1004" t="s">
        <v>2504</v>
      </c>
      <c r="S4" s="9" t="s">
        <v>88</v>
      </c>
      <c r="T4" s="9" t="s">
        <v>89</v>
      </c>
      <c r="U4" s="9" t="s">
        <v>88</v>
      </c>
      <c r="W4" s="9" t="s">
        <v>842</v>
      </c>
    </row>
    <row r="5" spans="1:23" ht="14.4">
      <c r="A5" s="8"/>
      <c r="B5" s="8"/>
      <c r="C5" s="1549" t="s">
        <v>1674</v>
      </c>
      <c r="F5" s="9" t="s">
        <v>90</v>
      </c>
      <c r="H5" s="9" t="s">
        <v>69</v>
      </c>
      <c r="I5" s="9" t="s">
        <v>91</v>
      </c>
      <c r="K5" s="9" t="s">
        <v>92</v>
      </c>
      <c r="L5" s="9" t="s">
        <v>92</v>
      </c>
      <c r="M5" s="9" t="s">
        <v>92</v>
      </c>
      <c r="N5" s="9" t="s">
        <v>92</v>
      </c>
      <c r="O5" s="9" t="s">
        <v>92</v>
      </c>
      <c r="P5" s="1004" t="s">
        <v>511</v>
      </c>
      <c r="Q5" s="9" t="s">
        <v>92</v>
      </c>
      <c r="R5" s="1004" t="s">
        <v>2505</v>
      </c>
      <c r="S5" s="9" t="s">
        <v>92</v>
      </c>
      <c r="T5" s="9" t="s">
        <v>93</v>
      </c>
      <c r="U5" s="9" t="s">
        <v>92</v>
      </c>
      <c r="W5" s="9" t="s">
        <v>843</v>
      </c>
    </row>
    <row r="6" spans="1:23" ht="14.4">
      <c r="A6" s="8"/>
      <c r="B6" s="1147"/>
      <c r="C6" s="1551" t="s">
        <v>1675</v>
      </c>
      <c r="F6" s="9" t="s">
        <v>70</v>
      </c>
      <c r="H6" s="9" t="s">
        <v>71</v>
      </c>
      <c r="I6" s="9" t="s">
        <v>94</v>
      </c>
      <c r="K6" s="9" t="s">
        <v>95</v>
      </c>
      <c r="L6" s="9" t="s">
        <v>95</v>
      </c>
      <c r="M6" s="9" t="s">
        <v>95</v>
      </c>
      <c r="N6" s="9" t="s">
        <v>95</v>
      </c>
      <c r="O6" s="9" t="s">
        <v>95</v>
      </c>
      <c r="P6" s="1004" t="s">
        <v>846</v>
      </c>
      <c r="Q6" s="9" t="s">
        <v>95</v>
      </c>
      <c r="R6" s="1004" t="s">
        <v>2506</v>
      </c>
      <c r="S6" s="9" t="s">
        <v>95</v>
      </c>
      <c r="T6" s="9"/>
      <c r="U6" s="9" t="s">
        <v>95</v>
      </c>
      <c r="W6" s="9" t="s">
        <v>844</v>
      </c>
    </row>
    <row r="7" spans="1:23" ht="14.4">
      <c r="A7" s="8"/>
      <c r="B7" s="8"/>
      <c r="C7" s="1549" t="s">
        <v>1676</v>
      </c>
      <c r="F7" s="9" t="s">
        <v>125</v>
      </c>
      <c r="H7" s="9" t="s">
        <v>96</v>
      </c>
      <c r="I7" s="9" t="s">
        <v>97</v>
      </c>
    </row>
    <row r="8" spans="1:23" ht="14.4">
      <c r="A8" s="8"/>
      <c r="B8" s="8"/>
      <c r="C8" s="1549" t="s">
        <v>1677</v>
      </c>
      <c r="F8" s="9" t="s">
        <v>126</v>
      </c>
      <c r="H8" s="9"/>
      <c r="I8" s="9" t="s">
        <v>98</v>
      </c>
    </row>
    <row r="9" spans="1:23" ht="14.4">
      <c r="A9" s="8"/>
      <c r="B9" s="8"/>
      <c r="C9" s="1549" t="s">
        <v>1678</v>
      </c>
      <c r="F9" s="9" t="s">
        <v>99</v>
      </c>
      <c r="H9" s="9"/>
    </row>
    <row r="10" spans="1:23" ht="14.4">
      <c r="A10" s="8"/>
      <c r="B10" s="8"/>
      <c r="C10" s="1549" t="s">
        <v>1679</v>
      </c>
      <c r="F10" s="9" t="s">
        <v>6</v>
      </c>
    </row>
    <row r="11" spans="1:23" ht="14.4">
      <c r="A11" s="8"/>
      <c r="B11" s="8"/>
      <c r="C11" s="1549" t="s">
        <v>1680</v>
      </c>
    </row>
    <row r="12" spans="1:23" ht="14.4">
      <c r="A12" s="8"/>
      <c r="B12" s="8"/>
      <c r="C12" s="1549" t="s">
        <v>1681</v>
      </c>
    </row>
    <row r="13" spans="1:23" ht="14.4">
      <c r="A13" s="8"/>
      <c r="B13" s="8"/>
      <c r="C13" s="1549" t="s">
        <v>1682</v>
      </c>
    </row>
    <row r="14" spans="1:23">
      <c r="A14" s="8"/>
      <c r="B14" s="8"/>
      <c r="C14" s="1552" t="s">
        <v>1858</v>
      </c>
    </row>
    <row r="15" spans="1:23">
      <c r="A15" s="8"/>
      <c r="B15" s="8"/>
      <c r="C15" s="1552"/>
    </row>
    <row r="16" spans="1:23">
      <c r="A16" s="8"/>
      <c r="B16" s="8"/>
      <c r="C16" s="1552"/>
    </row>
    <row r="17" spans="1:3">
      <c r="A17" s="8"/>
      <c r="B17" s="8"/>
      <c r="C17" s="1552"/>
    </row>
    <row r="18" spans="1:3" ht="14.4">
      <c r="A18" s="8"/>
      <c r="B18" s="3112"/>
      <c r="C18" s="1552"/>
    </row>
    <row r="19" spans="1:3" ht="14.4">
      <c r="A19" s="8"/>
      <c r="B19" s="3112"/>
      <c r="C19" s="1552"/>
    </row>
    <row r="20" spans="1:3">
      <c r="A20" s="8"/>
      <c r="B20" s="8" t="s">
        <v>1606</v>
      </c>
      <c r="C20" s="1552"/>
    </row>
    <row r="21" spans="1:3">
      <c r="A21" s="8"/>
      <c r="B21" s="8" t="s">
        <v>1606</v>
      </c>
      <c r="C21" s="1552"/>
    </row>
    <row r="22" spans="1:3">
      <c r="A22" s="8"/>
      <c r="B22" s="8" t="s">
        <v>1606</v>
      </c>
      <c r="C22" s="1552"/>
    </row>
    <row r="23" spans="1:3">
      <c r="A23" s="8"/>
      <c r="B23" s="8" t="s">
        <v>1606</v>
      </c>
      <c r="C23" s="1552"/>
    </row>
    <row r="24" spans="1:3">
      <c r="A24" s="8"/>
      <c r="B24" s="8" t="s">
        <v>1606</v>
      </c>
      <c r="C24" s="1552"/>
    </row>
    <row r="25" spans="1:3">
      <c r="A25" s="8"/>
      <c r="B25" s="8" t="s">
        <v>1606</v>
      </c>
      <c r="C25" s="1552"/>
    </row>
    <row r="26" spans="1:3">
      <c r="A26" s="8"/>
      <c r="B26" s="8" t="s">
        <v>1606</v>
      </c>
      <c r="C26" s="1552"/>
    </row>
    <row r="27" spans="1:3">
      <c r="A27" s="8" t="s">
        <v>1606</v>
      </c>
      <c r="B27" s="8" t="s">
        <v>1606</v>
      </c>
      <c r="C27" s="1552"/>
    </row>
    <row r="28" spans="1:3">
      <c r="A28" s="8" t="s">
        <v>1606</v>
      </c>
      <c r="B28" s="8" t="s">
        <v>1606</v>
      </c>
      <c r="C28" s="1552"/>
    </row>
    <row r="29" spans="1:3">
      <c r="A29" s="8" t="s">
        <v>1606</v>
      </c>
      <c r="B29" s="8" t="s">
        <v>1606</v>
      </c>
      <c r="C29" s="1552"/>
    </row>
    <row r="30" spans="1:3">
      <c r="A30" s="8" t="s">
        <v>1606</v>
      </c>
      <c r="B30" s="8" t="s">
        <v>1606</v>
      </c>
      <c r="C30" s="1552"/>
    </row>
    <row r="31" spans="1:3">
      <c r="A31" s="8" t="s">
        <v>1606</v>
      </c>
      <c r="B31" s="8" t="s">
        <v>1606</v>
      </c>
      <c r="C31" s="1552"/>
    </row>
    <row r="32" spans="1:3">
      <c r="A32" s="8" t="s">
        <v>1606</v>
      </c>
      <c r="B32" s="8" t="s">
        <v>1606</v>
      </c>
      <c r="C32" s="1552"/>
    </row>
    <row r="33" spans="1:3">
      <c r="A33" s="8" t="s">
        <v>1606</v>
      </c>
      <c r="B33" s="8" t="s">
        <v>1606</v>
      </c>
      <c r="C33" s="1552"/>
    </row>
    <row r="34" spans="1:3">
      <c r="A34" s="8" t="s">
        <v>1606</v>
      </c>
      <c r="B34" s="8" t="s">
        <v>1606</v>
      </c>
      <c r="C34" s="1552"/>
    </row>
    <row r="35" spans="1:3">
      <c r="A35" s="8" t="s">
        <v>1606</v>
      </c>
      <c r="B35" s="8" t="s">
        <v>1606</v>
      </c>
      <c r="C35" s="1552"/>
    </row>
    <row r="36" spans="1:3">
      <c r="A36" s="8" t="s">
        <v>1606</v>
      </c>
      <c r="B36" s="8" t="s">
        <v>1606</v>
      </c>
      <c r="C36" s="1552"/>
    </row>
    <row r="37" spans="1:3">
      <c r="A37" s="8" t="s">
        <v>1606</v>
      </c>
      <c r="B37" s="8" t="s">
        <v>1606</v>
      </c>
      <c r="C37" s="1552"/>
    </row>
    <row r="38" spans="1:3">
      <c r="A38" s="8" t="s">
        <v>1606</v>
      </c>
      <c r="B38" s="8" t="s">
        <v>1606</v>
      </c>
      <c r="C38" s="1552"/>
    </row>
    <row r="39" spans="1:3">
      <c r="A39" s="8" t="s">
        <v>1606</v>
      </c>
      <c r="B39" s="8" t="s">
        <v>1606</v>
      </c>
      <c r="C39" s="1552"/>
    </row>
    <row r="40" spans="1:3">
      <c r="A40" s="8" t="s">
        <v>1606</v>
      </c>
      <c r="B40" s="8" t="s">
        <v>1606</v>
      </c>
      <c r="C40" s="1552"/>
    </row>
    <row r="41" spans="1:3">
      <c r="A41" s="8" t="s">
        <v>1606</v>
      </c>
      <c r="B41" s="8" t="s">
        <v>1606</v>
      </c>
      <c r="C41" s="1552"/>
    </row>
    <row r="42" spans="1:3">
      <c r="A42" s="8" t="s">
        <v>1606</v>
      </c>
      <c r="B42" s="8" t="s">
        <v>1606</v>
      </c>
      <c r="C42" s="1552"/>
    </row>
    <row r="43" spans="1:3">
      <c r="A43" s="8" t="s">
        <v>1606</v>
      </c>
      <c r="B43" s="8" t="s">
        <v>1606</v>
      </c>
      <c r="C43" s="1552"/>
    </row>
    <row r="44" spans="1:3">
      <c r="A44" s="8" t="s">
        <v>1606</v>
      </c>
      <c r="B44" s="8" t="s">
        <v>1606</v>
      </c>
      <c r="C44" s="1552"/>
    </row>
    <row r="45" spans="1:3">
      <c r="A45" s="8" t="s">
        <v>1606</v>
      </c>
      <c r="B45" s="8" t="s">
        <v>1606</v>
      </c>
      <c r="C45" s="1552"/>
    </row>
    <row r="46" spans="1:3">
      <c r="A46" s="8" t="s">
        <v>1606</v>
      </c>
      <c r="B46" s="8" t="s">
        <v>1606</v>
      </c>
      <c r="C46" s="1552"/>
    </row>
    <row r="47" spans="1:3">
      <c r="A47" s="8" t="s">
        <v>1606</v>
      </c>
      <c r="B47" s="8" t="s">
        <v>1606</v>
      </c>
      <c r="C47" s="1552"/>
    </row>
    <row r="48" spans="1:3">
      <c r="A48" s="8" t="s">
        <v>1606</v>
      </c>
      <c r="B48" s="8" t="s">
        <v>1606</v>
      </c>
      <c r="C48" s="1552"/>
    </row>
    <row r="49" spans="1:5">
      <c r="A49" s="8" t="s">
        <v>1606</v>
      </c>
      <c r="B49" s="8" t="s">
        <v>1606</v>
      </c>
      <c r="C49" s="1552"/>
    </row>
    <row r="50" spans="1:5">
      <c r="A50" s="8" t="s">
        <v>1606</v>
      </c>
      <c r="B50" s="8" t="s">
        <v>1606</v>
      </c>
      <c r="C50" s="1552"/>
    </row>
    <row r="51" spans="1:5">
      <c r="A51" s="1764" t="s">
        <v>1906</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三亚吉阳区人民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1949</v>
      </c>
      <c r="B52" s="1767" t="s">
        <v>1950</v>
      </c>
      <c r="C52" s="1765" t="s">
        <v>1951</v>
      </c>
      <c r="D52" s="1765" t="s">
        <v>1952</v>
      </c>
      <c r="E52" s="1766"/>
    </row>
    <row r="53" spans="1:5">
      <c r="A53" s="3221" t="s">
        <v>1953</v>
      </c>
      <c r="B53" s="1765" t="s">
        <v>1959</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24日，在规划利用条件下、设定土地开发程度为红线外“七通”、宗地内场地平整，设定用途为，剩余土地使用年限为的出让国有建设用地使用权价格。</v>
      </c>
      <c r="D53" s="1766"/>
      <c r="E53" s="1766"/>
    </row>
    <row r="54" spans="1:5">
      <c r="A54" s="3221"/>
      <c r="B54" s="1765" t="s">
        <v>1960</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21"/>
      <c r="B55" s="1765" t="s">
        <v>1954</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21"/>
      <c r="B56" s="1765" t="s">
        <v>1955</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21"/>
      <c r="B57" s="1765" t="s">
        <v>1956</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ht="14.4">
      <c r="A58" s="1768" t="s">
        <v>2011</v>
      </c>
      <c r="B58" s="1765" t="s">
        <v>2012</v>
      </c>
      <c r="C58" s="10" t="s">
        <v>2013</v>
      </c>
      <c r="D58" s="1317" t="s">
        <v>2014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4" sqref="I24"/>
    </sheetView>
  </sheetViews>
  <sheetFormatPr defaultColWidth="10" defaultRowHeight="15.6"/>
  <cols>
    <col min="1" max="1" width="15.33203125" style="1688" customWidth="1"/>
    <col min="2" max="2" width="15.6640625" style="1688" customWidth="1"/>
    <col min="3" max="4" width="12.6640625" style="1688" customWidth="1"/>
    <col min="5" max="5" width="12.44140625" style="1688" customWidth="1"/>
    <col min="6" max="6" width="11.33203125" style="1688" customWidth="1"/>
    <col min="7" max="7" width="12.33203125" style="1688" customWidth="1"/>
    <col min="8" max="8" width="10" style="1688" customWidth="1"/>
    <col min="9" max="9" width="12.441406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6.2" thickBot="1">
      <c r="A1" s="1656" t="s">
        <v>1901</v>
      </c>
      <c r="B1" s="3237" t="str">
        <f>IF(B10="北京市","北京市",C10)&amp;F10&amp;B16&amp;"国有建设用地使用权"&amp;B9&amp;"预评估"</f>
        <v>三亚吉阳区人民街出让国有建设用地使用权抵押价格预评估</v>
      </c>
      <c r="C1" s="3238"/>
      <c r="D1" s="3238"/>
      <c r="E1" s="3238"/>
      <c r="F1" s="3238"/>
      <c r="G1" s="3238"/>
      <c r="H1" s="3238"/>
      <c r="I1" s="3239"/>
      <c r="J1" s="1691"/>
      <c r="K1" s="2453" t="str">
        <f>IF(B10="北京市","北京市",C10)&amp;F10&amp;B16&amp;"国有建设用地使用权"&amp;B9</f>
        <v>三亚吉阳区人民街出让国有建设用地使用权抵押价格</v>
      </c>
      <c r="L1" s="1720"/>
      <c r="M1" s="1720"/>
      <c r="N1" s="1691"/>
      <c r="O1" s="1692"/>
      <c r="P1" s="1691"/>
      <c r="Q1" s="1691"/>
      <c r="R1" s="1691"/>
      <c r="S1" s="1691"/>
      <c r="T1" s="1691"/>
      <c r="U1" s="1691"/>
    </row>
    <row r="2" spans="1:21">
      <c r="A2" s="1657" t="s">
        <v>1902</v>
      </c>
      <c r="B2" s="1839" t="s">
        <v>3319</v>
      </c>
      <c r="D2" s="1691"/>
      <c r="E2" s="1691"/>
      <c r="F2" s="1691"/>
      <c r="G2" s="1691"/>
      <c r="H2" s="1657"/>
      <c r="I2" s="1692"/>
      <c r="J2" s="1691"/>
      <c r="K2" s="2453" t="str">
        <f>IF(B10="北京市","北京市",C10)&amp;F10&amp;B16&amp;"国有建设用地使用权"</f>
        <v>三亚吉阳区人民街出让国有建设用地使用权</v>
      </c>
      <c r="L2" s="1720"/>
      <c r="M2" s="1720"/>
      <c r="N2" s="1691"/>
      <c r="O2" s="1692"/>
      <c r="P2" s="1691"/>
      <c r="Q2" s="1691"/>
      <c r="R2" s="1691"/>
      <c r="S2" s="1691"/>
      <c r="T2" s="1691"/>
      <c r="U2" s="1691"/>
    </row>
    <row r="3" spans="1:21">
      <c r="A3" s="1658" t="s">
        <v>1903</v>
      </c>
      <c r="B3" s="1659">
        <v>43458</v>
      </c>
      <c r="C3" s="1660" t="s">
        <v>1958</v>
      </c>
      <c r="D3" s="1659">
        <f>B3</f>
        <v>43458</v>
      </c>
      <c r="E3" s="1691"/>
      <c r="F3" s="1691"/>
      <c r="G3" s="1691"/>
      <c r="H3" s="1657"/>
      <c r="I3" s="1692"/>
      <c r="J3" s="1691"/>
      <c r="K3" s="1771"/>
      <c r="L3" s="1720"/>
      <c r="M3" s="1720"/>
      <c r="N3" s="1691"/>
      <c r="O3" s="1692"/>
      <c r="P3" s="1691"/>
      <c r="Q3" s="1691"/>
      <c r="R3" s="1691"/>
      <c r="S3" s="1691"/>
      <c r="T3" s="1691"/>
      <c r="U3" s="1691"/>
    </row>
    <row r="4" spans="1:21" ht="16.2" thickBot="1">
      <c r="A4" s="1661" t="s">
        <v>1904</v>
      </c>
      <c r="B4" s="1840" t="s">
        <v>3076</v>
      </c>
      <c r="C4" s="1843">
        <f ca="1">SUMIF(土地估价师,B4,估价师及机构信息!E3:E24)</f>
        <v>2002110030</v>
      </c>
      <c r="D4" s="1840" t="s">
        <v>2992</v>
      </c>
      <c r="E4" s="1843">
        <f ca="1">SUMIF(土地估价师,D4,估价师及机构信息!E3:E24)</f>
        <v>2010110070</v>
      </c>
      <c r="F4" s="1840" t="s">
        <v>917</v>
      </c>
      <c r="G4" s="1843">
        <f>SUMIF(土地估价师,F4,估价师及机构信息!E3:E24)</f>
        <v>0</v>
      </c>
      <c r="H4" s="1840" t="s">
        <v>917</v>
      </c>
      <c r="I4" s="1843">
        <f>SUMIF(土地估价师,H4,估价师及机构信息!E3:E24)</f>
        <v>0</v>
      </c>
      <c r="J4" s="1691"/>
      <c r="K4" s="2453" t="str">
        <f>IF(AND(F4="——",H4="——"),B4&amp;"、"&amp;D4,IF(AND(F4&lt;&gt;"——",H4="——"),B4&amp;"、"&amp;D4&amp;"、"&amp;F4,B4&amp;"、"&amp;D4&amp;"、"&amp;F4&amp;"、"&amp;H4))</f>
        <v>王鹏、崔锴</v>
      </c>
      <c r="L4" s="1720"/>
      <c r="M4" s="1720"/>
      <c r="N4" s="1691"/>
      <c r="O4" s="1692"/>
      <c r="P4" s="1691"/>
      <c r="Q4" s="1691"/>
      <c r="R4" s="1691"/>
      <c r="S4" s="1691"/>
      <c r="T4" s="1691"/>
      <c r="U4" s="1691"/>
    </row>
    <row r="5" spans="1:21" ht="16.2" thickTop="1">
      <c r="A5" s="1662" t="s">
        <v>1905</v>
      </c>
      <c r="B5" s="1786"/>
      <c r="C5" s="1663"/>
      <c r="D5" s="1664"/>
      <c r="E5" s="1691"/>
      <c r="F5" s="1691"/>
      <c r="G5" s="1691"/>
      <c r="H5" s="1657"/>
      <c r="I5" s="1692"/>
      <c r="J5" s="1691"/>
      <c r="K5" s="1771"/>
      <c r="L5" s="1720"/>
      <c r="M5" s="1720"/>
      <c r="N5" s="1691"/>
      <c r="O5" s="1692"/>
      <c r="P5" s="1691"/>
      <c r="Q5" s="1691"/>
      <c r="R5" s="1691"/>
      <c r="S5" s="1691"/>
      <c r="T5" s="1691"/>
      <c r="U5" s="1691"/>
    </row>
    <row r="6" spans="1:21" ht="27.6">
      <c r="A6" s="1660" t="s">
        <v>2668</v>
      </c>
      <c r="B6" s="1786"/>
      <c r="C6" s="1758"/>
      <c r="D6" s="1665"/>
      <c r="E6" s="1691"/>
      <c r="F6" s="1691"/>
      <c r="G6" s="1691"/>
      <c r="H6" s="1657"/>
      <c r="I6" s="1692"/>
      <c r="J6" s="1691"/>
      <c r="K6" s="3054" t="str">
        <f>IF(COUNTIF(B6,"*上海银行*"),"上海银行","")</f>
        <v/>
      </c>
      <c r="L6" s="1720"/>
      <c r="M6" s="1720"/>
      <c r="N6" s="1691"/>
      <c r="O6" s="1692"/>
      <c r="P6" s="1691"/>
      <c r="Q6" s="1691"/>
      <c r="R6" s="1691"/>
      <c r="S6" s="1691"/>
      <c r="T6" s="1691"/>
      <c r="U6" s="1691"/>
    </row>
    <row r="7" spans="1:21">
      <c r="A7" s="1666" t="s">
        <v>2669</v>
      </c>
      <c r="B7" s="1786"/>
      <c r="C7" s="1758"/>
      <c r="D7" s="1665"/>
      <c r="E7" s="1691"/>
      <c r="F7" s="1691"/>
      <c r="G7" s="1691"/>
      <c r="H7" s="1657"/>
      <c r="I7" s="1692"/>
      <c r="J7" s="1691"/>
      <c r="K7" s="1771"/>
      <c r="L7" s="1720"/>
      <c r="M7" s="1720"/>
      <c r="N7" s="1691"/>
      <c r="O7" s="1692"/>
      <c r="P7" s="1691"/>
      <c r="Q7" s="1691"/>
      <c r="R7" s="1691"/>
      <c r="S7" s="1691"/>
      <c r="T7" s="1691"/>
      <c r="U7" s="1691"/>
    </row>
    <row r="8" spans="1:21">
      <c r="A8" s="1666" t="s">
        <v>1906</v>
      </c>
      <c r="B8" s="1667" t="s">
        <v>2955</v>
      </c>
      <c r="C8" s="1668"/>
      <c r="D8" s="3243" t="s">
        <v>1908</v>
      </c>
      <c r="E8" s="1841" t="s">
        <v>2954</v>
      </c>
      <c r="F8" s="1669"/>
      <c r="G8" s="1657"/>
      <c r="H8" s="1657"/>
      <c r="I8" s="1704"/>
      <c r="J8" s="1691"/>
      <c r="K8" s="1771"/>
      <c r="L8" s="1720"/>
      <c r="M8" s="1720"/>
      <c r="N8" s="1691"/>
      <c r="O8" s="1692"/>
      <c r="P8" s="1691"/>
      <c r="Q8" s="1691"/>
      <c r="R8" s="1691"/>
      <c r="S8" s="1691"/>
      <c r="T8" s="1691"/>
      <c r="U8" s="1691"/>
    </row>
    <row r="9" spans="1:21" ht="16.2" thickBot="1">
      <c r="A9" s="1670" t="s">
        <v>1907</v>
      </c>
      <c r="B9" s="1671" t="s">
        <v>2954</v>
      </c>
      <c r="C9" s="1672"/>
      <c r="D9" s="3244"/>
      <c r="E9" s="1671" t="s">
        <v>917</v>
      </c>
      <c r="F9" s="1744"/>
      <c r="G9" s="1739"/>
      <c r="H9" s="1739"/>
      <c r="I9" s="1740"/>
      <c r="J9" s="1691"/>
      <c r="K9" s="1771"/>
      <c r="L9" s="1720"/>
      <c r="M9" s="1720"/>
      <c r="N9" s="1691"/>
      <c r="O9" s="1692"/>
      <c r="P9" s="1691"/>
      <c r="Q9" s="1691"/>
      <c r="R9" s="1691"/>
      <c r="S9" s="1691"/>
      <c r="T9" s="1691"/>
      <c r="U9" s="1691"/>
    </row>
    <row r="10" spans="1:21" ht="16.2" thickTop="1">
      <c r="A10" s="1741" t="s">
        <v>1961</v>
      </c>
      <c r="B10" s="1716" t="s">
        <v>2956</v>
      </c>
      <c r="C10" s="1673" t="s">
        <v>3077</v>
      </c>
      <c r="D10" s="1664"/>
      <c r="E10" s="1674" t="s">
        <v>1910</v>
      </c>
      <c r="F10" s="1675" t="s">
        <v>3078</v>
      </c>
      <c r="G10" s="1742"/>
      <c r="H10" s="1743"/>
      <c r="I10" s="1664"/>
      <c r="J10" s="1691"/>
      <c r="K10" s="1771"/>
      <c r="L10" s="1720"/>
      <c r="M10" s="1720"/>
      <c r="N10" s="1691"/>
      <c r="O10" s="1692"/>
      <c r="P10" s="1691"/>
      <c r="Q10" s="1691"/>
      <c r="R10" s="1691"/>
      <c r="S10" s="1691"/>
      <c r="T10" s="1691"/>
      <c r="U10" s="1691"/>
    </row>
    <row r="11" spans="1:21">
      <c r="A11" s="1694" t="s">
        <v>1962</v>
      </c>
      <c r="B11" s="1695" t="s">
        <v>2957</v>
      </c>
      <c r="C11" s="1676"/>
      <c r="D11" s="1759"/>
      <c r="E11" s="1657"/>
      <c r="F11" s="1657"/>
      <c r="G11" s="1657"/>
      <c r="H11" s="1657"/>
      <c r="I11" s="1657"/>
      <c r="J11" s="1691"/>
      <c r="K11" s="1771"/>
      <c r="L11" s="1720"/>
      <c r="M11" s="1720"/>
      <c r="N11" s="1691"/>
      <c r="O11" s="1692"/>
      <c r="P11" s="1691"/>
      <c r="Q11" s="1691"/>
      <c r="R11" s="1691"/>
      <c r="S11" s="1691"/>
      <c r="T11" s="1691"/>
      <c r="U11" s="1691"/>
    </row>
    <row r="12" spans="1:21">
      <c r="A12" s="1782" t="s">
        <v>2020</v>
      </c>
      <c r="B12" s="3240"/>
      <c r="C12" s="3241"/>
      <c r="D12" s="3242"/>
      <c r="E12" s="1696" t="s">
        <v>2023</v>
      </c>
      <c r="F12" s="3258"/>
      <c r="G12" s="3259"/>
      <c r="H12" s="3259"/>
      <c r="I12" s="3260"/>
      <c r="J12" s="1691"/>
      <c r="K12" s="1771"/>
      <c r="L12" s="1720"/>
      <c r="M12" s="1720"/>
      <c r="N12" s="1691"/>
      <c r="O12" s="1692"/>
      <c r="P12" s="1691"/>
      <c r="Q12" s="1691"/>
      <c r="R12" s="1691"/>
      <c r="S12" s="1691"/>
      <c r="T12" s="1691"/>
      <c r="U12" s="1691"/>
    </row>
    <row r="13" spans="1:21">
      <c r="A13" s="1684" t="s">
        <v>2021</v>
      </c>
      <c r="B13" s="3240"/>
      <c r="C13" s="3241"/>
      <c r="D13" s="3242"/>
      <c r="E13" s="1696" t="s">
        <v>2023</v>
      </c>
      <c r="F13" s="3258" t="s">
        <v>2958</v>
      </c>
      <c r="G13" s="3259"/>
      <c r="H13" s="3259"/>
      <c r="I13" s="3260"/>
      <c r="J13" s="1691"/>
      <c r="K13" s="1771"/>
      <c r="L13" s="1720"/>
      <c r="M13" s="1720"/>
      <c r="N13" s="1691"/>
      <c r="O13" s="1692"/>
      <c r="P13" s="1691"/>
      <c r="Q13" s="1691"/>
      <c r="R13" s="1691"/>
      <c r="S13" s="1691"/>
      <c r="T13" s="1691"/>
      <c r="U13" s="1691"/>
    </row>
    <row r="14" spans="1:21">
      <c r="A14" s="1658" t="s">
        <v>2024</v>
      </c>
      <c r="B14" s="1696"/>
      <c r="C14" s="1842" t="s">
        <v>2953</v>
      </c>
      <c r="D14" s="1730" t="str">
        <f>IF(C14="不一致","是否符合证载地类范围","")</f>
        <v/>
      </c>
      <c r="E14" s="1696"/>
      <c r="F14" s="1787" t="s">
        <v>2952</v>
      </c>
      <c r="G14" s="1725"/>
      <c r="H14" s="1725"/>
      <c r="I14" s="1834"/>
      <c r="J14" s="1691"/>
      <c r="K14" s="1771"/>
      <c r="L14" s="1720"/>
      <c r="M14" s="1720"/>
      <c r="N14" s="1691"/>
      <c r="O14" s="1692"/>
      <c r="P14" s="1691"/>
      <c r="Q14" s="1691"/>
      <c r="R14" s="1691"/>
      <c r="S14" s="1691"/>
      <c r="T14" s="1691"/>
      <c r="U14" s="1691"/>
    </row>
    <row r="15" spans="1:21" hidden="1">
      <c r="A15" s="2643"/>
      <c r="B15" s="1660"/>
      <c r="C15" s="1660"/>
      <c r="D15" s="1763" t="s">
        <v>1913</v>
      </c>
      <c r="E15" s="1763" t="s">
        <v>1914</v>
      </c>
      <c r="F15" s="1763" t="s">
        <v>1915</v>
      </c>
      <c r="G15" s="1683" t="s">
        <v>1916</v>
      </c>
      <c r="H15" s="1683" t="s">
        <v>1917</v>
      </c>
      <c r="I15" s="1683" t="s">
        <v>1918</v>
      </c>
      <c r="J15" s="1691"/>
      <c r="K15" s="1771"/>
      <c r="L15" s="1720"/>
      <c r="M15" s="1720"/>
      <c r="N15" s="1691"/>
      <c r="O15" s="1692"/>
      <c r="P15" s="1691"/>
      <c r="Q15" s="1691"/>
      <c r="R15" s="1691"/>
      <c r="S15" s="1691"/>
      <c r="T15" s="1691"/>
      <c r="U15" s="1691"/>
    </row>
    <row r="16" spans="1:21" ht="46.8">
      <c r="A16" s="1677" t="s">
        <v>1911</v>
      </c>
      <c r="B16" s="1678" t="s">
        <v>2951</v>
      </c>
      <c r="C16" s="1696" t="s">
        <v>1912</v>
      </c>
      <c r="D16" s="2644" t="s">
        <v>1913</v>
      </c>
      <c r="E16" s="1719" t="s">
        <v>2947</v>
      </c>
      <c r="F16" s="1719"/>
      <c r="G16" s="1719" t="s">
        <v>34</v>
      </c>
      <c r="H16" s="1719"/>
      <c r="I16" s="1683" t="s">
        <v>1918</v>
      </c>
      <c r="J16" s="1691"/>
      <c r="K16" s="2454" t="str">
        <f>IF(D17="","",D16&amp;TEXT(D17,"yyyy年m月d日;;"))</f>
        <v/>
      </c>
      <c r="L16" s="1696" t="str">
        <f>IF(OR(K16="",M16=""),"","、")</f>
        <v/>
      </c>
      <c r="M16" s="2454" t="str">
        <f>IF(E17="","",E16&amp;TEXT(E17,"yyyy年m月d日;;"))</f>
        <v>商业2064年5月26日</v>
      </c>
      <c r="N16" s="1696" t="str">
        <f>IF(OR(M16="",O16=""),"","、")</f>
        <v/>
      </c>
      <c r="O16" s="2454" t="str">
        <f>IF(F17="","",F16&amp;TEXT(F17,"yyyy年m月d日;;"))</f>
        <v/>
      </c>
      <c r="P16" s="1696" t="str">
        <f>IF(OR(O16="",Q16=""),"","、")</f>
        <v/>
      </c>
      <c r="Q16" s="2454" t="str">
        <f>IF(G17="","",G16&amp;TEXT(G17,"yyyy年m月d日;;"))</f>
        <v/>
      </c>
      <c r="R16" s="1696" t="str">
        <f>IF(OR(Q16="",S16=""),"","、")</f>
        <v/>
      </c>
      <c r="S16" s="2454" t="str">
        <f>IF(H17="","",H16&amp;TEXT(H17,"yyyy年m月d日;;"))</f>
        <v/>
      </c>
      <c r="T16" s="1696" t="str">
        <f>IF(OR(S16="",U16=""),"","、")</f>
        <v/>
      </c>
      <c r="U16" s="2454" t="str">
        <f>IF(I17="","",I16&amp;TEXT(I17,"yyyy年m月d日;;"))</f>
        <v/>
      </c>
    </row>
    <row r="17" spans="1:21">
      <c r="A17" s="1760"/>
      <c r="B17" s="1679"/>
      <c r="C17" s="1680" t="s">
        <v>1919</v>
      </c>
      <c r="D17" s="1697"/>
      <c r="E17" s="1697">
        <v>60048</v>
      </c>
      <c r="F17" s="1697"/>
      <c r="G17" s="1697"/>
      <c r="H17" s="1697"/>
      <c r="I17" s="1697"/>
      <c r="J17" s="1691"/>
      <c r="K17" s="2453" t="str">
        <f>CONCATENATE(K16,L16,M16,N16,O16,P16,Q16,R16,S16,T16,,U16)</f>
        <v>商业2064年5月26日</v>
      </c>
      <c r="L17" s="1720"/>
      <c r="M17" s="1720"/>
      <c r="N17" s="1691"/>
      <c r="O17" s="1692"/>
      <c r="P17" s="1691"/>
      <c r="Q17" s="1691"/>
      <c r="R17" s="1691"/>
      <c r="S17" s="1691"/>
      <c r="T17" s="1691"/>
      <c r="U17" s="1691"/>
    </row>
    <row r="18" spans="1:21">
      <c r="A18" s="1760"/>
      <c r="B18" s="1679"/>
      <c r="C18" s="1680" t="s">
        <v>1920</v>
      </c>
      <c r="D18" s="1681"/>
      <c r="E18" s="1681">
        <v>50</v>
      </c>
      <c r="F18" s="1681"/>
      <c r="G18" s="1681">
        <v>50</v>
      </c>
      <c r="H18" s="1681"/>
      <c r="I18" s="1681"/>
      <c r="J18" s="1691"/>
      <c r="K18" s="1771"/>
      <c r="L18" s="1720"/>
      <c r="M18" s="1720"/>
      <c r="N18" s="1691"/>
      <c r="O18" s="1692"/>
      <c r="P18" s="1691"/>
      <c r="Q18" s="1691"/>
      <c r="R18" s="1691"/>
      <c r="S18" s="1691"/>
      <c r="T18" s="1691"/>
      <c r="U18" s="1691"/>
    </row>
    <row r="19" spans="1:21">
      <c r="A19" s="1760"/>
      <c r="B19" s="1679"/>
      <c r="C19" s="1657" t="s">
        <v>1921</v>
      </c>
      <c r="D19" s="1755" t="str">
        <f>IF(B16="出让",IF(D17="","",ROUNDDOWN(MIN((D17-$D$3)/365,D18),2)),D18)</f>
        <v/>
      </c>
      <c r="E19" s="1682">
        <f>IF(B16="出让",IF(E17="","",ROUNDDOWN(MIN((E17-$D$3)/365,E18),2)),E18)</f>
        <v>45.45</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2022</v>
      </c>
      <c r="D20" s="3255"/>
      <c r="E20" s="3256"/>
      <c r="F20" s="3256"/>
      <c r="G20" s="3256"/>
      <c r="H20" s="3256"/>
      <c r="I20" s="3257"/>
      <c r="J20" s="1691"/>
      <c r="K20" s="1771"/>
      <c r="L20" s="1720"/>
      <c r="M20" s="1720"/>
      <c r="N20" s="1691"/>
      <c r="O20" s="1692"/>
      <c r="P20" s="1691"/>
      <c r="Q20" s="1691"/>
      <c r="R20" s="1691"/>
      <c r="S20" s="1691"/>
      <c r="T20" s="1691"/>
      <c r="U20" s="1691"/>
    </row>
    <row r="21" spans="1:21">
      <c r="A21" s="1760" t="s">
        <v>1922</v>
      </c>
      <c r="B21" s="1761" t="s">
        <v>1923</v>
      </c>
      <c r="C21" s="1756">
        <f>'数据-汇总表'!E3</f>
        <v>21457.599999999999</v>
      </c>
      <c r="D21" s="1757" t="s">
        <v>1924</v>
      </c>
      <c r="E21" s="3245" t="s">
        <v>2959</v>
      </c>
      <c r="F21" s="3246"/>
      <c r="G21" s="3246"/>
      <c r="H21" s="3246"/>
      <c r="I21" s="3247"/>
      <c r="J21" s="1691"/>
      <c r="K21" s="1771"/>
      <c r="L21" s="1720"/>
      <c r="M21" s="1720"/>
      <c r="N21" s="1691"/>
      <c r="O21" s="1692"/>
      <c r="P21" s="1691"/>
      <c r="Q21" s="1691"/>
      <c r="R21" s="1691"/>
      <c r="S21" s="1691"/>
      <c r="T21" s="1691"/>
      <c r="U21" s="1691"/>
    </row>
    <row r="22" spans="1:21">
      <c r="A22" s="3147" t="s">
        <v>917</v>
      </c>
      <c r="B22" s="1658" t="s">
        <v>1925</v>
      </c>
      <c r="C22" s="1683">
        <f>'数据-汇总表'!D3</f>
        <v>7409.7</v>
      </c>
      <c r="D22" s="1684" t="s">
        <v>1924</v>
      </c>
      <c r="E22" s="3245" t="s">
        <v>2960</v>
      </c>
      <c r="F22" s="3246"/>
      <c r="G22" s="3246"/>
      <c r="H22" s="3246"/>
      <c r="I22" s="3247"/>
      <c r="J22" s="1691"/>
      <c r="K22" s="1771"/>
      <c r="L22" s="1720"/>
      <c r="M22" s="1720"/>
      <c r="N22" s="1691"/>
      <c r="O22" s="1692"/>
      <c r="P22" s="1691"/>
      <c r="Q22" s="1691"/>
      <c r="R22" s="1691"/>
      <c r="S22" s="1691"/>
      <c r="T22" s="1691"/>
      <c r="U22" s="1691"/>
    </row>
    <row r="23" spans="1:21" ht="47.4" thickBot="1">
      <c r="A23" s="1762" t="s">
        <v>1926</v>
      </c>
      <c r="B23" s="1698" t="s">
        <v>1927</v>
      </c>
      <c r="C23" s="1699" t="s">
        <v>2961</v>
      </c>
      <c r="D23" s="1700" t="s">
        <v>1928</v>
      </c>
      <c r="E23" s="1701" t="s">
        <v>917</v>
      </c>
      <c r="F23" s="1702" t="str">
        <f>IF(AND(C23="是",E23="否"),"是否提供他项权证或相关说明","")</f>
        <v/>
      </c>
      <c r="G23" s="1703" t="s">
        <v>917</v>
      </c>
      <c r="H23" s="1691"/>
      <c r="I23" s="1704"/>
      <c r="J23" s="1691"/>
      <c r="K23" s="1771"/>
      <c r="L23" s="1720"/>
      <c r="M23" s="1720"/>
      <c r="N23" s="1691"/>
      <c r="O23" s="1692"/>
      <c r="P23" s="1691"/>
      <c r="Q23" s="1691"/>
      <c r="R23" s="1691"/>
      <c r="S23" s="1691"/>
      <c r="T23" s="1691"/>
      <c r="U23" s="1691"/>
    </row>
    <row r="24" spans="1:21">
      <c r="A24" s="1747" t="s">
        <v>1929</v>
      </c>
      <c r="B24" s="3248" t="s">
        <v>1930</v>
      </c>
      <c r="C24" s="3249"/>
      <c r="D24" s="3250" t="s">
        <v>1931</v>
      </c>
      <c r="E24" s="3251"/>
      <c r="F24" s="1705" t="s">
        <v>1932</v>
      </c>
      <c r="G24" s="1691"/>
      <c r="H24" s="1691"/>
      <c r="I24" s="1704"/>
      <c r="J24" s="1691"/>
      <c r="K24" s="3236" t="s">
        <v>1933</v>
      </c>
      <c r="L24" s="2455"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20"/>
      <c r="N24" s="1691"/>
      <c r="O24" s="1692"/>
      <c r="P24" s="1691"/>
      <c r="Q24" s="1691"/>
      <c r="R24" s="1691"/>
      <c r="S24" s="1691"/>
      <c r="T24" s="1691"/>
      <c r="U24" s="1691"/>
    </row>
    <row r="25" spans="1:21" ht="31.2">
      <c r="A25" s="1748"/>
      <c r="B25" s="1745" t="s">
        <v>2287</v>
      </c>
      <c r="C25" s="1706" t="s">
        <v>2288</v>
      </c>
      <c r="D25" s="1707"/>
      <c r="E25" s="1708" t="s">
        <v>917</v>
      </c>
      <c r="F25" s="1709"/>
      <c r="G25" s="1691"/>
      <c r="H25" s="1691"/>
      <c r="I25" s="1704"/>
      <c r="J25" s="1691"/>
      <c r="K25" s="3236"/>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31.8" thickBot="1">
      <c r="A26" s="1749"/>
      <c r="B26" s="1746" t="s">
        <v>1934</v>
      </c>
      <c r="C26" s="1706" t="s">
        <v>2288</v>
      </c>
      <c r="D26" s="1657"/>
      <c r="E26" s="1657"/>
      <c r="F26" s="1685"/>
      <c r="G26" s="1691"/>
      <c r="H26" s="1691"/>
      <c r="I26" s="1704"/>
      <c r="J26" s="1691"/>
      <c r="K26" s="3236"/>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1935</v>
      </c>
      <c r="B27" s="1750" t="s">
        <v>1936</v>
      </c>
      <c r="C27" s="1710"/>
      <c r="D27" s="2649" t="s">
        <v>1936</v>
      </c>
      <c r="E27" s="1711"/>
      <c r="F27" s="1685"/>
      <c r="G27" s="1691"/>
      <c r="H27" s="1691"/>
      <c r="I27" s="1704"/>
      <c r="J27" s="1691"/>
      <c r="K27" s="1771"/>
      <c r="L27" s="1720"/>
      <c r="M27" s="1720"/>
      <c r="N27" s="1691"/>
      <c r="O27" s="1692"/>
      <c r="P27" s="1691"/>
      <c r="Q27" s="1691"/>
      <c r="R27" s="1691"/>
      <c r="S27" s="1691"/>
      <c r="T27" s="1691"/>
      <c r="U27" s="1691"/>
    </row>
    <row r="28" spans="1:21">
      <c r="A28" s="1753"/>
      <c r="B28" s="1750" t="s">
        <v>1937</v>
      </c>
      <c r="C28" s="1712"/>
      <c r="D28" s="2650" t="s">
        <v>1937</v>
      </c>
      <c r="E28" s="1713"/>
      <c r="F28" s="1685"/>
      <c r="G28" s="1691"/>
      <c r="H28" s="1691"/>
      <c r="I28" s="1704"/>
      <c r="J28" s="1691"/>
      <c r="K28" s="1771"/>
      <c r="L28" s="1720"/>
      <c r="M28" s="1720"/>
      <c r="N28" s="1691"/>
      <c r="O28" s="1692"/>
      <c r="P28" s="1691"/>
      <c r="Q28" s="1691"/>
      <c r="R28" s="1691"/>
      <c r="S28" s="1691"/>
      <c r="T28" s="1691"/>
      <c r="U28" s="1691"/>
    </row>
    <row r="29" spans="1:21">
      <c r="A29" s="1753"/>
      <c r="B29" s="1750" t="s">
        <v>1938</v>
      </c>
      <c r="C29" s="1712"/>
      <c r="D29" s="2650" t="s">
        <v>1938</v>
      </c>
      <c r="E29" s="1713"/>
      <c r="F29" s="1685"/>
      <c r="G29" s="1691"/>
      <c r="H29" s="1691"/>
      <c r="I29" s="1704"/>
      <c r="J29" s="1691"/>
      <c r="K29" s="1771"/>
      <c r="L29" s="1720"/>
      <c r="M29" s="1720"/>
      <c r="N29" s="1691"/>
      <c r="O29" s="1692"/>
      <c r="P29" s="1691"/>
      <c r="Q29" s="1691"/>
      <c r="R29" s="1691"/>
      <c r="S29" s="1691"/>
      <c r="T29" s="1691"/>
      <c r="U29" s="1691"/>
    </row>
    <row r="30" spans="1:21" ht="16.2" thickBot="1">
      <c r="A30" s="1754"/>
      <c r="B30" s="1751" t="s">
        <v>1939</v>
      </c>
      <c r="C30" s="1714"/>
      <c r="D30" s="2651" t="s">
        <v>1939</v>
      </c>
      <c r="E30" s="1715"/>
      <c r="F30" s="1686"/>
      <c r="G30" s="1739"/>
      <c r="H30" s="1739"/>
      <c r="I30" s="1740"/>
      <c r="J30" s="1691"/>
      <c r="K30" s="1771"/>
      <c r="L30" s="1720"/>
      <c r="M30" s="1720"/>
      <c r="N30" s="1691"/>
      <c r="O30" s="1692"/>
      <c r="P30" s="1691"/>
      <c r="Q30" s="1691"/>
      <c r="R30" s="1691"/>
      <c r="S30" s="1691"/>
      <c r="T30" s="1691"/>
      <c r="U30" s="1691"/>
    </row>
    <row r="31" spans="1:21" ht="16.2" thickTop="1">
      <c r="A31" s="3222" t="s">
        <v>1963</v>
      </c>
      <c r="B31" s="1761" t="s">
        <v>1964</v>
      </c>
      <c r="C31" s="3261" t="s">
        <v>2962</v>
      </c>
      <c r="D31" s="3262"/>
      <c r="E31" s="1691"/>
      <c r="F31" s="1691"/>
      <c r="G31" s="1691"/>
      <c r="H31" s="1691"/>
      <c r="I31" s="1704"/>
      <c r="J31" s="1691"/>
      <c r="K31" s="2456"/>
      <c r="L31" s="1691"/>
      <c r="M31" s="1691"/>
      <c r="N31" s="1691"/>
      <c r="O31" s="1691"/>
      <c r="P31" s="1691"/>
      <c r="Q31" s="1691"/>
      <c r="R31" s="1691"/>
      <c r="S31" s="1691"/>
      <c r="T31" s="1691"/>
      <c r="U31" s="1691"/>
    </row>
    <row r="32" spans="1:21">
      <c r="A32" s="3222"/>
      <c r="B32" s="1658" t="s">
        <v>1965</v>
      </c>
      <c r="C32" s="1716" t="s">
        <v>2963</v>
      </c>
      <c r="D32" s="1717"/>
      <c r="E32" s="1691"/>
      <c r="F32" s="1691"/>
      <c r="G32" s="1691"/>
      <c r="H32" s="1691"/>
      <c r="I32" s="1704"/>
      <c r="J32" s="1691"/>
      <c r="K32" s="2456"/>
      <c r="L32" s="1691"/>
      <c r="M32" s="1691"/>
      <c r="N32" s="1691"/>
      <c r="O32" s="1691"/>
      <c r="P32" s="1691"/>
      <c r="Q32" s="1691"/>
      <c r="R32" s="1691"/>
      <c r="S32" s="1691"/>
      <c r="T32" s="1691"/>
      <c r="U32" s="1691"/>
    </row>
    <row r="33" spans="1:21">
      <c r="A33" s="3222"/>
      <c r="B33" s="1658" t="s">
        <v>1966</v>
      </c>
      <c r="C33" s="1718" t="s">
        <v>2961</v>
      </c>
      <c r="D33" s="1835"/>
      <c r="E33" s="1691"/>
      <c r="F33" s="1691"/>
      <c r="G33" s="1691"/>
      <c r="H33" s="1691"/>
      <c r="I33" s="1704"/>
      <c r="J33" s="1691"/>
      <c r="K33" s="2456"/>
      <c r="L33" s="1691"/>
      <c r="M33" s="1691"/>
      <c r="N33" s="1691"/>
      <c r="O33" s="1691"/>
      <c r="P33" s="1691"/>
      <c r="Q33" s="1691"/>
      <c r="R33" s="1691"/>
      <c r="S33" s="1691"/>
      <c r="T33" s="1691"/>
      <c r="U33" s="1691"/>
    </row>
    <row r="34" spans="1:21">
      <c r="A34" s="3223"/>
      <c r="B34" s="1658" t="s">
        <v>1967</v>
      </c>
      <c r="C34" s="3224"/>
      <c r="D34" s="3225"/>
      <c r="E34" s="1691"/>
      <c r="F34" s="1691"/>
      <c r="G34" s="1691"/>
      <c r="H34" s="1691"/>
      <c r="I34" s="1704"/>
      <c r="J34" s="1691"/>
      <c r="K34" s="2456"/>
      <c r="L34" s="1691"/>
      <c r="M34" s="1691"/>
      <c r="N34" s="1691"/>
      <c r="O34" s="1691"/>
      <c r="P34" s="1691"/>
      <c r="Q34" s="1691"/>
      <c r="R34" s="1691"/>
      <c r="S34" s="1691"/>
      <c r="T34" s="1691"/>
      <c r="U34" s="1691"/>
    </row>
    <row r="35" spans="1:21">
      <c r="A35" s="3226" t="s">
        <v>812</v>
      </c>
      <c r="B35" s="1719" t="s">
        <v>2964</v>
      </c>
      <c r="C35" s="1773" t="str">
        <f>IF(B35="场地平整","——","具体情况：")</f>
        <v>——</v>
      </c>
      <c r="D35" s="3228"/>
      <c r="E35" s="3229"/>
      <c r="F35" s="3229"/>
      <c r="G35" s="3229"/>
      <c r="H35" s="3229"/>
      <c r="I35" s="3230"/>
      <c r="J35" s="1691"/>
      <c r="K35" s="1772"/>
      <c r="L35" s="1720"/>
      <c r="M35" s="1720"/>
      <c r="N35" s="1691"/>
      <c r="O35" s="1692"/>
      <c r="P35" s="1691"/>
      <c r="Q35" s="1691"/>
      <c r="R35" s="1691"/>
      <c r="S35" s="1691"/>
      <c r="T35" s="1691"/>
      <c r="U35" s="1691"/>
    </row>
    <row r="36" spans="1:21">
      <c r="A36" s="3222"/>
      <c r="B36" s="3231" t="s">
        <v>2016</v>
      </c>
      <c r="C36" s="3232"/>
      <c r="D36" s="1789" t="s">
        <v>2965</v>
      </c>
      <c r="E36" s="3233"/>
      <c r="F36" s="3233"/>
      <c r="G36" s="1684" t="str">
        <f>IF(B35="场地未平整","估价结果处理","")</f>
        <v/>
      </c>
      <c r="H36" s="3234"/>
      <c r="I36" s="3234"/>
      <c r="J36" s="1691"/>
      <c r="K36" s="1772"/>
      <c r="L36" s="1720"/>
      <c r="M36" s="1720"/>
      <c r="N36" s="1691"/>
      <c r="O36" s="1692"/>
      <c r="P36" s="1691"/>
      <c r="Q36" s="1691"/>
      <c r="R36" s="1691"/>
      <c r="S36" s="1691"/>
      <c r="T36" s="1691"/>
      <c r="U36" s="1691"/>
    </row>
    <row r="37" spans="1:21" ht="31.2">
      <c r="A37" s="3222"/>
      <c r="B37" s="3252" t="s">
        <v>813</v>
      </c>
      <c r="C37" s="1721" t="s">
        <v>814</v>
      </c>
      <c r="D37" s="1722"/>
      <c r="E37" s="1723"/>
      <c r="F37" s="1691"/>
      <c r="G37" s="1691"/>
      <c r="H37" s="1691"/>
      <c r="I37" s="1704"/>
      <c r="J37" s="1691"/>
      <c r="K37" s="1772"/>
      <c r="L37" s="1691"/>
      <c r="M37" s="1691"/>
      <c r="N37" s="1691"/>
      <c r="O37" s="1691"/>
      <c r="P37" s="1691"/>
      <c r="Q37" s="1691"/>
      <c r="R37" s="1691"/>
      <c r="S37" s="1691"/>
      <c r="T37" s="1691"/>
      <c r="U37" s="1691"/>
    </row>
    <row r="38" spans="1:21">
      <c r="A38" s="3222"/>
      <c r="B38" s="3253"/>
      <c r="C38" s="1666" t="s">
        <v>815</v>
      </c>
      <c r="D38" s="1788">
        <f>ROUNDDOWN(MIN(('数据-取费表'!$B$2-D37)/365,D34),1)</f>
        <v>119</v>
      </c>
      <c r="E38" s="1724" t="s">
        <v>816</v>
      </c>
      <c r="F38" s="1691"/>
      <c r="G38" s="1691"/>
      <c r="H38" s="1691"/>
      <c r="I38" s="1704"/>
      <c r="J38" s="1691"/>
      <c r="K38" s="1772"/>
      <c r="L38" s="1691"/>
      <c r="M38" s="1691"/>
      <c r="N38" s="1691"/>
      <c r="O38" s="1691"/>
      <c r="P38" s="1691"/>
      <c r="Q38" s="1691"/>
      <c r="R38" s="1691"/>
      <c r="S38" s="1691"/>
      <c r="T38" s="1691"/>
      <c r="U38" s="1691"/>
    </row>
    <row r="39" spans="1:21">
      <c r="A39" s="3223"/>
      <c r="B39" s="3254"/>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1940</v>
      </c>
      <c r="B40" s="1687" t="s">
        <v>2966</v>
      </c>
      <c r="C40" s="1687" t="s">
        <v>2967</v>
      </c>
      <c r="D40" s="1687" t="s">
        <v>2968</v>
      </c>
      <c r="E40" s="1687" t="s">
        <v>2969</v>
      </c>
      <c r="F40" s="1687" t="s">
        <v>2969</v>
      </c>
      <c r="G40" s="1687" t="s">
        <v>2970</v>
      </c>
      <c r="H40" s="1687" t="s">
        <v>2971</v>
      </c>
      <c r="I40" s="1704"/>
      <c r="J40" s="1691"/>
      <c r="K40" s="1727">
        <f>COUNTIF(B40:H40,"——")</f>
        <v>0</v>
      </c>
      <c r="L40" s="1696" t="s">
        <v>1941</v>
      </c>
      <c r="M40" s="1693" t="s">
        <v>1942</v>
      </c>
      <c r="N40" s="1693" t="s">
        <v>1943</v>
      </c>
      <c r="O40" s="1693" t="s">
        <v>1944</v>
      </c>
      <c r="P40" s="1693" t="s">
        <v>1945</v>
      </c>
      <c r="Q40" s="1693" t="s">
        <v>1946</v>
      </c>
      <c r="R40" s="1693" t="s">
        <v>1947</v>
      </c>
      <c r="S40" s="3235" t="s">
        <v>1948</v>
      </c>
      <c r="T40" s="1728" t="str">
        <f>NUMBERSTRING(7-K40,1)&amp;"通"</f>
        <v>七通</v>
      </c>
      <c r="U40" s="1691"/>
    </row>
    <row r="41" spans="1:21">
      <c r="A41" s="1660"/>
      <c r="B41" s="3227" t="s">
        <v>1683</v>
      </c>
      <c r="C41" s="3227"/>
      <c r="D41" s="3227"/>
      <c r="E41" s="3227"/>
      <c r="F41" s="1729" t="str">
        <f>C10</f>
        <v>三亚</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通路、通电、通讯、通上水、通上水</v>
      </c>
      <c r="Q41" s="1731" t="str">
        <f>B40&amp;"、"&amp;C40&amp;"、"&amp;D40&amp;"、"&amp;E40&amp;"、"&amp;F40&amp;"、"&amp;G40</f>
        <v>通路、通电、通讯、通上水、通上水、通下水</v>
      </c>
      <c r="R41" s="1731" t="str">
        <f>B40&amp;"、"&amp;C40&amp;"、"&amp;D40&amp;"、"&amp;E40&amp;"、"&amp;F40&amp;"、"&amp;G40&amp;"、"&amp;H40</f>
        <v>通路、通电、通讯、通上水、通上水、通下水、燃气</v>
      </c>
      <c r="S41" s="3235"/>
      <c r="T41" s="1730" t="str">
        <f>IF(T40="一通",L41,IF(T40="二通",M41,IF(T40="三通",N41,IF(T40="四通",O41,IF(T40="五通",P41,IF(T40="六通",Q41,R41))))))</f>
        <v>通路、通电、通讯、通上水、通上水、通下水、燃气</v>
      </c>
      <c r="U41" s="1691"/>
    </row>
    <row r="42" spans="1:21">
      <c r="A42" s="1732"/>
      <c r="B42" s="1763" t="s">
        <v>1859</v>
      </c>
      <c r="C42" s="1763" t="s">
        <v>1860</v>
      </c>
      <c r="D42" s="1763" t="s">
        <v>1861</v>
      </c>
      <c r="E42" s="1696" t="s">
        <v>1862</v>
      </c>
      <c r="F42" s="1733"/>
      <c r="G42" s="1691"/>
      <c r="H42" s="1691"/>
      <c r="I42" s="1704"/>
      <c r="J42" s="1691"/>
      <c r="K42" s="1771"/>
      <c r="L42" s="1720"/>
      <c r="M42" s="1720"/>
      <c r="N42" s="1691"/>
      <c r="O42" s="1692"/>
      <c r="P42" s="1691"/>
      <c r="Q42" s="1691"/>
      <c r="R42" s="1691"/>
      <c r="S42" s="1691"/>
      <c r="T42" s="1691"/>
      <c r="U42" s="1691"/>
    </row>
    <row r="43" spans="1:21">
      <c r="A43" s="1734" t="s">
        <v>1668</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1669</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71" customFormat="1" ht="21" thickBot="1">
      <c r="A45" s="3072" t="s">
        <v>2851</v>
      </c>
      <c r="B45" s="3067"/>
      <c r="C45" s="3067"/>
      <c r="D45" s="3067"/>
      <c r="E45" s="3067"/>
      <c r="F45" s="3067"/>
      <c r="G45" s="3067"/>
      <c r="H45" s="3067"/>
      <c r="I45" s="3068"/>
      <c r="J45" s="3067"/>
      <c r="K45" s="3069"/>
      <c r="L45" s="3070"/>
      <c r="M45" s="3070"/>
      <c r="N45" s="3067"/>
      <c r="O45" s="3068"/>
      <c r="P45" s="3067"/>
      <c r="Q45" s="3067"/>
      <c r="R45" s="3067"/>
      <c r="S45" s="3067"/>
      <c r="T45" s="3067"/>
      <c r="U45" s="3067"/>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1968</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46.8">
      <c r="A48" s="1696" t="s">
        <v>1969</v>
      </c>
      <c r="B48" s="1683" t="s">
        <v>1970</v>
      </c>
      <c r="C48" s="1683" t="s">
        <v>1971</v>
      </c>
      <c r="D48" s="1683" t="s">
        <v>1972</v>
      </c>
      <c r="E48" s="1683" t="s">
        <v>1973</v>
      </c>
      <c r="F48" s="1683" t="s">
        <v>1974</v>
      </c>
      <c r="G48" s="1683" t="s">
        <v>1975</v>
      </c>
      <c r="H48" s="1683" t="s">
        <v>1976</v>
      </c>
      <c r="I48" s="1683" t="s">
        <v>1977</v>
      </c>
      <c r="J48" s="1769" t="s">
        <v>1978</v>
      </c>
      <c r="K48" s="1763" t="s">
        <v>1979</v>
      </c>
      <c r="L48" s="1763" t="s">
        <v>1980</v>
      </c>
      <c r="M48" s="1763" t="s">
        <v>1981</v>
      </c>
      <c r="N48" s="1683" t="s">
        <v>1982</v>
      </c>
      <c r="O48" s="1683" t="s">
        <v>1983</v>
      </c>
      <c r="P48" s="1683" t="s">
        <v>1984</v>
      </c>
      <c r="Q48" s="1696" t="s">
        <v>1985</v>
      </c>
      <c r="R48" s="1696" t="s">
        <v>1986</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6"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8671875" defaultRowHeight="13.8"/>
  <cols>
    <col min="1" max="1" width="10.6640625" style="14" customWidth="1"/>
    <col min="2" max="2" width="11" style="14" customWidth="1"/>
    <col min="3" max="3" width="10.33203125" style="14" customWidth="1"/>
    <col min="4" max="4" width="9.109375" style="14" customWidth="1"/>
    <col min="5" max="6" width="10" style="15" customWidth="1"/>
    <col min="7" max="8" width="10" style="14" customWidth="1"/>
    <col min="9" max="9" width="12.77734375" style="14" customWidth="1"/>
    <col min="10" max="10" width="9.44140625" style="14" customWidth="1"/>
    <col min="11" max="11" width="11" style="14" customWidth="1"/>
    <col min="12" max="14" width="9.44140625" style="14" customWidth="1"/>
    <col min="15" max="15" width="9.88671875" style="14" customWidth="1"/>
    <col min="16" max="16" width="9.77734375" style="14" customWidth="1"/>
    <col min="17" max="17" width="9.33203125" style="14" customWidth="1"/>
    <col min="18" max="18" width="9.21875" style="14" customWidth="1"/>
    <col min="19" max="19" width="10.88671875" style="14" customWidth="1"/>
    <col min="20" max="21" width="10.77734375" style="14" customWidth="1"/>
    <col min="22" max="22" width="10.88671875" style="14" customWidth="1"/>
    <col min="23" max="27" width="10.77734375" style="14" customWidth="1"/>
    <col min="28" max="28" width="10.88671875" style="14" customWidth="1"/>
    <col min="29" max="29" width="11" style="14" bestFit="1" customWidth="1"/>
    <col min="30" max="30" width="10" style="14" bestFit="1" customWidth="1"/>
    <col min="31" max="31" width="9.77734375" style="14" customWidth="1"/>
    <col min="32" max="46" width="9.44140625" style="14" customWidth="1"/>
    <col min="47" max="47" width="18.109375" style="14" customWidth="1"/>
    <col min="48" max="50" width="9.77734375" style="14" customWidth="1"/>
    <col min="51" max="55" width="10.44140625" style="14" bestFit="1" customWidth="1"/>
    <col min="56" max="56" width="9.44140625" style="14" bestFit="1" customWidth="1"/>
    <col min="57" max="63" width="9.109375" style="14" bestFit="1" customWidth="1"/>
    <col min="64" max="64" width="9.44140625" style="14" bestFit="1" customWidth="1"/>
    <col min="65" max="65" width="9.109375" style="14" bestFit="1" customWidth="1"/>
    <col min="66" max="66" width="9.44140625" style="14" bestFit="1" customWidth="1"/>
    <col min="67" max="69" width="9.109375" style="14" bestFit="1" customWidth="1"/>
    <col min="70" max="70" width="9.44140625" style="14" bestFit="1" customWidth="1"/>
    <col min="71" max="71" width="9" style="14" customWidth="1"/>
    <col min="72" max="72" width="9.109375" style="14" bestFit="1" customWidth="1"/>
    <col min="73" max="16384" width="8.88671875" style="14"/>
  </cols>
  <sheetData>
    <row r="1" spans="1:72" ht="21">
      <c r="A1" s="12" t="s">
        <v>127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131</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128</v>
      </c>
      <c r="B2" s="16" t="s">
        <v>129</v>
      </c>
      <c r="C2" s="16" t="s">
        <v>130</v>
      </c>
      <c r="D2" s="1191"/>
      <c r="E2" s="1001"/>
      <c r="F2" s="4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19" t="s">
        <v>132</v>
      </c>
      <c r="AZ2" s="2358" t="s">
        <v>2295</v>
      </c>
      <c r="BA2" s="2359" t="s">
        <v>2294</v>
      </c>
      <c r="BB2" s="1191"/>
      <c r="BC2" s="1191"/>
      <c r="BD2" s="1191"/>
      <c r="BE2" s="1191"/>
      <c r="BF2" s="1191"/>
      <c r="BG2" s="1191"/>
      <c r="BH2" s="1191"/>
      <c r="BI2" s="1191"/>
      <c r="BJ2" s="1191"/>
      <c r="BK2" s="1191"/>
      <c r="BL2" s="1191"/>
      <c r="BM2" s="1191"/>
      <c r="BN2" s="1191"/>
      <c r="BO2" s="1191"/>
      <c r="BP2" s="1191"/>
      <c r="BQ2" s="1191"/>
      <c r="BR2" s="1191"/>
      <c r="BS2" s="1191"/>
      <c r="BT2" s="1191"/>
    </row>
    <row r="3" spans="1:72" s="17" customFormat="1" ht="13.2">
      <c r="A3" s="20">
        <v>7409.7</v>
      </c>
      <c r="B3" s="21">
        <f>IF(C3="否",G5-AT5,G5)</f>
        <v>21457.599999999999</v>
      </c>
      <c r="C3" s="22" t="s">
        <v>2961</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3"/>
      <c r="AZ3" s="11"/>
      <c r="BA3" s="2360"/>
      <c r="BB3" s="1191"/>
      <c r="BC3" s="1191"/>
      <c r="BD3" s="1191"/>
      <c r="BE3" s="1191"/>
      <c r="BF3" s="1191"/>
      <c r="BG3" s="1191"/>
      <c r="BH3" s="1191"/>
      <c r="BI3" s="1191"/>
      <c r="BJ3" s="1191"/>
      <c r="BK3" s="1191"/>
      <c r="BL3" s="1191"/>
      <c r="BM3" s="1191"/>
      <c r="BN3" s="1191"/>
      <c r="BO3" s="1191"/>
      <c r="BP3" s="1191"/>
      <c r="BQ3" s="1191"/>
      <c r="BR3" s="1191"/>
      <c r="BS3" s="1191"/>
      <c r="BT3" s="1191"/>
    </row>
    <row r="4" spans="1:72" s="24" customFormat="1"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7" customFormat="1" ht="13.2">
      <c r="A5" s="25" t="s">
        <v>133</v>
      </c>
      <c r="B5" s="987"/>
      <c r="C5" s="987"/>
      <c r="D5" s="994"/>
      <c r="E5" s="26" t="s">
        <v>1</v>
      </c>
      <c r="F5" s="26">
        <f>SUM(F13:F572)</f>
        <v>0</v>
      </c>
      <c r="G5" s="26">
        <f>SUM(G13:G572)</f>
        <v>21457.599999999999</v>
      </c>
      <c r="H5" s="26">
        <f t="shared" ref="H5:AT5" si="0">SUM(H13:H641)</f>
        <v>12316.199999999999</v>
      </c>
      <c r="I5" s="26">
        <f t="shared" si="0"/>
        <v>8808.89</v>
      </c>
      <c r="J5" s="26">
        <f t="shared" si="0"/>
        <v>0</v>
      </c>
      <c r="K5" s="26">
        <f t="shared" si="0"/>
        <v>3507.31</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9141.4</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9141.4</v>
      </c>
      <c r="AO5" s="26">
        <f t="shared" si="0"/>
        <v>0</v>
      </c>
      <c r="AP5" s="26">
        <f t="shared" si="0"/>
        <v>0</v>
      </c>
      <c r="AQ5" s="26">
        <f t="shared" si="0"/>
        <v>0</v>
      </c>
      <c r="AR5" s="26">
        <f t="shared" si="0"/>
        <v>0</v>
      </c>
      <c r="AS5" s="26">
        <f t="shared" si="0"/>
        <v>0</v>
      </c>
      <c r="AT5" s="26">
        <f t="shared" si="0"/>
        <v>0</v>
      </c>
      <c r="AU5" s="986"/>
      <c r="AV5" s="25" t="s">
        <v>133</v>
      </c>
      <c r="AW5" s="987"/>
      <c r="AX5" s="987"/>
      <c r="AY5" s="27" t="s">
        <v>3</v>
      </c>
      <c r="AZ5" s="28">
        <f t="shared" ref="AZ5:BT5" si="1">SUM(AZ13:AZ641)</f>
        <v>21457.599999999999</v>
      </c>
      <c r="BA5" s="28">
        <f t="shared" si="1"/>
        <v>12316.199999999999</v>
      </c>
      <c r="BB5" s="28">
        <f t="shared" si="1"/>
        <v>8808.89</v>
      </c>
      <c r="BC5" s="28">
        <f t="shared" si="1"/>
        <v>3507.31</v>
      </c>
      <c r="BD5" s="28">
        <f t="shared" si="1"/>
        <v>0</v>
      </c>
      <c r="BE5" s="28">
        <f t="shared" si="1"/>
        <v>0</v>
      </c>
      <c r="BF5" s="28">
        <f t="shared" si="1"/>
        <v>0</v>
      </c>
      <c r="BG5" s="28">
        <f t="shared" si="1"/>
        <v>0</v>
      </c>
      <c r="BH5" s="28">
        <f t="shared" si="1"/>
        <v>0</v>
      </c>
      <c r="BI5" s="28">
        <f t="shared" si="1"/>
        <v>0</v>
      </c>
      <c r="BJ5" s="28">
        <f t="shared" si="1"/>
        <v>0</v>
      </c>
      <c r="BK5" s="28">
        <f t="shared" si="1"/>
        <v>0</v>
      </c>
      <c r="BL5" s="28">
        <f t="shared" si="1"/>
        <v>9141.4</v>
      </c>
      <c r="BM5" s="28">
        <f t="shared" si="1"/>
        <v>0</v>
      </c>
      <c r="BN5" s="28">
        <f t="shared" si="1"/>
        <v>0</v>
      </c>
      <c r="BO5" s="28">
        <f t="shared" si="1"/>
        <v>0</v>
      </c>
      <c r="BP5" s="28">
        <f t="shared" si="1"/>
        <v>0</v>
      </c>
      <c r="BQ5" s="28">
        <f t="shared" si="1"/>
        <v>0</v>
      </c>
      <c r="BR5" s="28">
        <f t="shared" si="1"/>
        <v>9141.4</v>
      </c>
      <c r="BS5" s="28">
        <f t="shared" si="1"/>
        <v>0</v>
      </c>
      <c r="BT5" s="29">
        <f t="shared" si="1"/>
        <v>0</v>
      </c>
    </row>
    <row r="6" spans="1:72" s="36" customFormat="1" ht="13.2">
      <c r="A6" s="25" t="s">
        <v>134</v>
      </c>
      <c r="B6" s="30"/>
      <c r="C6" s="30"/>
      <c r="D6" s="31"/>
      <c r="E6" s="26">
        <f>H6+AC6+AT6</f>
        <v>7409.7000000000007</v>
      </c>
      <c r="F6" s="26" t="s">
        <v>1</v>
      </c>
      <c r="G6" s="26" t="s">
        <v>2</v>
      </c>
      <c r="H6" s="32">
        <f>SUMIF(I$12:AB$12,"总值",I6:AB6)</f>
        <v>4253.01</v>
      </c>
      <c r="I6" s="26">
        <f t="shared" ref="I6:AB6" si="2">ROUND($A$3*I5/$B$3,2)</f>
        <v>3041.87</v>
      </c>
      <c r="J6" s="26">
        <f t="shared" si="2"/>
        <v>0</v>
      </c>
      <c r="K6" s="26">
        <f t="shared" si="2"/>
        <v>1211.1400000000001</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3156.69</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3156.69</v>
      </c>
      <c r="AO6" s="26">
        <f t="shared" si="3"/>
        <v>0</v>
      </c>
      <c r="AP6" s="26">
        <f t="shared" si="3"/>
        <v>0</v>
      </c>
      <c r="AQ6" s="26">
        <f t="shared" si="3"/>
        <v>0</v>
      </c>
      <c r="AR6" s="26">
        <f t="shared" si="3"/>
        <v>0</v>
      </c>
      <c r="AS6" s="26">
        <f t="shared" si="3"/>
        <v>0</v>
      </c>
      <c r="AT6" s="32">
        <f>IF(C3="是",ROUND($A$3*AT5/$B$3,2),0)</f>
        <v>0</v>
      </c>
      <c r="AU6" s="33"/>
      <c r="AV6" s="25" t="s">
        <v>134</v>
      </c>
      <c r="AW6" s="30"/>
      <c r="AX6" s="30"/>
      <c r="AY6" s="34">
        <f>IF(AY3&gt;0,AY3,ROUND($A$3*AZ5/$B$3,2))</f>
        <v>7409.7</v>
      </c>
      <c r="AZ6" s="26" t="s">
        <v>3</v>
      </c>
      <c r="BA6" s="26">
        <f>ROUND($AY$6*BA5/$AZ$5,2)</f>
        <v>4253.01</v>
      </c>
      <c r="BB6" s="26">
        <f>ROUND($AY$6*BB5/$AZ$5,2)</f>
        <v>3041.87</v>
      </c>
      <c r="BC6" s="26">
        <f t="shared" ref="BC6:BH6" si="4">ROUND($AY$6*BC5/$AZ$5,2)</f>
        <v>1211.1400000000001</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3156.69</v>
      </c>
      <c r="BM6" s="26">
        <f t="shared" si="5"/>
        <v>0</v>
      </c>
      <c r="BN6" s="26">
        <f t="shared" si="5"/>
        <v>0</v>
      </c>
      <c r="BO6" s="26">
        <f t="shared" si="5"/>
        <v>0</v>
      </c>
      <c r="BP6" s="26">
        <f t="shared" si="5"/>
        <v>0</v>
      </c>
      <c r="BQ6" s="26">
        <f t="shared" si="5"/>
        <v>0</v>
      </c>
      <c r="BR6" s="26">
        <f t="shared" si="5"/>
        <v>3156.69</v>
      </c>
      <c r="BS6" s="26">
        <f t="shared" si="5"/>
        <v>0</v>
      </c>
      <c r="BT6" s="35">
        <f t="shared" si="5"/>
        <v>0</v>
      </c>
    </row>
    <row r="7" spans="1:72" s="17" customFormat="1" ht="25.2">
      <c r="A7" s="37" t="s">
        <v>135</v>
      </c>
      <c r="B7" s="37" t="s">
        <v>136</v>
      </c>
      <c r="C7" s="37" t="s">
        <v>137</v>
      </c>
      <c r="D7" s="37" t="s">
        <v>138</v>
      </c>
      <c r="E7" s="37" t="s">
        <v>139</v>
      </c>
      <c r="F7" s="37" t="s">
        <v>140</v>
      </c>
      <c r="G7" s="38" t="s">
        <v>141</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4"/>
      <c r="AU7" s="39" t="s">
        <v>142</v>
      </c>
      <c r="AV7" s="40" t="s">
        <v>143</v>
      </c>
      <c r="AW7" s="41" t="s">
        <v>144</v>
      </c>
      <c r="AX7" s="40" t="s">
        <v>145</v>
      </c>
      <c r="AY7" s="987" t="s">
        <v>146</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147</v>
      </c>
      <c r="H8" s="46" t="s">
        <v>148</v>
      </c>
      <c r="I8" s="47"/>
      <c r="J8" s="999"/>
      <c r="K8" s="999"/>
      <c r="L8" s="999"/>
      <c r="M8" s="999"/>
      <c r="N8" s="999"/>
      <c r="O8" s="999"/>
      <c r="P8" s="999"/>
      <c r="Q8" s="999"/>
      <c r="R8" s="999"/>
      <c r="S8" s="999"/>
      <c r="T8" s="999"/>
      <c r="U8" s="999"/>
      <c r="V8" s="48"/>
      <c r="W8" s="999"/>
      <c r="X8" s="999"/>
      <c r="Y8" s="999"/>
      <c r="Z8" s="999"/>
      <c r="AA8" s="48"/>
      <c r="AB8" s="49"/>
      <c r="AC8" s="50" t="s">
        <v>149</v>
      </c>
      <c r="AD8" s="51"/>
      <c r="AE8" s="42"/>
      <c r="AF8" s="999"/>
      <c r="AG8" s="999"/>
      <c r="AH8" s="999"/>
      <c r="AI8" s="999"/>
      <c r="AJ8" s="999"/>
      <c r="AK8" s="999"/>
      <c r="AL8" s="999"/>
      <c r="AM8" s="999"/>
      <c r="AN8" s="999"/>
      <c r="AO8" s="999"/>
      <c r="AP8" s="999"/>
      <c r="AQ8" s="999"/>
      <c r="AR8" s="999"/>
      <c r="AS8" s="2295"/>
      <c r="AT8" s="2326" t="s">
        <v>820</v>
      </c>
      <c r="AU8" s="44" t="s">
        <v>150</v>
      </c>
      <c r="AV8" s="54"/>
      <c r="AW8" s="1001"/>
      <c r="AX8" s="54"/>
      <c r="AY8" s="41" t="s">
        <v>151</v>
      </c>
      <c r="AZ8" s="998" t="s">
        <v>152</v>
      </c>
      <c r="BA8" s="999"/>
      <c r="BB8" s="999"/>
      <c r="BC8" s="999"/>
      <c r="BD8" s="999"/>
      <c r="BE8" s="999"/>
      <c r="BF8" s="999"/>
      <c r="BG8" s="999"/>
      <c r="BH8" s="999"/>
      <c r="BI8" s="999"/>
      <c r="BJ8" s="999"/>
      <c r="BK8" s="999"/>
      <c r="BL8" s="999"/>
      <c r="BM8" s="999"/>
      <c r="BN8" s="999"/>
      <c r="BO8" s="999"/>
      <c r="BP8" s="999"/>
      <c r="BQ8" s="999"/>
      <c r="BR8" s="999"/>
      <c r="BS8" s="999"/>
      <c r="BT8" s="55"/>
    </row>
    <row r="9" spans="1:72" s="56" customFormat="1" ht="13.2">
      <c r="A9" s="44"/>
      <c r="B9" s="44"/>
      <c r="C9" s="44"/>
      <c r="D9" s="44"/>
      <c r="E9" s="44"/>
      <c r="F9" s="44"/>
      <c r="G9" s="54"/>
      <c r="H9" s="57" t="s">
        <v>153</v>
      </c>
      <c r="I9" s="3017" t="s">
        <v>2946</v>
      </c>
      <c r="J9" s="50"/>
      <c r="K9" s="3017" t="s">
        <v>3081</v>
      </c>
      <c r="L9" s="50"/>
      <c r="M9" s="3017"/>
      <c r="N9" s="50"/>
      <c r="O9" s="58"/>
      <c r="P9" s="50"/>
      <c r="Q9" s="58"/>
      <c r="R9" s="50"/>
      <c r="S9" s="58"/>
      <c r="T9" s="50"/>
      <c r="U9" s="58"/>
      <c r="V9" s="50"/>
      <c r="W9" s="58"/>
      <c r="X9" s="59"/>
      <c r="Y9" s="58"/>
      <c r="Z9" s="50"/>
      <c r="AA9" s="58"/>
      <c r="AB9" s="50"/>
      <c r="AC9" s="45" t="s">
        <v>153</v>
      </c>
      <c r="AD9" s="25" t="s">
        <v>154</v>
      </c>
      <c r="AE9" s="60"/>
      <c r="AF9" s="25" t="s">
        <v>155</v>
      </c>
      <c r="AG9" s="60"/>
      <c r="AH9" s="25" t="s">
        <v>156</v>
      </c>
      <c r="AI9" s="60"/>
      <c r="AJ9" s="25" t="s">
        <v>157</v>
      </c>
      <c r="AK9" s="60"/>
      <c r="AL9" s="25" t="s">
        <v>156</v>
      </c>
      <c r="AM9" s="60"/>
      <c r="AN9" s="25" t="s">
        <v>157</v>
      </c>
      <c r="AO9" s="60"/>
      <c r="AP9" s="1185" t="s">
        <v>156</v>
      </c>
      <c r="AQ9" s="1187"/>
      <c r="AR9" s="1185" t="s">
        <v>157</v>
      </c>
      <c r="AS9" s="2327"/>
      <c r="AT9" s="44"/>
      <c r="AU9" s="44" t="s">
        <v>159</v>
      </c>
      <c r="AV9" s="54"/>
      <c r="AW9" s="1001"/>
      <c r="AX9" s="54"/>
      <c r="AY9" s="61"/>
      <c r="AZ9" s="61" t="s">
        <v>160</v>
      </c>
      <c r="BA9" s="62" t="s">
        <v>161</v>
      </c>
      <c r="BB9" s="63"/>
      <c r="BC9" s="993"/>
      <c r="BD9" s="993"/>
      <c r="BE9" s="993"/>
      <c r="BF9" s="993"/>
      <c r="BG9" s="993"/>
      <c r="BH9" s="993"/>
      <c r="BI9" s="993"/>
      <c r="BJ9" s="993"/>
      <c r="BK9" s="64"/>
      <c r="BL9" s="25" t="s">
        <v>162</v>
      </c>
      <c r="BM9" s="999"/>
      <c r="BN9" s="47"/>
      <c r="BO9" s="999"/>
      <c r="BP9" s="999"/>
      <c r="BQ9" s="999"/>
      <c r="BR9" s="999"/>
      <c r="BS9" s="999"/>
      <c r="BT9" s="55"/>
    </row>
    <row r="10" spans="1:72" s="56" customFormat="1" ht="13.2">
      <c r="A10" s="44"/>
      <c r="B10" s="44"/>
      <c r="C10" s="44"/>
      <c r="D10" s="44"/>
      <c r="E10" s="44"/>
      <c r="F10" s="44"/>
      <c r="G10" s="54"/>
      <c r="H10" s="61"/>
      <c r="I10" s="3017" t="s">
        <v>2947</v>
      </c>
      <c r="J10" s="50"/>
      <c r="K10" s="3019" t="s">
        <v>2947</v>
      </c>
      <c r="L10" s="50"/>
      <c r="M10" s="3019"/>
      <c r="N10" s="50"/>
      <c r="O10" s="65"/>
      <c r="P10" s="50"/>
      <c r="Q10" s="65"/>
      <c r="R10" s="50"/>
      <c r="S10" s="65"/>
      <c r="T10" s="50"/>
      <c r="U10" s="65"/>
      <c r="V10" s="50"/>
      <c r="W10" s="65"/>
      <c r="X10" s="50"/>
      <c r="Y10" s="65"/>
      <c r="Z10" s="50"/>
      <c r="AA10" s="65"/>
      <c r="AB10" s="50"/>
      <c r="AC10" s="54"/>
      <c r="AD10" s="2312" t="s">
        <v>2279</v>
      </c>
      <c r="AE10" s="2334"/>
      <c r="AF10" s="2312" t="s">
        <v>2279</v>
      </c>
      <c r="AG10" s="2334"/>
      <c r="AH10" s="2312" t="s">
        <v>2280</v>
      </c>
      <c r="AI10" s="2334"/>
      <c r="AJ10" s="25" t="s">
        <v>2293</v>
      </c>
      <c r="AK10" s="2331"/>
      <c r="AL10" s="2312" t="s">
        <v>2281</v>
      </c>
      <c r="AM10" s="2313"/>
      <c r="AN10" s="25" t="s">
        <v>163</v>
      </c>
      <c r="AO10" s="60"/>
      <c r="AP10" s="1185" t="s">
        <v>164</v>
      </c>
      <c r="AQ10" s="1187"/>
      <c r="AR10" s="1185" t="s">
        <v>164</v>
      </c>
      <c r="AS10" s="1187"/>
      <c r="AT10" s="44"/>
      <c r="AU10" s="44"/>
      <c r="AV10" s="54"/>
      <c r="AW10" s="1001"/>
      <c r="AX10" s="54"/>
      <c r="AY10" s="61"/>
      <c r="AZ10" s="61"/>
      <c r="BA10" s="66" t="s">
        <v>158</v>
      </c>
      <c r="BB10" s="67" t="str">
        <f>I9</f>
        <v>地上</v>
      </c>
      <c r="BC10" s="68" t="str">
        <f>K9</f>
        <v>地下</v>
      </c>
      <c r="BD10" s="68">
        <f>M9</f>
        <v>0</v>
      </c>
      <c r="BE10" s="68">
        <f>O9</f>
        <v>0</v>
      </c>
      <c r="BF10" s="68">
        <f>Q9</f>
        <v>0</v>
      </c>
      <c r="BG10" s="68">
        <f>S9</f>
        <v>0</v>
      </c>
      <c r="BH10" s="68">
        <f>U9</f>
        <v>0</v>
      </c>
      <c r="BI10" s="68">
        <f>W9</f>
        <v>0</v>
      </c>
      <c r="BJ10" s="68">
        <f>Y9</f>
        <v>0</v>
      </c>
      <c r="BK10" s="68">
        <f>AA9</f>
        <v>0</v>
      </c>
      <c r="BL10" s="53" t="s">
        <v>158</v>
      </c>
      <c r="BM10" s="998" t="str">
        <f>AD9</f>
        <v>地上</v>
      </c>
      <c r="BN10" s="68" t="str">
        <f>AF9</f>
        <v>地下</v>
      </c>
      <c r="BO10" s="998" t="str">
        <f>AH9</f>
        <v>地上</v>
      </c>
      <c r="BP10" s="68" t="str">
        <f>AJ9</f>
        <v>地下</v>
      </c>
      <c r="BQ10" s="998" t="str">
        <f>AL9</f>
        <v>地上</v>
      </c>
      <c r="BR10" s="68" t="str">
        <f>AN9</f>
        <v>地下</v>
      </c>
      <c r="BS10" s="998" t="str">
        <f>AP9</f>
        <v>地上</v>
      </c>
      <c r="BT10" s="996" t="str">
        <f>AR9</f>
        <v>地下</v>
      </c>
    </row>
    <row r="11" spans="1:72" s="56" customFormat="1" ht="13.2">
      <c r="A11" s="44"/>
      <c r="B11" s="44"/>
      <c r="C11" s="44"/>
      <c r="D11" s="44"/>
      <c r="E11" s="44"/>
      <c r="F11" s="44"/>
      <c r="G11" s="54"/>
      <c r="H11" s="66"/>
      <c r="I11" s="3018" t="s">
        <v>2944</v>
      </c>
      <c r="J11" s="70"/>
      <c r="K11" s="3018" t="s">
        <v>2944</v>
      </c>
      <c r="L11" s="70"/>
      <c r="M11" s="69"/>
      <c r="N11" s="70"/>
      <c r="O11" s="69"/>
      <c r="P11" s="70"/>
      <c r="Q11" s="69"/>
      <c r="R11" s="70"/>
      <c r="S11" s="69"/>
      <c r="T11" s="70"/>
      <c r="U11" s="69"/>
      <c r="V11" s="70"/>
      <c r="W11" s="69"/>
      <c r="X11" s="70"/>
      <c r="Y11" s="69"/>
      <c r="Z11" s="70"/>
      <c r="AA11" s="69"/>
      <c r="AB11" s="70"/>
      <c r="AC11" s="54"/>
      <c r="AD11" s="2332" t="s">
        <v>2292</v>
      </c>
      <c r="AE11" s="1000"/>
      <c r="AF11" s="2332" t="s">
        <v>2292</v>
      </c>
      <c r="AG11" s="1000"/>
      <c r="AH11" s="2332" t="s">
        <v>2291</v>
      </c>
      <c r="AI11" s="2333"/>
      <c r="AJ11" s="2332" t="s">
        <v>2291</v>
      </c>
      <c r="AK11" s="2331"/>
      <c r="AL11" s="998"/>
      <c r="AM11" s="1000"/>
      <c r="AN11" s="998"/>
      <c r="AO11" s="1000"/>
      <c r="AP11" s="1186"/>
      <c r="AQ11" s="1188"/>
      <c r="AR11" s="1186"/>
      <c r="AS11" s="1188"/>
      <c r="AT11" s="1001"/>
      <c r="AU11" s="44"/>
      <c r="AV11" s="54"/>
      <c r="AW11" s="1001"/>
      <c r="AX11" s="54"/>
      <c r="AY11" s="61"/>
      <c r="AZ11" s="61"/>
      <c r="BA11" s="61"/>
      <c r="BB11" s="49" t="str">
        <f>I10</f>
        <v>商业</v>
      </c>
      <c r="BC11" s="49" t="str">
        <f>K10</f>
        <v>商业</v>
      </c>
      <c r="BD11" s="49">
        <f>M10</f>
        <v>0</v>
      </c>
      <c r="BE11" s="49">
        <f>O10</f>
        <v>0</v>
      </c>
      <c r="BF11" s="49">
        <f>Q10</f>
        <v>0</v>
      </c>
      <c r="BG11" s="49">
        <f>S10</f>
        <v>0</v>
      </c>
      <c r="BH11" s="49">
        <f>U10</f>
        <v>0</v>
      </c>
      <c r="BI11" s="49">
        <f>W10</f>
        <v>0</v>
      </c>
      <c r="BJ11" s="49">
        <f>Y10</f>
        <v>0</v>
      </c>
      <c r="BK11" s="49">
        <f>AA10</f>
        <v>0</v>
      </c>
      <c r="BL11" s="54"/>
      <c r="BM11" s="998" t="str">
        <f>AD10</f>
        <v>公共配套设施</v>
      </c>
      <c r="BN11" s="998" t="str">
        <f>AF10</f>
        <v>公共配套设施</v>
      </c>
      <c r="BO11" s="52" t="str">
        <f>AH10</f>
        <v>物业管理用房</v>
      </c>
      <c r="BP11" s="52" t="str">
        <f>AJ10</f>
        <v>物业管理用房</v>
      </c>
      <c r="BQ11" s="52" t="str">
        <f>AL10</f>
        <v>设备及其他</v>
      </c>
      <c r="BR11" s="52" t="str">
        <f>AN10</f>
        <v>设备及其他</v>
      </c>
      <c r="BS11" s="53" t="str">
        <f>AP10</f>
        <v>未注明</v>
      </c>
      <c r="BT11" s="995" t="str">
        <f>AR10</f>
        <v>未注明</v>
      </c>
    </row>
    <row r="12" spans="1:72" s="17" customFormat="1" ht="13.2">
      <c r="A12" s="71"/>
      <c r="B12" s="71"/>
      <c r="C12" s="71"/>
      <c r="D12" s="71"/>
      <c r="E12" s="71"/>
      <c r="F12" s="71"/>
      <c r="G12" s="72"/>
      <c r="H12" s="73"/>
      <c r="I12" s="994" t="s">
        <v>165</v>
      </c>
      <c r="J12" s="16" t="s">
        <v>166</v>
      </c>
      <c r="K12" s="16" t="s">
        <v>165</v>
      </c>
      <c r="L12" s="16" t="s">
        <v>166</v>
      </c>
      <c r="M12" s="16" t="s">
        <v>165</v>
      </c>
      <c r="N12" s="16" t="s">
        <v>166</v>
      </c>
      <c r="O12" s="16" t="s">
        <v>165</v>
      </c>
      <c r="P12" s="16" t="s">
        <v>166</v>
      </c>
      <c r="Q12" s="16" t="s">
        <v>165</v>
      </c>
      <c r="R12" s="16" t="s">
        <v>166</v>
      </c>
      <c r="S12" s="16" t="s">
        <v>165</v>
      </c>
      <c r="T12" s="16" t="s">
        <v>166</v>
      </c>
      <c r="U12" s="16" t="s">
        <v>165</v>
      </c>
      <c r="V12" s="986" t="s">
        <v>166</v>
      </c>
      <c r="W12" s="16" t="s">
        <v>165</v>
      </c>
      <c r="X12" s="16" t="s">
        <v>166</v>
      </c>
      <c r="Y12" s="16" t="s">
        <v>165</v>
      </c>
      <c r="Z12" s="16" t="s">
        <v>166</v>
      </c>
      <c r="AA12" s="16" t="s">
        <v>165</v>
      </c>
      <c r="AB12" s="16" t="s">
        <v>166</v>
      </c>
      <c r="AC12" s="74"/>
      <c r="AD12" s="994" t="s">
        <v>165</v>
      </c>
      <c r="AE12" s="16" t="s">
        <v>166</v>
      </c>
      <c r="AF12" s="16" t="s">
        <v>165</v>
      </c>
      <c r="AG12" s="16" t="s">
        <v>166</v>
      </c>
      <c r="AH12" s="16" t="s">
        <v>165</v>
      </c>
      <c r="AI12" s="16" t="s">
        <v>166</v>
      </c>
      <c r="AJ12" s="16" t="s">
        <v>165</v>
      </c>
      <c r="AK12" s="16" t="s">
        <v>166</v>
      </c>
      <c r="AL12" s="16" t="s">
        <v>165</v>
      </c>
      <c r="AM12" s="16" t="s">
        <v>166</v>
      </c>
      <c r="AN12" s="16" t="s">
        <v>165</v>
      </c>
      <c r="AO12" s="16" t="s">
        <v>166</v>
      </c>
      <c r="AP12" s="1184" t="s">
        <v>165</v>
      </c>
      <c r="AQ12" s="1184" t="s">
        <v>166</v>
      </c>
      <c r="AR12" s="1190" t="s">
        <v>165</v>
      </c>
      <c r="AS12" s="1189" t="s">
        <v>166</v>
      </c>
      <c r="AT12" s="75"/>
      <c r="AU12" s="71"/>
      <c r="AV12" s="76"/>
      <c r="AW12" s="41"/>
      <c r="AX12" s="76"/>
      <c r="AY12" s="77"/>
      <c r="AZ12" s="61"/>
      <c r="BA12" s="66"/>
      <c r="BB12" s="52" t="str">
        <f>I11</f>
        <v>商业用房</v>
      </c>
      <c r="BC12" s="78" t="str">
        <f>K11</f>
        <v>商业用房</v>
      </c>
      <c r="BD12" s="78">
        <f>M11</f>
        <v>0</v>
      </c>
      <c r="BE12" s="49">
        <f>O11</f>
        <v>0</v>
      </c>
      <c r="BF12" s="49">
        <f>Q11</f>
        <v>0</v>
      </c>
      <c r="BG12" s="49">
        <f>S11</f>
        <v>0</v>
      </c>
      <c r="BH12" s="49">
        <f>U11</f>
        <v>0</v>
      </c>
      <c r="BI12" s="49">
        <f>W11</f>
        <v>0</v>
      </c>
      <c r="BJ12" s="49">
        <f>Y11</f>
        <v>0</v>
      </c>
      <c r="BK12" s="49">
        <f>AA11</f>
        <v>0</v>
      </c>
      <c r="BL12" s="54"/>
      <c r="BM12" s="998" t="str">
        <f>AD11</f>
        <v>（住宅）</v>
      </c>
      <c r="BN12" s="998" t="str">
        <f>AF11</f>
        <v>（住宅）</v>
      </c>
      <c r="BO12" s="52" t="str">
        <f>AH11</f>
        <v>（住宅、计出让金）</v>
      </c>
      <c r="BP12" s="52" t="str">
        <f>AJ11</f>
        <v>（住宅、计出让金）</v>
      </c>
      <c r="BQ12" s="52">
        <f>AL11</f>
        <v>0</v>
      </c>
      <c r="BR12" s="52">
        <f>AN11</f>
        <v>0</v>
      </c>
      <c r="BS12" s="53">
        <f>AP11</f>
        <v>0</v>
      </c>
      <c r="BT12" s="995">
        <f>AR11</f>
        <v>0</v>
      </c>
    </row>
    <row r="13" spans="1:72" s="17" customFormat="1" ht="26.4">
      <c r="A13" s="3012"/>
      <c r="B13" s="3012" t="s">
        <v>3080</v>
      </c>
      <c r="C13" s="3012" t="s">
        <v>3079</v>
      </c>
      <c r="D13" s="3013" t="s">
        <v>1643</v>
      </c>
      <c r="E13" s="26">
        <f t="shared" ref="E13:E20" si="6">IF($C$3="是",ROUND($A$3*G13/$B$3,2),ROUND($A$3*(G13-AT13)/$B$3,2))</f>
        <v>7409.7</v>
      </c>
      <c r="F13" s="80"/>
      <c r="G13" s="81">
        <f t="shared" ref="G13:G20" si="7">H13+AC13+AT13</f>
        <v>21457.599999999999</v>
      </c>
      <c r="H13" s="32">
        <f t="shared" ref="H13:H20" si="8">SUMIF(I$12:AB$12,"总值",I13:AB13)</f>
        <v>12316.199999999999</v>
      </c>
      <c r="I13" s="3016">
        <f>21457.6-11576.3-1072.41</f>
        <v>8808.89</v>
      </c>
      <c r="J13" s="3016"/>
      <c r="K13" s="3016">
        <v>3507.31</v>
      </c>
      <c r="L13" s="3016"/>
      <c r="M13" s="3016"/>
      <c r="N13" s="82"/>
      <c r="O13" s="82"/>
      <c r="P13" s="82"/>
      <c r="Q13" s="82"/>
      <c r="R13" s="82"/>
      <c r="S13" s="82"/>
      <c r="T13" s="82"/>
      <c r="U13" s="82"/>
      <c r="V13" s="82"/>
      <c r="W13" s="82"/>
      <c r="X13" s="82"/>
      <c r="Y13" s="82"/>
      <c r="Z13" s="82"/>
      <c r="AA13" s="82"/>
      <c r="AB13" s="82"/>
      <c r="AC13" s="26">
        <f t="shared" ref="AC13:AC20" si="9">SUMIF(AD$12:AS$12,"总值",AD13:AS13)</f>
        <v>9141.4</v>
      </c>
      <c r="AD13" s="3020"/>
      <c r="AE13" s="3020"/>
      <c r="AF13" s="3020"/>
      <c r="AG13" s="3020"/>
      <c r="AH13" s="3020"/>
      <c r="AI13" s="3020"/>
      <c r="AJ13" s="3020"/>
      <c r="AK13" s="3020"/>
      <c r="AL13" s="3020"/>
      <c r="AM13" s="3020"/>
      <c r="AN13" s="3020">
        <f>11576.3-3507.31+1072.41</f>
        <v>9141.4</v>
      </c>
      <c r="AO13" s="3020"/>
      <c r="AP13" s="3020"/>
      <c r="AQ13" s="3020"/>
      <c r="AR13" s="3020"/>
      <c r="AS13" s="3020"/>
      <c r="AT13" s="3021"/>
      <c r="AU13" s="3022"/>
      <c r="AV13" s="16">
        <f t="shared" ref="AV13:AX20" si="10">A13</f>
        <v>0</v>
      </c>
      <c r="AW13" s="16" t="str">
        <f t="shared" si="10"/>
        <v>工程规证</v>
      </c>
      <c r="AX13" s="16" t="str">
        <f t="shared" si="10"/>
        <v>交B2-4层物流中心</v>
      </c>
      <c r="AY13" s="994">
        <f t="shared" ref="AY13:AY20" si="11">ROUND($AY$6*AZ13/$AZ$5,2)</f>
        <v>7409.7</v>
      </c>
      <c r="AZ13" s="26">
        <f t="shared" ref="AZ13:AZ20" si="12">BA13+BL13</f>
        <v>21457.599999999999</v>
      </c>
      <c r="BA13" s="26">
        <f t="shared" ref="BA13:BA20" si="13">SUM(BB13:BK13)</f>
        <v>12316.199999999999</v>
      </c>
      <c r="BB13" s="26">
        <f t="shared" ref="BB13:BB20" si="14">IF($D13="是",I13-J13,0)</f>
        <v>8808.89</v>
      </c>
      <c r="BC13" s="26">
        <f t="shared" ref="BC13:BC20" si="15">IF($D13="是",K13-L13,0)</f>
        <v>3507.31</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9141.4</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9141.4</v>
      </c>
      <c r="BS13" s="26">
        <f t="shared" ref="BS13:BS20" si="31">IF($D13="是",AP13-AQ13,0)</f>
        <v>0</v>
      </c>
      <c r="BT13" s="35">
        <f t="shared" ref="BT13:BT20" si="32">IF($D13="是",AR13-AS13,0)</f>
        <v>0</v>
      </c>
    </row>
    <row r="14" spans="1:72" s="17" customFormat="1" ht="13.2">
      <c r="A14" s="3012"/>
      <c r="B14" s="3012"/>
      <c r="C14" s="3014"/>
      <c r="D14" s="3013"/>
      <c r="E14" s="26">
        <f t="shared" si="6"/>
        <v>0</v>
      </c>
      <c r="F14" s="80"/>
      <c r="G14" s="81">
        <f t="shared" si="7"/>
        <v>0</v>
      </c>
      <c r="H14" s="32">
        <f t="shared" si="8"/>
        <v>0</v>
      </c>
      <c r="I14" s="3016"/>
      <c r="J14" s="3016"/>
      <c r="K14" s="3016"/>
      <c r="L14" s="3016"/>
      <c r="M14" s="3016"/>
      <c r="N14" s="82"/>
      <c r="O14" s="82"/>
      <c r="P14" s="82"/>
      <c r="Q14" s="82"/>
      <c r="R14" s="82"/>
      <c r="S14" s="82"/>
      <c r="T14" s="82"/>
      <c r="U14" s="82"/>
      <c r="V14" s="82"/>
      <c r="W14" s="82"/>
      <c r="X14" s="82"/>
      <c r="Y14" s="82"/>
      <c r="Z14" s="82"/>
      <c r="AA14" s="82"/>
      <c r="AB14" s="82"/>
      <c r="AC14" s="26">
        <f t="shared" si="9"/>
        <v>0</v>
      </c>
      <c r="AD14" s="3020"/>
      <c r="AE14" s="3020"/>
      <c r="AF14" s="3020"/>
      <c r="AG14" s="3020"/>
      <c r="AH14" s="3020"/>
      <c r="AI14" s="3020"/>
      <c r="AJ14" s="3020"/>
      <c r="AK14" s="3020"/>
      <c r="AL14" s="3020"/>
      <c r="AM14" s="3020"/>
      <c r="AN14" s="3020"/>
      <c r="AO14" s="3020"/>
      <c r="AP14" s="3020"/>
      <c r="AQ14" s="3020"/>
      <c r="AR14" s="3020"/>
      <c r="AS14" s="3020"/>
      <c r="AT14" s="3021"/>
      <c r="AU14" s="3022"/>
      <c r="AV14" s="16">
        <f t="shared" si="10"/>
        <v>0</v>
      </c>
      <c r="AW14" s="16">
        <f t="shared" si="10"/>
        <v>0</v>
      </c>
      <c r="AX14" s="16">
        <f t="shared" si="10"/>
        <v>0</v>
      </c>
      <c r="AY14" s="994">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3.2">
      <c r="A15" s="3012"/>
      <c r="B15" s="3012"/>
      <c r="C15" s="3014"/>
      <c r="D15" s="3013"/>
      <c r="E15" s="26">
        <f t="shared" si="6"/>
        <v>0</v>
      </c>
      <c r="F15" s="80"/>
      <c r="G15" s="81">
        <f t="shared" si="7"/>
        <v>0</v>
      </c>
      <c r="H15" s="32">
        <f t="shared" si="8"/>
        <v>0</v>
      </c>
      <c r="I15" s="3016"/>
      <c r="J15" s="3016"/>
      <c r="K15" s="3016"/>
      <c r="L15" s="3016"/>
      <c r="M15" s="3016"/>
      <c r="N15" s="82"/>
      <c r="O15" s="82"/>
      <c r="P15" s="82"/>
      <c r="Q15" s="82"/>
      <c r="R15" s="82"/>
      <c r="S15" s="82"/>
      <c r="T15" s="82"/>
      <c r="U15" s="82"/>
      <c r="V15" s="82"/>
      <c r="W15" s="82"/>
      <c r="X15" s="82"/>
      <c r="Y15" s="82"/>
      <c r="Z15" s="82"/>
      <c r="AA15" s="82"/>
      <c r="AB15" s="82"/>
      <c r="AC15" s="26">
        <f t="shared" si="9"/>
        <v>0</v>
      </c>
      <c r="AD15" s="3020"/>
      <c r="AE15" s="3020"/>
      <c r="AF15" s="3020"/>
      <c r="AG15" s="3020"/>
      <c r="AH15" s="3020"/>
      <c r="AI15" s="3020"/>
      <c r="AJ15" s="3020"/>
      <c r="AK15" s="3020"/>
      <c r="AL15" s="3020"/>
      <c r="AM15" s="3020"/>
      <c r="AN15" s="3020"/>
      <c r="AO15" s="3020"/>
      <c r="AP15" s="3020"/>
      <c r="AQ15" s="3020"/>
      <c r="AR15" s="3020"/>
      <c r="AS15" s="3020"/>
      <c r="AT15" s="3021"/>
      <c r="AU15" s="3022"/>
      <c r="AV15" s="16">
        <f t="shared" si="10"/>
        <v>0</v>
      </c>
      <c r="AW15" s="16">
        <f t="shared" si="10"/>
        <v>0</v>
      </c>
      <c r="AX15" s="16">
        <f t="shared" si="10"/>
        <v>0</v>
      </c>
      <c r="AY15" s="994">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3.2">
      <c r="A16" s="3012"/>
      <c r="B16" s="3012"/>
      <c r="C16" s="3014"/>
      <c r="D16" s="3013"/>
      <c r="E16" s="26">
        <f t="shared" si="6"/>
        <v>0</v>
      </c>
      <c r="F16" s="80"/>
      <c r="G16" s="81">
        <f t="shared" si="7"/>
        <v>0</v>
      </c>
      <c r="H16" s="32">
        <f t="shared" si="8"/>
        <v>0</v>
      </c>
      <c r="I16" s="3016"/>
      <c r="J16" s="3016"/>
      <c r="K16" s="3016"/>
      <c r="L16" s="3016"/>
      <c r="M16" s="3016"/>
      <c r="N16" s="82"/>
      <c r="O16" s="82"/>
      <c r="P16" s="82"/>
      <c r="Q16" s="82"/>
      <c r="R16" s="82"/>
      <c r="S16" s="82"/>
      <c r="T16" s="82"/>
      <c r="U16" s="82"/>
      <c r="V16" s="82"/>
      <c r="W16" s="82"/>
      <c r="X16" s="82"/>
      <c r="Y16" s="82"/>
      <c r="Z16" s="82"/>
      <c r="AA16" s="82"/>
      <c r="AB16" s="82"/>
      <c r="AC16" s="26">
        <f t="shared" si="9"/>
        <v>0</v>
      </c>
      <c r="AD16" s="3020"/>
      <c r="AE16" s="3020"/>
      <c r="AF16" s="3020"/>
      <c r="AG16" s="3020"/>
      <c r="AH16" s="3020"/>
      <c r="AI16" s="3020"/>
      <c r="AJ16" s="3020"/>
      <c r="AK16" s="3020"/>
      <c r="AL16" s="3020"/>
      <c r="AM16" s="3020"/>
      <c r="AN16" s="3020"/>
      <c r="AO16" s="3020"/>
      <c r="AP16" s="3020"/>
      <c r="AQ16" s="3020"/>
      <c r="AR16" s="3020"/>
      <c r="AS16" s="3020"/>
      <c r="AT16" s="3021"/>
      <c r="AU16" s="3022"/>
      <c r="AV16" s="16">
        <f t="shared" si="10"/>
        <v>0</v>
      </c>
      <c r="AW16" s="16">
        <f t="shared" si="10"/>
        <v>0</v>
      </c>
      <c r="AX16" s="16">
        <f t="shared" si="10"/>
        <v>0</v>
      </c>
      <c r="AY16" s="994">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3.2">
      <c r="A17" s="3012"/>
      <c r="B17" s="3012"/>
      <c r="C17" s="3014"/>
      <c r="D17" s="3013"/>
      <c r="E17" s="26">
        <f t="shared" si="6"/>
        <v>0</v>
      </c>
      <c r="F17" s="80"/>
      <c r="G17" s="81">
        <f t="shared" si="7"/>
        <v>0</v>
      </c>
      <c r="H17" s="32">
        <f t="shared" si="8"/>
        <v>0</v>
      </c>
      <c r="I17" s="3016"/>
      <c r="J17" s="3016"/>
      <c r="K17" s="3016"/>
      <c r="L17" s="3016"/>
      <c r="M17" s="3016"/>
      <c r="N17" s="82"/>
      <c r="O17" s="82"/>
      <c r="P17" s="82"/>
      <c r="Q17" s="82"/>
      <c r="R17" s="82"/>
      <c r="S17" s="82"/>
      <c r="T17" s="82"/>
      <c r="U17" s="82"/>
      <c r="V17" s="82"/>
      <c r="W17" s="82"/>
      <c r="X17" s="82"/>
      <c r="Y17" s="82"/>
      <c r="Z17" s="82"/>
      <c r="AA17" s="82"/>
      <c r="AB17" s="82"/>
      <c r="AC17" s="26">
        <f t="shared" si="9"/>
        <v>0</v>
      </c>
      <c r="AD17" s="3020"/>
      <c r="AE17" s="3020"/>
      <c r="AF17" s="3020"/>
      <c r="AG17" s="3020"/>
      <c r="AH17" s="3020"/>
      <c r="AI17" s="3020"/>
      <c r="AJ17" s="3020"/>
      <c r="AK17" s="3020"/>
      <c r="AL17" s="3020"/>
      <c r="AM17" s="3020"/>
      <c r="AN17" s="3020"/>
      <c r="AO17" s="3020"/>
      <c r="AP17" s="3020"/>
      <c r="AQ17" s="3020"/>
      <c r="AR17" s="3020"/>
      <c r="AS17" s="3020"/>
      <c r="AT17" s="3021"/>
      <c r="AU17" s="3022"/>
      <c r="AV17" s="16">
        <f t="shared" si="10"/>
        <v>0</v>
      </c>
      <c r="AW17" s="16">
        <f t="shared" si="10"/>
        <v>0</v>
      </c>
      <c r="AX17" s="16">
        <f t="shared" si="10"/>
        <v>0</v>
      </c>
      <c r="AY17" s="994">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5.6">
      <c r="A18" s="83"/>
      <c r="B18" s="84"/>
      <c r="C18" s="84"/>
      <c r="D18" s="3015"/>
      <c r="E18" s="86">
        <f t="shared" si="6"/>
        <v>0</v>
      </c>
      <c r="F18" s="87"/>
      <c r="G18" s="88">
        <f t="shared" si="7"/>
        <v>0</v>
      </c>
      <c r="H18" s="89">
        <f t="shared" si="8"/>
        <v>0</v>
      </c>
      <c r="I18" s="1392"/>
      <c r="J18" s="90"/>
      <c r="K18" s="1392"/>
      <c r="L18" s="90"/>
      <c r="M18" s="90"/>
      <c r="N18" s="90"/>
      <c r="O18" s="90"/>
      <c r="P18" s="90"/>
      <c r="Q18" s="90"/>
      <c r="R18" s="90"/>
      <c r="S18" s="90"/>
      <c r="T18" s="90"/>
      <c r="U18" s="90"/>
      <c r="V18" s="90"/>
      <c r="W18" s="90"/>
      <c r="X18" s="90"/>
      <c r="Y18" s="90"/>
      <c r="Z18" s="90"/>
      <c r="AA18" s="90"/>
      <c r="AB18" s="90"/>
      <c r="AC18" s="86">
        <f t="shared" si="9"/>
        <v>0</v>
      </c>
      <c r="AD18" s="91"/>
      <c r="AE18" s="91"/>
      <c r="AF18" s="1392"/>
      <c r="AG18" s="91"/>
      <c r="AH18" s="91"/>
      <c r="AI18" s="91"/>
      <c r="AJ18" s="91"/>
      <c r="AK18" s="91"/>
      <c r="AL18" s="1362"/>
      <c r="AM18" s="91"/>
      <c r="AN18" s="1392"/>
      <c r="AO18" s="91"/>
      <c r="AP18" s="91"/>
      <c r="AQ18" s="91"/>
      <c r="AR18" s="91"/>
      <c r="AS18" s="91"/>
      <c r="AT18" s="92"/>
      <c r="AU18" s="93"/>
      <c r="AV18" s="990">
        <f t="shared" si="10"/>
        <v>0</v>
      </c>
      <c r="AW18" s="990">
        <f t="shared" si="10"/>
        <v>0</v>
      </c>
      <c r="AX18" s="990">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5.6">
      <c r="A19" s="83"/>
      <c r="B19" s="1396"/>
      <c r="C19" s="1392"/>
      <c r="D19" s="79"/>
      <c r="E19" s="86">
        <f t="shared" si="6"/>
        <v>0</v>
      </c>
      <c r="F19" s="87"/>
      <c r="G19" s="88">
        <f t="shared" si="7"/>
        <v>0</v>
      </c>
      <c r="H19" s="89">
        <f t="shared" si="8"/>
        <v>0</v>
      </c>
      <c r="I19" s="1392"/>
      <c r="J19" s="90"/>
      <c r="K19" s="1392"/>
      <c r="L19" s="90"/>
      <c r="M19" s="90"/>
      <c r="N19" s="90"/>
      <c r="O19" s="90"/>
      <c r="P19" s="90"/>
      <c r="Q19" s="90"/>
      <c r="R19" s="90"/>
      <c r="S19" s="90"/>
      <c r="T19" s="90"/>
      <c r="U19" s="90"/>
      <c r="V19" s="90"/>
      <c r="W19" s="90"/>
      <c r="X19" s="90"/>
      <c r="Y19" s="90"/>
      <c r="Z19" s="90"/>
      <c r="AA19" s="90"/>
      <c r="AB19" s="90"/>
      <c r="AC19" s="86">
        <f t="shared" si="9"/>
        <v>0</v>
      </c>
      <c r="AD19" s="91"/>
      <c r="AE19" s="91"/>
      <c r="AF19" s="1392"/>
      <c r="AG19" s="91"/>
      <c r="AH19" s="91"/>
      <c r="AI19" s="91"/>
      <c r="AJ19" s="91"/>
      <c r="AK19" s="91"/>
      <c r="AL19" s="91"/>
      <c r="AM19" s="91"/>
      <c r="AN19" s="1392"/>
      <c r="AO19" s="91"/>
      <c r="AP19" s="91"/>
      <c r="AQ19" s="91"/>
      <c r="AR19" s="91"/>
      <c r="AS19" s="91"/>
      <c r="AT19" s="92"/>
      <c r="AU19" s="93"/>
      <c r="AV19" s="990">
        <f t="shared" si="10"/>
        <v>0</v>
      </c>
      <c r="AW19" s="990">
        <f t="shared" si="10"/>
        <v>0</v>
      </c>
      <c r="AX19" s="990">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6">
      <c r="A20" s="83"/>
      <c r="B20" s="1396"/>
      <c r="C20" s="1392"/>
      <c r="D20" s="79"/>
      <c r="E20" s="86">
        <f t="shared" si="6"/>
        <v>0</v>
      </c>
      <c r="F20" s="87"/>
      <c r="G20" s="88">
        <f t="shared" si="7"/>
        <v>0</v>
      </c>
      <c r="H20" s="89">
        <f t="shared" si="8"/>
        <v>0</v>
      </c>
      <c r="I20" s="1392"/>
      <c r="J20" s="90"/>
      <c r="K20" s="1392"/>
      <c r="L20" s="90"/>
      <c r="M20" s="90"/>
      <c r="N20" s="90"/>
      <c r="O20" s="90"/>
      <c r="P20" s="90"/>
      <c r="Q20" s="90"/>
      <c r="R20" s="90"/>
      <c r="S20" s="90"/>
      <c r="T20" s="90"/>
      <c r="U20" s="90"/>
      <c r="V20" s="90"/>
      <c r="W20" s="90"/>
      <c r="X20" s="90"/>
      <c r="Y20" s="90"/>
      <c r="Z20" s="90"/>
      <c r="AA20" s="90"/>
      <c r="AB20" s="90"/>
      <c r="AC20" s="86">
        <f t="shared" si="9"/>
        <v>0</v>
      </c>
      <c r="AD20" s="91"/>
      <c r="AE20" s="91"/>
      <c r="AF20" s="1392"/>
      <c r="AG20" s="91"/>
      <c r="AH20" s="91"/>
      <c r="AI20" s="91"/>
      <c r="AJ20" s="91"/>
      <c r="AK20" s="91"/>
      <c r="AL20" s="91"/>
      <c r="AM20" s="91"/>
      <c r="AN20" s="1392"/>
      <c r="AO20" s="91"/>
      <c r="AP20" s="91"/>
      <c r="AQ20" s="91"/>
      <c r="AR20" s="91"/>
      <c r="AS20" s="91"/>
      <c r="AT20" s="92"/>
      <c r="AU20" s="93"/>
      <c r="AV20" s="990">
        <f t="shared" si="10"/>
        <v>0</v>
      </c>
      <c r="AW20" s="990">
        <f t="shared" si="10"/>
        <v>0</v>
      </c>
      <c r="AX20" s="990">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15.6">
      <c r="A21" s="83"/>
      <c r="B21" s="1391"/>
      <c r="C21" s="1392"/>
      <c r="D21" s="79"/>
      <c r="E21" s="86">
        <f t="shared" ref="E21:E112" si="33">IF($C$3="是",ROUND($A$3*G21/$B$3,2),ROUND($A$3*(G21-AT21)/$B$3,2))</f>
        <v>0</v>
      </c>
      <c r="F21" s="87"/>
      <c r="G21" s="88">
        <f t="shared" ref="G21:G109" si="34">H21+AC21+AT21</f>
        <v>0</v>
      </c>
      <c r="H21" s="89">
        <f t="shared" ref="H21:H109" si="35">SUMIF(I$12:AB$12,"总值",I21:AB21)</f>
        <v>0</v>
      </c>
      <c r="I21" s="1394"/>
      <c r="J21" s="90"/>
      <c r="K21" s="1394"/>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5"/>
      <c r="AG21" s="91"/>
      <c r="AH21" s="91"/>
      <c r="AI21" s="91"/>
      <c r="AJ21" s="91"/>
      <c r="AK21" s="91"/>
      <c r="AL21" s="91"/>
      <c r="AM21" s="91"/>
      <c r="AN21" s="1362"/>
      <c r="AO21" s="91"/>
      <c r="AP21" s="91"/>
      <c r="AQ21" s="91"/>
      <c r="AR21" s="91"/>
      <c r="AS21" s="91"/>
      <c r="AT21" s="92"/>
      <c r="AU21" s="93"/>
      <c r="AV21" s="1977">
        <f t="shared" ref="AV21:AV112" si="37">A21</f>
        <v>0</v>
      </c>
      <c r="AW21" s="1977">
        <f t="shared" ref="AW21:AW112" si="38">B21</f>
        <v>0</v>
      </c>
      <c r="AX21" s="1977">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15.6">
      <c r="A22" s="83"/>
      <c r="B22" s="1391"/>
      <c r="C22" s="1392"/>
      <c r="D22" s="79"/>
      <c r="E22" s="86">
        <f t="shared" si="33"/>
        <v>0</v>
      </c>
      <c r="F22" s="87"/>
      <c r="G22" s="88">
        <f t="shared" si="34"/>
        <v>0</v>
      </c>
      <c r="H22" s="89">
        <f t="shared" si="35"/>
        <v>0</v>
      </c>
      <c r="I22" s="1394"/>
      <c r="J22" s="90"/>
      <c r="K22" s="1394"/>
      <c r="L22" s="90"/>
      <c r="M22" s="1362"/>
      <c r="N22" s="90"/>
      <c r="O22" s="90"/>
      <c r="P22" s="90"/>
      <c r="Q22" s="90"/>
      <c r="R22" s="90"/>
      <c r="S22" s="90"/>
      <c r="T22" s="90"/>
      <c r="U22" s="90"/>
      <c r="V22" s="90"/>
      <c r="W22" s="90"/>
      <c r="X22" s="90"/>
      <c r="Y22" s="90"/>
      <c r="Z22" s="90"/>
      <c r="AA22" s="90"/>
      <c r="AB22" s="90"/>
      <c r="AC22" s="86">
        <f t="shared" si="36"/>
        <v>0</v>
      </c>
      <c r="AD22" s="1362"/>
      <c r="AE22" s="91"/>
      <c r="AF22" s="1395"/>
      <c r="AG22" s="91"/>
      <c r="AH22" s="91"/>
      <c r="AI22" s="91"/>
      <c r="AJ22" s="91"/>
      <c r="AK22" s="91"/>
      <c r="AL22" s="1362"/>
      <c r="AM22" s="91"/>
      <c r="AN22" s="1362"/>
      <c r="AO22" s="91"/>
      <c r="AP22" s="91"/>
      <c r="AQ22" s="91"/>
      <c r="AR22" s="91"/>
      <c r="AS22" s="91"/>
      <c r="AT22" s="92"/>
      <c r="AU22" s="93"/>
      <c r="AV22" s="1977">
        <f t="shared" si="37"/>
        <v>0</v>
      </c>
      <c r="AW22" s="1977">
        <f t="shared" si="38"/>
        <v>0</v>
      </c>
      <c r="AX22" s="1977">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ht="15.6">
      <c r="A23" s="83"/>
      <c r="B23" s="1391"/>
      <c r="C23" s="1392"/>
      <c r="D23" s="79"/>
      <c r="E23" s="86">
        <f t="shared" si="33"/>
        <v>0</v>
      </c>
      <c r="F23" s="87"/>
      <c r="G23" s="88">
        <f t="shared" si="34"/>
        <v>0</v>
      </c>
      <c r="H23" s="89">
        <f t="shared" si="35"/>
        <v>0</v>
      </c>
      <c r="I23" s="1394"/>
      <c r="J23" s="90"/>
      <c r="K23" s="1394"/>
      <c r="L23" s="90"/>
      <c r="M23" s="1362"/>
      <c r="N23" s="90"/>
      <c r="O23" s="90"/>
      <c r="P23" s="90"/>
      <c r="Q23" s="90"/>
      <c r="R23" s="90"/>
      <c r="S23" s="90"/>
      <c r="T23" s="90"/>
      <c r="U23" s="90"/>
      <c r="V23" s="90"/>
      <c r="W23" s="90"/>
      <c r="X23" s="90"/>
      <c r="Y23" s="90"/>
      <c r="Z23" s="90"/>
      <c r="AA23" s="90"/>
      <c r="AB23" s="90"/>
      <c r="AC23" s="86">
        <f t="shared" si="36"/>
        <v>0</v>
      </c>
      <c r="AD23" s="91"/>
      <c r="AE23" s="91"/>
      <c r="AF23" s="1395"/>
      <c r="AG23" s="91"/>
      <c r="AH23" s="91"/>
      <c r="AI23" s="91"/>
      <c r="AJ23" s="91"/>
      <c r="AK23" s="91"/>
      <c r="AL23" s="1362"/>
      <c r="AM23" s="91"/>
      <c r="AN23" s="1362"/>
      <c r="AO23" s="91"/>
      <c r="AP23" s="91"/>
      <c r="AQ23" s="91"/>
      <c r="AR23" s="91"/>
      <c r="AS23" s="91"/>
      <c r="AT23" s="92"/>
      <c r="AU23" s="93"/>
      <c r="AV23" s="1977">
        <f t="shared" si="37"/>
        <v>0</v>
      </c>
      <c r="AW23" s="1977">
        <f t="shared" si="38"/>
        <v>0</v>
      </c>
      <c r="AX23" s="1977">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ht="15.6">
      <c r="A24" s="83"/>
      <c r="B24" s="1391"/>
      <c r="C24" s="1392"/>
      <c r="D24" s="79"/>
      <c r="E24" s="86">
        <f t="shared" si="33"/>
        <v>0</v>
      </c>
      <c r="F24" s="87"/>
      <c r="G24" s="88">
        <f t="shared" si="34"/>
        <v>0</v>
      </c>
      <c r="H24" s="89">
        <f t="shared" si="35"/>
        <v>0</v>
      </c>
      <c r="I24" s="1394"/>
      <c r="J24" s="90"/>
      <c r="K24" s="1394"/>
      <c r="L24" s="90"/>
      <c r="M24" s="90"/>
      <c r="N24" s="90"/>
      <c r="O24" s="1362"/>
      <c r="P24" s="90"/>
      <c r="Q24" s="90"/>
      <c r="R24" s="90"/>
      <c r="S24" s="90"/>
      <c r="T24" s="90"/>
      <c r="U24" s="90"/>
      <c r="V24" s="90"/>
      <c r="W24" s="90"/>
      <c r="X24" s="90"/>
      <c r="Y24" s="90"/>
      <c r="Z24" s="90"/>
      <c r="AA24" s="90"/>
      <c r="AB24" s="90"/>
      <c r="AC24" s="86">
        <f t="shared" si="36"/>
        <v>0</v>
      </c>
      <c r="AD24" s="91"/>
      <c r="AE24" s="91"/>
      <c r="AF24" s="1395"/>
      <c r="AG24" s="91"/>
      <c r="AH24" s="91"/>
      <c r="AI24" s="91"/>
      <c r="AJ24" s="91"/>
      <c r="AK24" s="91"/>
      <c r="AL24" s="91"/>
      <c r="AM24" s="91"/>
      <c r="AN24" s="1362"/>
      <c r="AO24" s="91"/>
      <c r="AP24" s="91"/>
      <c r="AQ24" s="91"/>
      <c r="AR24" s="91"/>
      <c r="AS24" s="91"/>
      <c r="AT24" s="92"/>
      <c r="AU24" s="93"/>
      <c r="AV24" s="1977">
        <f t="shared" si="37"/>
        <v>0</v>
      </c>
      <c r="AW24" s="1977">
        <f t="shared" si="38"/>
        <v>0</v>
      </c>
      <c r="AX24" s="1977">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ht="15.6">
      <c r="A25" s="83"/>
      <c r="B25" s="1391"/>
      <c r="C25" s="1392"/>
      <c r="D25" s="79"/>
      <c r="E25" s="86">
        <f t="shared" si="33"/>
        <v>0</v>
      </c>
      <c r="F25" s="87"/>
      <c r="G25" s="88">
        <f t="shared" si="34"/>
        <v>0</v>
      </c>
      <c r="H25" s="89">
        <f t="shared" si="35"/>
        <v>0</v>
      </c>
      <c r="I25" s="1394"/>
      <c r="J25" s="90"/>
      <c r="K25" s="1394"/>
      <c r="L25" s="90"/>
      <c r="M25" s="90"/>
      <c r="N25" s="90"/>
      <c r="O25" s="90"/>
      <c r="P25" s="90"/>
      <c r="Q25" s="90"/>
      <c r="R25" s="90"/>
      <c r="S25" s="90"/>
      <c r="T25" s="90"/>
      <c r="U25" s="90"/>
      <c r="V25" s="90"/>
      <c r="W25" s="90"/>
      <c r="X25" s="90"/>
      <c r="Y25" s="90"/>
      <c r="Z25" s="90"/>
      <c r="AA25" s="90"/>
      <c r="AB25" s="90"/>
      <c r="AC25" s="86">
        <f t="shared" si="36"/>
        <v>0</v>
      </c>
      <c r="AD25" s="91"/>
      <c r="AE25" s="91"/>
      <c r="AF25" s="1395"/>
      <c r="AG25" s="91"/>
      <c r="AH25" s="91"/>
      <c r="AI25" s="91"/>
      <c r="AJ25" s="91"/>
      <c r="AK25" s="91"/>
      <c r="AL25" s="91"/>
      <c r="AM25" s="91"/>
      <c r="AN25" s="91"/>
      <c r="AO25" s="91"/>
      <c r="AP25" s="91"/>
      <c r="AQ25" s="91"/>
      <c r="AR25" s="91"/>
      <c r="AS25" s="91"/>
      <c r="AT25" s="92"/>
      <c r="AU25" s="93"/>
      <c r="AV25" s="1977">
        <f t="shared" si="37"/>
        <v>0</v>
      </c>
      <c r="AW25" s="1977">
        <f t="shared" si="38"/>
        <v>0</v>
      </c>
      <c r="AX25" s="1977">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ht="15.6">
      <c r="A26" s="83"/>
      <c r="B26" s="1391"/>
      <c r="C26" s="1392"/>
      <c r="D26" s="79"/>
      <c r="E26" s="86">
        <f t="shared" si="33"/>
        <v>0</v>
      </c>
      <c r="F26" s="87"/>
      <c r="G26" s="88">
        <f t="shared" si="34"/>
        <v>0</v>
      </c>
      <c r="H26" s="89">
        <f t="shared" si="35"/>
        <v>0</v>
      </c>
      <c r="I26" s="1394"/>
      <c r="J26" s="90"/>
      <c r="K26" s="1394"/>
      <c r="L26" s="90"/>
      <c r="M26" s="90"/>
      <c r="N26" s="90"/>
      <c r="O26" s="90"/>
      <c r="P26" s="90"/>
      <c r="Q26" s="90"/>
      <c r="R26" s="90"/>
      <c r="S26" s="90"/>
      <c r="T26" s="90"/>
      <c r="U26" s="90"/>
      <c r="V26" s="90"/>
      <c r="W26" s="90"/>
      <c r="X26" s="90"/>
      <c r="Y26" s="90"/>
      <c r="Z26" s="90"/>
      <c r="AA26" s="90"/>
      <c r="AB26" s="90"/>
      <c r="AC26" s="86">
        <f t="shared" si="36"/>
        <v>0</v>
      </c>
      <c r="AD26" s="91"/>
      <c r="AE26" s="91"/>
      <c r="AF26" s="1395"/>
      <c r="AG26" s="91"/>
      <c r="AH26" s="91"/>
      <c r="AI26" s="91"/>
      <c r="AJ26" s="91"/>
      <c r="AK26" s="91"/>
      <c r="AL26" s="91"/>
      <c r="AM26" s="91"/>
      <c r="AN26" s="91"/>
      <c r="AO26" s="91"/>
      <c r="AP26" s="91"/>
      <c r="AQ26" s="91"/>
      <c r="AR26" s="91"/>
      <c r="AS26" s="91"/>
      <c r="AT26" s="92"/>
      <c r="AU26" s="93"/>
      <c r="AV26" s="1977">
        <f t="shared" si="37"/>
        <v>0</v>
      </c>
      <c r="AW26" s="1977">
        <f t="shared" si="38"/>
        <v>0</v>
      </c>
      <c r="AX26" s="1977">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15.6">
      <c r="A27" s="83"/>
      <c r="B27" s="1391"/>
      <c r="C27" s="1392"/>
      <c r="D27" s="79"/>
      <c r="E27" s="86">
        <f t="shared" si="33"/>
        <v>0</v>
      </c>
      <c r="F27" s="87"/>
      <c r="G27" s="88">
        <f t="shared" si="34"/>
        <v>0</v>
      </c>
      <c r="H27" s="89">
        <f t="shared" si="35"/>
        <v>0</v>
      </c>
      <c r="I27" s="1394"/>
      <c r="J27" s="90"/>
      <c r="K27" s="1394"/>
      <c r="L27" s="90"/>
      <c r="M27" s="90"/>
      <c r="N27" s="90"/>
      <c r="O27" s="90"/>
      <c r="P27" s="90"/>
      <c r="Q27" s="90"/>
      <c r="R27" s="90"/>
      <c r="S27" s="90"/>
      <c r="T27" s="90"/>
      <c r="U27" s="90"/>
      <c r="V27" s="90"/>
      <c r="W27" s="90"/>
      <c r="X27" s="90"/>
      <c r="Y27" s="90"/>
      <c r="Z27" s="90"/>
      <c r="AA27" s="90"/>
      <c r="AB27" s="90"/>
      <c r="AC27" s="86">
        <f t="shared" si="36"/>
        <v>0</v>
      </c>
      <c r="AD27" s="91"/>
      <c r="AE27" s="91"/>
      <c r="AF27" s="1395"/>
      <c r="AG27" s="91"/>
      <c r="AH27" s="91"/>
      <c r="AI27" s="91"/>
      <c r="AJ27" s="91"/>
      <c r="AK27" s="91"/>
      <c r="AL27" s="91"/>
      <c r="AM27" s="91"/>
      <c r="AN27" s="91"/>
      <c r="AO27" s="91"/>
      <c r="AP27" s="91"/>
      <c r="AQ27" s="91"/>
      <c r="AR27" s="91"/>
      <c r="AS27" s="91"/>
      <c r="AT27" s="92"/>
      <c r="AU27" s="93"/>
      <c r="AV27" s="1977">
        <f t="shared" si="37"/>
        <v>0</v>
      </c>
      <c r="AW27" s="1977">
        <f t="shared" si="38"/>
        <v>0</v>
      </c>
      <c r="AX27" s="1977">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ht="15.6">
      <c r="A28" s="83"/>
      <c r="B28" s="1391"/>
      <c r="C28" s="1392"/>
      <c r="D28" s="79"/>
      <c r="E28" s="86">
        <f t="shared" si="33"/>
        <v>0</v>
      </c>
      <c r="F28" s="87"/>
      <c r="G28" s="88">
        <f t="shared" si="34"/>
        <v>0</v>
      </c>
      <c r="H28" s="89">
        <f t="shared" si="35"/>
        <v>0</v>
      </c>
      <c r="I28" s="1394"/>
      <c r="J28" s="90"/>
      <c r="K28" s="1394"/>
      <c r="L28" s="90"/>
      <c r="M28" s="90"/>
      <c r="N28" s="90"/>
      <c r="O28" s="90"/>
      <c r="P28" s="90"/>
      <c r="Q28" s="90"/>
      <c r="R28" s="90"/>
      <c r="S28" s="90"/>
      <c r="T28" s="90"/>
      <c r="U28" s="90"/>
      <c r="V28" s="90"/>
      <c r="W28" s="90"/>
      <c r="X28" s="90"/>
      <c r="Y28" s="90"/>
      <c r="Z28" s="90"/>
      <c r="AA28" s="90"/>
      <c r="AB28" s="90"/>
      <c r="AC28" s="86">
        <f t="shared" si="36"/>
        <v>0</v>
      </c>
      <c r="AD28" s="91"/>
      <c r="AE28" s="91"/>
      <c r="AF28" s="1394"/>
      <c r="AG28" s="91"/>
      <c r="AH28" s="91"/>
      <c r="AI28" s="91"/>
      <c r="AJ28" s="91"/>
      <c r="AK28" s="91"/>
      <c r="AL28" s="91"/>
      <c r="AM28" s="91"/>
      <c r="AN28" s="91"/>
      <c r="AO28" s="91"/>
      <c r="AP28" s="91"/>
      <c r="AQ28" s="91"/>
      <c r="AR28" s="91"/>
      <c r="AS28" s="91"/>
      <c r="AT28" s="92"/>
      <c r="AU28" s="93"/>
      <c r="AV28" s="1977">
        <f t="shared" si="37"/>
        <v>0</v>
      </c>
      <c r="AW28" s="1977">
        <f t="shared" si="38"/>
        <v>0</v>
      </c>
      <c r="AX28" s="1977">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ht="15.6">
      <c r="A29" s="83"/>
      <c r="B29" s="1393"/>
      <c r="C29" s="1394"/>
      <c r="D29" s="79"/>
      <c r="E29" s="86">
        <f t="shared" si="33"/>
        <v>0</v>
      </c>
      <c r="F29" s="87"/>
      <c r="G29" s="88">
        <f t="shared" si="34"/>
        <v>0</v>
      </c>
      <c r="H29" s="89">
        <f t="shared" si="35"/>
        <v>0</v>
      </c>
      <c r="I29" s="1394"/>
      <c r="J29" s="90"/>
      <c r="K29" s="1394"/>
      <c r="L29" s="90"/>
      <c r="M29" s="90"/>
      <c r="N29" s="90"/>
      <c r="O29" s="90"/>
      <c r="P29" s="90"/>
      <c r="Q29" s="90"/>
      <c r="R29" s="90"/>
      <c r="S29" s="90"/>
      <c r="T29" s="90"/>
      <c r="U29" s="90"/>
      <c r="V29" s="90"/>
      <c r="W29" s="90"/>
      <c r="X29" s="90"/>
      <c r="Y29" s="90"/>
      <c r="Z29" s="90"/>
      <c r="AA29" s="90"/>
      <c r="AB29" s="90"/>
      <c r="AC29" s="86">
        <f t="shared" si="36"/>
        <v>0</v>
      </c>
      <c r="AD29" s="91"/>
      <c r="AE29" s="91"/>
      <c r="AF29" s="1394"/>
      <c r="AG29" s="91"/>
      <c r="AH29" s="91"/>
      <c r="AI29" s="91"/>
      <c r="AJ29" s="91"/>
      <c r="AK29" s="91"/>
      <c r="AL29" s="91"/>
      <c r="AM29" s="91"/>
      <c r="AN29" s="91"/>
      <c r="AO29" s="91"/>
      <c r="AP29" s="91"/>
      <c r="AQ29" s="91"/>
      <c r="AR29" s="91"/>
      <c r="AS29" s="91"/>
      <c r="AT29" s="92"/>
      <c r="AU29" s="93"/>
      <c r="AV29" s="1977">
        <f t="shared" si="37"/>
        <v>0</v>
      </c>
      <c r="AW29" s="1977">
        <f t="shared" si="38"/>
        <v>0</v>
      </c>
      <c r="AX29" s="1977">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ht="15.6">
      <c r="A30" s="83"/>
      <c r="B30" s="1391"/>
      <c r="C30" s="1392"/>
      <c r="D30" s="79"/>
      <c r="E30" s="86">
        <f t="shared" si="33"/>
        <v>0</v>
      </c>
      <c r="F30" s="87"/>
      <c r="G30" s="88">
        <f t="shared" si="34"/>
        <v>0</v>
      </c>
      <c r="H30" s="89">
        <f t="shared" si="35"/>
        <v>0</v>
      </c>
      <c r="I30" s="1394"/>
      <c r="J30" s="90"/>
      <c r="K30" s="1394"/>
      <c r="L30" s="90"/>
      <c r="M30" s="90"/>
      <c r="N30" s="90"/>
      <c r="O30" s="90"/>
      <c r="P30" s="90"/>
      <c r="Q30" s="90"/>
      <c r="R30" s="90"/>
      <c r="S30" s="90"/>
      <c r="T30" s="90"/>
      <c r="U30" s="90"/>
      <c r="V30" s="90"/>
      <c r="W30" s="90"/>
      <c r="X30" s="90"/>
      <c r="Y30" s="90"/>
      <c r="Z30" s="90"/>
      <c r="AA30" s="90"/>
      <c r="AB30" s="90"/>
      <c r="AC30" s="86">
        <f t="shared" si="36"/>
        <v>0</v>
      </c>
      <c r="AD30" s="91"/>
      <c r="AE30" s="91"/>
      <c r="AF30" s="1394"/>
      <c r="AG30" s="91"/>
      <c r="AH30" s="91"/>
      <c r="AI30" s="91"/>
      <c r="AJ30" s="91"/>
      <c r="AK30" s="91"/>
      <c r="AL30" s="91"/>
      <c r="AM30" s="91"/>
      <c r="AN30" s="91"/>
      <c r="AO30" s="91"/>
      <c r="AP30" s="91"/>
      <c r="AQ30" s="91"/>
      <c r="AR30" s="91"/>
      <c r="AS30" s="91"/>
      <c r="AT30" s="92"/>
      <c r="AU30" s="93"/>
      <c r="AV30" s="1977">
        <f t="shared" si="37"/>
        <v>0</v>
      </c>
      <c r="AW30" s="1977">
        <f t="shared" si="38"/>
        <v>0</v>
      </c>
      <c r="AX30" s="1977">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ht="15.6">
      <c r="A31" s="83"/>
      <c r="B31" s="1391"/>
      <c r="C31" s="1392"/>
      <c r="D31" s="79"/>
      <c r="E31" s="86">
        <f t="shared" si="33"/>
        <v>0</v>
      </c>
      <c r="F31" s="87"/>
      <c r="G31" s="88">
        <f t="shared" si="34"/>
        <v>0</v>
      </c>
      <c r="H31" s="89">
        <f t="shared" si="35"/>
        <v>0</v>
      </c>
      <c r="I31" s="1394"/>
      <c r="J31" s="90"/>
      <c r="K31" s="1394"/>
      <c r="L31" s="90"/>
      <c r="M31" s="90"/>
      <c r="N31" s="90"/>
      <c r="O31" s="90"/>
      <c r="P31" s="90"/>
      <c r="Q31" s="90"/>
      <c r="R31" s="90"/>
      <c r="S31" s="90"/>
      <c r="T31" s="90"/>
      <c r="U31" s="90"/>
      <c r="V31" s="90"/>
      <c r="W31" s="90"/>
      <c r="X31" s="90"/>
      <c r="Y31" s="90"/>
      <c r="Z31" s="90"/>
      <c r="AA31" s="90"/>
      <c r="AB31" s="90"/>
      <c r="AC31" s="86">
        <f t="shared" si="36"/>
        <v>0</v>
      </c>
      <c r="AD31" s="91"/>
      <c r="AE31" s="91"/>
      <c r="AF31" s="1394"/>
      <c r="AG31" s="91"/>
      <c r="AH31" s="91"/>
      <c r="AI31" s="91"/>
      <c r="AJ31" s="91"/>
      <c r="AK31" s="91"/>
      <c r="AL31" s="91"/>
      <c r="AM31" s="91"/>
      <c r="AN31" s="91"/>
      <c r="AO31" s="91"/>
      <c r="AP31" s="91"/>
      <c r="AQ31" s="91"/>
      <c r="AR31" s="91"/>
      <c r="AS31" s="91"/>
      <c r="AT31" s="92"/>
      <c r="AU31" s="93"/>
      <c r="AV31" s="1977">
        <f t="shared" si="37"/>
        <v>0</v>
      </c>
      <c r="AW31" s="1977">
        <f t="shared" si="38"/>
        <v>0</v>
      </c>
      <c r="AX31" s="1977">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ht="15.6">
      <c r="A32" s="83"/>
      <c r="B32" s="1391"/>
      <c r="C32" s="1392"/>
      <c r="D32" s="79"/>
      <c r="E32" s="86">
        <f t="shared" si="33"/>
        <v>0</v>
      </c>
      <c r="F32" s="87"/>
      <c r="G32" s="88">
        <f t="shared" si="34"/>
        <v>0</v>
      </c>
      <c r="H32" s="89">
        <f t="shared" si="35"/>
        <v>0</v>
      </c>
      <c r="I32" s="1394"/>
      <c r="J32" s="90"/>
      <c r="K32" s="1394"/>
      <c r="L32" s="90"/>
      <c r="M32" s="90"/>
      <c r="N32" s="90"/>
      <c r="O32" s="90"/>
      <c r="P32" s="90"/>
      <c r="Q32" s="90"/>
      <c r="R32" s="90"/>
      <c r="S32" s="90"/>
      <c r="T32" s="90"/>
      <c r="U32" s="90"/>
      <c r="V32" s="90"/>
      <c r="W32" s="90"/>
      <c r="X32" s="90"/>
      <c r="Y32" s="90"/>
      <c r="Z32" s="90"/>
      <c r="AA32" s="90"/>
      <c r="AB32" s="90"/>
      <c r="AC32" s="86">
        <f t="shared" si="36"/>
        <v>0</v>
      </c>
      <c r="AD32" s="91"/>
      <c r="AE32" s="91"/>
      <c r="AF32" s="1394"/>
      <c r="AG32" s="91"/>
      <c r="AH32" s="91"/>
      <c r="AI32" s="91"/>
      <c r="AJ32" s="91"/>
      <c r="AK32" s="91"/>
      <c r="AL32" s="91"/>
      <c r="AM32" s="91"/>
      <c r="AN32" s="91"/>
      <c r="AO32" s="91"/>
      <c r="AP32" s="91"/>
      <c r="AQ32" s="91"/>
      <c r="AR32" s="91"/>
      <c r="AS32" s="91"/>
      <c r="AT32" s="92"/>
      <c r="AU32" s="93"/>
      <c r="AV32" s="1977">
        <f t="shared" si="37"/>
        <v>0</v>
      </c>
      <c r="AW32" s="1977">
        <f t="shared" si="38"/>
        <v>0</v>
      </c>
      <c r="AX32" s="1977">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ht="15.6">
      <c r="A33" s="83"/>
      <c r="B33" s="1391"/>
      <c r="C33" s="1392"/>
      <c r="D33" s="79"/>
      <c r="E33" s="86">
        <f t="shared" si="33"/>
        <v>0</v>
      </c>
      <c r="F33" s="87"/>
      <c r="G33" s="88">
        <f t="shared" si="34"/>
        <v>0</v>
      </c>
      <c r="H33" s="89">
        <f t="shared" si="35"/>
        <v>0</v>
      </c>
      <c r="I33" s="1394"/>
      <c r="J33" s="90"/>
      <c r="K33" s="1394"/>
      <c r="L33" s="90"/>
      <c r="M33" s="90"/>
      <c r="N33" s="90"/>
      <c r="O33" s="90"/>
      <c r="P33" s="90"/>
      <c r="Q33" s="90"/>
      <c r="R33" s="90"/>
      <c r="S33" s="90"/>
      <c r="T33" s="90"/>
      <c r="U33" s="90"/>
      <c r="V33" s="90"/>
      <c r="W33" s="90"/>
      <c r="X33" s="90"/>
      <c r="Y33" s="90"/>
      <c r="Z33" s="90"/>
      <c r="AA33" s="90"/>
      <c r="AB33" s="90"/>
      <c r="AC33" s="86">
        <f t="shared" si="36"/>
        <v>0</v>
      </c>
      <c r="AD33" s="91"/>
      <c r="AE33" s="91"/>
      <c r="AF33" s="1394"/>
      <c r="AG33" s="91"/>
      <c r="AH33" s="91"/>
      <c r="AI33" s="91"/>
      <c r="AJ33" s="91"/>
      <c r="AK33" s="91"/>
      <c r="AL33" s="91"/>
      <c r="AM33" s="91"/>
      <c r="AN33" s="91"/>
      <c r="AO33" s="91"/>
      <c r="AP33" s="91"/>
      <c r="AQ33" s="91"/>
      <c r="AR33" s="91"/>
      <c r="AS33" s="91"/>
      <c r="AT33" s="92"/>
      <c r="AU33" s="93"/>
      <c r="AV33" s="1977">
        <f t="shared" si="37"/>
        <v>0</v>
      </c>
      <c r="AW33" s="1977">
        <f t="shared" si="38"/>
        <v>0</v>
      </c>
      <c r="AX33" s="1977">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ht="15.6">
      <c r="A34" s="83"/>
      <c r="B34" s="1391"/>
      <c r="C34" s="1392"/>
      <c r="D34" s="79"/>
      <c r="E34" s="86">
        <f t="shared" si="33"/>
        <v>0</v>
      </c>
      <c r="F34" s="87"/>
      <c r="G34" s="88">
        <f t="shared" si="34"/>
        <v>0</v>
      </c>
      <c r="H34" s="89">
        <f t="shared" si="35"/>
        <v>0</v>
      </c>
      <c r="I34" s="1394"/>
      <c r="J34" s="90"/>
      <c r="K34" s="1394"/>
      <c r="L34" s="90"/>
      <c r="M34" s="90"/>
      <c r="N34" s="90"/>
      <c r="O34" s="90"/>
      <c r="P34" s="90"/>
      <c r="Q34" s="90"/>
      <c r="R34" s="90"/>
      <c r="S34" s="90"/>
      <c r="T34" s="90"/>
      <c r="U34" s="90"/>
      <c r="V34" s="90"/>
      <c r="W34" s="90"/>
      <c r="X34" s="90"/>
      <c r="Y34" s="90"/>
      <c r="Z34" s="90"/>
      <c r="AA34" s="90"/>
      <c r="AB34" s="90"/>
      <c r="AC34" s="86">
        <f t="shared" si="36"/>
        <v>0</v>
      </c>
      <c r="AD34" s="91"/>
      <c r="AE34" s="91"/>
      <c r="AF34" s="1394"/>
      <c r="AG34" s="91"/>
      <c r="AH34" s="91"/>
      <c r="AI34" s="91"/>
      <c r="AJ34" s="91"/>
      <c r="AK34" s="91"/>
      <c r="AL34" s="91"/>
      <c r="AM34" s="91"/>
      <c r="AN34" s="91"/>
      <c r="AO34" s="91"/>
      <c r="AP34" s="91"/>
      <c r="AQ34" s="91"/>
      <c r="AR34" s="91"/>
      <c r="AS34" s="91"/>
      <c r="AT34" s="92"/>
      <c r="AU34" s="93"/>
      <c r="AV34" s="1977">
        <f t="shared" si="37"/>
        <v>0</v>
      </c>
      <c r="AW34" s="1977">
        <f t="shared" si="38"/>
        <v>0</v>
      </c>
      <c r="AX34" s="1977">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ht="15.6">
      <c r="A35" s="83"/>
      <c r="B35" s="1391"/>
      <c r="C35" s="1392"/>
      <c r="D35" s="79"/>
      <c r="E35" s="86">
        <f t="shared" si="33"/>
        <v>0</v>
      </c>
      <c r="F35" s="87"/>
      <c r="G35" s="88">
        <f t="shared" si="34"/>
        <v>0</v>
      </c>
      <c r="H35" s="89">
        <f t="shared" si="35"/>
        <v>0</v>
      </c>
      <c r="I35" s="1394"/>
      <c r="J35" s="90"/>
      <c r="K35" s="1394"/>
      <c r="L35" s="90"/>
      <c r="M35" s="90"/>
      <c r="N35" s="90"/>
      <c r="O35" s="90"/>
      <c r="P35" s="90"/>
      <c r="Q35" s="90"/>
      <c r="R35" s="90"/>
      <c r="S35" s="90"/>
      <c r="T35" s="90"/>
      <c r="U35" s="90"/>
      <c r="V35" s="90"/>
      <c r="W35" s="90"/>
      <c r="X35" s="90"/>
      <c r="Y35" s="90"/>
      <c r="Z35" s="90"/>
      <c r="AA35" s="90"/>
      <c r="AB35" s="90"/>
      <c r="AC35" s="86">
        <f t="shared" si="36"/>
        <v>0</v>
      </c>
      <c r="AD35" s="91"/>
      <c r="AE35" s="91"/>
      <c r="AF35" s="1394"/>
      <c r="AG35" s="91"/>
      <c r="AH35" s="91"/>
      <c r="AI35" s="91"/>
      <c r="AJ35" s="91"/>
      <c r="AK35" s="91"/>
      <c r="AL35" s="91"/>
      <c r="AM35" s="91"/>
      <c r="AN35" s="91"/>
      <c r="AO35" s="91"/>
      <c r="AP35" s="91"/>
      <c r="AQ35" s="91"/>
      <c r="AR35" s="91"/>
      <c r="AS35" s="91"/>
      <c r="AT35" s="92"/>
      <c r="AU35" s="93"/>
      <c r="AV35" s="1977">
        <f t="shared" si="37"/>
        <v>0</v>
      </c>
      <c r="AW35" s="1977">
        <f t="shared" si="38"/>
        <v>0</v>
      </c>
      <c r="AX35" s="1977">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ht="15.6">
      <c r="A36" s="83"/>
      <c r="B36" s="1391"/>
      <c r="C36" s="1392"/>
      <c r="D36" s="79"/>
      <c r="E36" s="86">
        <f t="shared" si="33"/>
        <v>0</v>
      </c>
      <c r="F36" s="87"/>
      <c r="G36" s="88">
        <f t="shared" si="34"/>
        <v>0</v>
      </c>
      <c r="H36" s="89">
        <f t="shared" si="35"/>
        <v>0</v>
      </c>
      <c r="I36" s="1394"/>
      <c r="J36" s="90"/>
      <c r="K36" s="1394"/>
      <c r="L36" s="90"/>
      <c r="M36" s="90"/>
      <c r="N36" s="90"/>
      <c r="O36" s="90"/>
      <c r="P36" s="90"/>
      <c r="Q36" s="90"/>
      <c r="R36" s="90"/>
      <c r="S36" s="90"/>
      <c r="T36" s="90"/>
      <c r="U36" s="90"/>
      <c r="V36" s="90"/>
      <c r="W36" s="90"/>
      <c r="X36" s="90"/>
      <c r="Y36" s="90"/>
      <c r="Z36" s="90"/>
      <c r="AA36" s="90"/>
      <c r="AB36" s="90"/>
      <c r="AC36" s="86">
        <f t="shared" si="36"/>
        <v>0</v>
      </c>
      <c r="AD36" s="91"/>
      <c r="AE36" s="91"/>
      <c r="AF36" s="1394"/>
      <c r="AG36" s="91"/>
      <c r="AH36" s="91"/>
      <c r="AI36" s="91"/>
      <c r="AJ36" s="91"/>
      <c r="AK36" s="91"/>
      <c r="AL36" s="91"/>
      <c r="AM36" s="91"/>
      <c r="AN36" s="91"/>
      <c r="AO36" s="91"/>
      <c r="AP36" s="91"/>
      <c r="AQ36" s="91"/>
      <c r="AR36" s="91"/>
      <c r="AS36" s="91"/>
      <c r="AT36" s="92"/>
      <c r="AU36" s="93"/>
      <c r="AV36" s="1977">
        <f t="shared" si="37"/>
        <v>0</v>
      </c>
      <c r="AW36" s="1977">
        <f t="shared" si="38"/>
        <v>0</v>
      </c>
      <c r="AX36" s="1977">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ht="15.6">
      <c r="A37" s="83"/>
      <c r="B37" s="1391"/>
      <c r="C37" s="1392"/>
      <c r="D37" s="79"/>
      <c r="E37" s="86">
        <f t="shared" si="33"/>
        <v>0</v>
      </c>
      <c r="F37" s="87"/>
      <c r="G37" s="88">
        <f t="shared" si="34"/>
        <v>0</v>
      </c>
      <c r="H37" s="89">
        <f t="shared" si="35"/>
        <v>0</v>
      </c>
      <c r="I37" s="1394"/>
      <c r="J37" s="90"/>
      <c r="K37" s="1394"/>
      <c r="L37" s="90"/>
      <c r="M37" s="90"/>
      <c r="N37" s="90"/>
      <c r="O37" s="90"/>
      <c r="P37" s="90"/>
      <c r="Q37" s="90"/>
      <c r="R37" s="90"/>
      <c r="S37" s="90"/>
      <c r="T37" s="90"/>
      <c r="U37" s="90"/>
      <c r="V37" s="90"/>
      <c r="W37" s="90"/>
      <c r="X37" s="90"/>
      <c r="Y37" s="90"/>
      <c r="Z37" s="90"/>
      <c r="AA37" s="90"/>
      <c r="AB37" s="90"/>
      <c r="AC37" s="86">
        <f t="shared" si="36"/>
        <v>0</v>
      </c>
      <c r="AD37" s="91"/>
      <c r="AE37" s="91"/>
      <c r="AF37" s="1394"/>
      <c r="AG37" s="91"/>
      <c r="AH37" s="91"/>
      <c r="AI37" s="91"/>
      <c r="AJ37" s="91"/>
      <c r="AK37" s="91"/>
      <c r="AL37" s="91"/>
      <c r="AM37" s="91"/>
      <c r="AN37" s="91"/>
      <c r="AO37" s="91"/>
      <c r="AP37" s="91"/>
      <c r="AQ37" s="91"/>
      <c r="AR37" s="91"/>
      <c r="AS37" s="91"/>
      <c r="AT37" s="92"/>
      <c r="AU37" s="93"/>
      <c r="AV37" s="1977">
        <f t="shared" si="37"/>
        <v>0</v>
      </c>
      <c r="AW37" s="1977">
        <f t="shared" si="38"/>
        <v>0</v>
      </c>
      <c r="AX37" s="1977">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ht="15.6">
      <c r="A38" s="83"/>
      <c r="B38" s="1391"/>
      <c r="C38" s="1392"/>
      <c r="D38" s="79"/>
      <c r="E38" s="86">
        <f t="shared" si="33"/>
        <v>0</v>
      </c>
      <c r="F38" s="87"/>
      <c r="G38" s="88">
        <f t="shared" si="34"/>
        <v>0</v>
      </c>
      <c r="H38" s="89">
        <f t="shared" si="35"/>
        <v>0</v>
      </c>
      <c r="I38" s="1394"/>
      <c r="J38" s="90"/>
      <c r="K38" s="1394"/>
      <c r="L38" s="90"/>
      <c r="M38" s="90"/>
      <c r="N38" s="90"/>
      <c r="O38" s="90"/>
      <c r="P38" s="90"/>
      <c r="Q38" s="90"/>
      <c r="R38" s="90"/>
      <c r="S38" s="90"/>
      <c r="T38" s="90"/>
      <c r="U38" s="90"/>
      <c r="V38" s="90"/>
      <c r="W38" s="90"/>
      <c r="X38" s="90"/>
      <c r="Y38" s="90"/>
      <c r="Z38" s="90"/>
      <c r="AA38" s="90"/>
      <c r="AB38" s="90"/>
      <c r="AC38" s="86">
        <f t="shared" si="36"/>
        <v>0</v>
      </c>
      <c r="AD38" s="91"/>
      <c r="AE38" s="91"/>
      <c r="AF38" s="1394"/>
      <c r="AG38" s="91"/>
      <c r="AH38" s="91"/>
      <c r="AI38" s="91"/>
      <c r="AJ38" s="91"/>
      <c r="AK38" s="91"/>
      <c r="AL38" s="91"/>
      <c r="AM38" s="91"/>
      <c r="AN38" s="91"/>
      <c r="AO38" s="91"/>
      <c r="AP38" s="91"/>
      <c r="AQ38" s="91"/>
      <c r="AR38" s="91"/>
      <c r="AS38" s="91"/>
      <c r="AT38" s="92"/>
      <c r="AU38" s="93"/>
      <c r="AV38" s="1977">
        <f t="shared" si="37"/>
        <v>0</v>
      </c>
      <c r="AW38" s="1977">
        <f t="shared" si="38"/>
        <v>0</v>
      </c>
      <c r="AX38" s="1977">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ht="15.6">
      <c r="A39" s="83"/>
      <c r="B39" s="1391"/>
      <c r="C39" s="1392"/>
      <c r="D39" s="79"/>
      <c r="E39" s="86">
        <f t="shared" si="33"/>
        <v>0</v>
      </c>
      <c r="F39" s="87"/>
      <c r="G39" s="88">
        <f t="shared" si="34"/>
        <v>0</v>
      </c>
      <c r="H39" s="89">
        <f t="shared" si="35"/>
        <v>0</v>
      </c>
      <c r="I39" s="1394"/>
      <c r="J39" s="90"/>
      <c r="K39" s="1394"/>
      <c r="L39" s="90"/>
      <c r="M39" s="90"/>
      <c r="N39" s="90"/>
      <c r="O39" s="90"/>
      <c r="P39" s="90"/>
      <c r="Q39" s="90"/>
      <c r="R39" s="90"/>
      <c r="S39" s="90"/>
      <c r="T39" s="90"/>
      <c r="U39" s="90"/>
      <c r="V39" s="90"/>
      <c r="W39" s="90"/>
      <c r="X39" s="90"/>
      <c r="Y39" s="90"/>
      <c r="Z39" s="90"/>
      <c r="AA39" s="90"/>
      <c r="AB39" s="90"/>
      <c r="AC39" s="86">
        <f t="shared" si="36"/>
        <v>0</v>
      </c>
      <c r="AD39" s="91"/>
      <c r="AE39" s="91"/>
      <c r="AF39" s="1394"/>
      <c r="AG39" s="91"/>
      <c r="AH39" s="91"/>
      <c r="AI39" s="91"/>
      <c r="AJ39" s="91"/>
      <c r="AK39" s="91"/>
      <c r="AL39" s="91"/>
      <c r="AM39" s="91"/>
      <c r="AN39" s="91"/>
      <c r="AO39" s="91"/>
      <c r="AP39" s="91"/>
      <c r="AQ39" s="91"/>
      <c r="AR39" s="91"/>
      <c r="AS39" s="91"/>
      <c r="AT39" s="92"/>
      <c r="AU39" s="93"/>
      <c r="AV39" s="1977">
        <f t="shared" si="37"/>
        <v>0</v>
      </c>
      <c r="AW39" s="1977">
        <f t="shared" si="38"/>
        <v>0</v>
      </c>
      <c r="AX39" s="1977">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ht="15.6">
      <c r="A40" s="83"/>
      <c r="B40" s="1391"/>
      <c r="C40" s="1392"/>
      <c r="D40" s="79"/>
      <c r="E40" s="86">
        <f t="shared" si="33"/>
        <v>0</v>
      </c>
      <c r="F40" s="87"/>
      <c r="G40" s="88">
        <f t="shared" si="34"/>
        <v>0</v>
      </c>
      <c r="H40" s="89">
        <f t="shared" si="35"/>
        <v>0</v>
      </c>
      <c r="I40" s="1394"/>
      <c r="J40" s="90"/>
      <c r="K40" s="1394"/>
      <c r="L40" s="90"/>
      <c r="M40" s="90"/>
      <c r="N40" s="90"/>
      <c r="O40" s="90"/>
      <c r="P40" s="90"/>
      <c r="Q40" s="90"/>
      <c r="R40" s="90"/>
      <c r="S40" s="90"/>
      <c r="T40" s="90"/>
      <c r="U40" s="90"/>
      <c r="V40" s="90"/>
      <c r="W40" s="90"/>
      <c r="X40" s="90"/>
      <c r="Y40" s="90"/>
      <c r="Z40" s="90"/>
      <c r="AA40" s="90"/>
      <c r="AB40" s="90"/>
      <c r="AC40" s="86">
        <f t="shared" si="36"/>
        <v>0</v>
      </c>
      <c r="AD40" s="91"/>
      <c r="AE40" s="91"/>
      <c r="AF40" s="1394"/>
      <c r="AG40" s="91"/>
      <c r="AH40" s="91"/>
      <c r="AI40" s="91"/>
      <c r="AJ40" s="91"/>
      <c r="AK40" s="91"/>
      <c r="AL40" s="91"/>
      <c r="AM40" s="91"/>
      <c r="AN40" s="91"/>
      <c r="AO40" s="91"/>
      <c r="AP40" s="91"/>
      <c r="AQ40" s="91"/>
      <c r="AR40" s="91"/>
      <c r="AS40" s="91"/>
      <c r="AT40" s="92"/>
      <c r="AU40" s="93"/>
      <c r="AV40" s="1977">
        <f t="shared" si="37"/>
        <v>0</v>
      </c>
      <c r="AW40" s="1977">
        <f t="shared" si="38"/>
        <v>0</v>
      </c>
      <c r="AX40" s="1977">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ht="15.6">
      <c r="A41" s="83"/>
      <c r="B41" s="1391"/>
      <c r="C41" s="1392"/>
      <c r="D41" s="79"/>
      <c r="E41" s="86">
        <f t="shared" si="33"/>
        <v>0</v>
      </c>
      <c r="F41" s="87"/>
      <c r="G41" s="88">
        <f t="shared" si="34"/>
        <v>0</v>
      </c>
      <c r="H41" s="89">
        <f t="shared" si="35"/>
        <v>0</v>
      </c>
      <c r="I41" s="1394"/>
      <c r="J41" s="90"/>
      <c r="K41" s="1394"/>
      <c r="L41" s="90"/>
      <c r="M41" s="90"/>
      <c r="N41" s="90"/>
      <c r="O41" s="90"/>
      <c r="P41" s="90"/>
      <c r="Q41" s="90"/>
      <c r="R41" s="90"/>
      <c r="S41" s="90"/>
      <c r="T41" s="90"/>
      <c r="U41" s="90"/>
      <c r="V41" s="90"/>
      <c r="W41" s="90"/>
      <c r="X41" s="90"/>
      <c r="Y41" s="90"/>
      <c r="Z41" s="90"/>
      <c r="AA41" s="90"/>
      <c r="AB41" s="90"/>
      <c r="AC41" s="86">
        <f t="shared" si="36"/>
        <v>0</v>
      </c>
      <c r="AD41" s="91"/>
      <c r="AE41" s="91"/>
      <c r="AF41" s="1394"/>
      <c r="AG41" s="91"/>
      <c r="AH41" s="91"/>
      <c r="AI41" s="91"/>
      <c r="AJ41" s="91"/>
      <c r="AK41" s="91"/>
      <c r="AL41" s="91"/>
      <c r="AM41" s="91"/>
      <c r="AN41" s="91"/>
      <c r="AO41" s="91"/>
      <c r="AP41" s="91"/>
      <c r="AQ41" s="91"/>
      <c r="AR41" s="91"/>
      <c r="AS41" s="91"/>
      <c r="AT41" s="92"/>
      <c r="AU41" s="93"/>
      <c r="AV41" s="1977">
        <f t="shared" si="37"/>
        <v>0</v>
      </c>
      <c r="AW41" s="1977">
        <f t="shared" si="38"/>
        <v>0</v>
      </c>
      <c r="AX41" s="1977">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ht="15.6">
      <c r="A42" s="83"/>
      <c r="B42" s="1391"/>
      <c r="C42" s="1392"/>
      <c r="D42" s="79"/>
      <c r="E42" s="86">
        <f t="shared" si="33"/>
        <v>0</v>
      </c>
      <c r="F42" s="87"/>
      <c r="G42" s="88">
        <f t="shared" si="34"/>
        <v>0</v>
      </c>
      <c r="H42" s="89">
        <f t="shared" si="35"/>
        <v>0</v>
      </c>
      <c r="I42" s="1394"/>
      <c r="J42" s="90"/>
      <c r="K42" s="1394"/>
      <c r="L42" s="90"/>
      <c r="M42" s="90"/>
      <c r="N42" s="90"/>
      <c r="O42" s="90"/>
      <c r="P42" s="90"/>
      <c r="Q42" s="90"/>
      <c r="R42" s="90"/>
      <c r="S42" s="90"/>
      <c r="T42" s="90"/>
      <c r="U42" s="90"/>
      <c r="V42" s="90"/>
      <c r="W42" s="90"/>
      <c r="X42" s="90"/>
      <c r="Y42" s="90"/>
      <c r="Z42" s="90"/>
      <c r="AA42" s="90"/>
      <c r="AB42" s="90"/>
      <c r="AC42" s="86">
        <f t="shared" si="36"/>
        <v>0</v>
      </c>
      <c r="AD42" s="91"/>
      <c r="AE42" s="91"/>
      <c r="AF42" s="1394"/>
      <c r="AG42" s="91"/>
      <c r="AH42" s="91"/>
      <c r="AI42" s="91"/>
      <c r="AJ42" s="91"/>
      <c r="AK42" s="91"/>
      <c r="AL42" s="91"/>
      <c r="AM42" s="91"/>
      <c r="AN42" s="91"/>
      <c r="AO42" s="91"/>
      <c r="AP42" s="91"/>
      <c r="AQ42" s="91"/>
      <c r="AR42" s="91"/>
      <c r="AS42" s="91"/>
      <c r="AT42" s="92"/>
      <c r="AU42" s="93"/>
      <c r="AV42" s="1977">
        <f t="shared" si="37"/>
        <v>0</v>
      </c>
      <c r="AW42" s="1977">
        <f t="shared" si="38"/>
        <v>0</v>
      </c>
      <c r="AX42" s="1977">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ht="15.6">
      <c r="A43" s="83"/>
      <c r="B43" s="1391"/>
      <c r="C43" s="1392"/>
      <c r="D43" s="79"/>
      <c r="E43" s="86">
        <f t="shared" si="33"/>
        <v>0</v>
      </c>
      <c r="F43" s="87"/>
      <c r="G43" s="88">
        <f t="shared" si="34"/>
        <v>0</v>
      </c>
      <c r="H43" s="89">
        <f t="shared" si="35"/>
        <v>0</v>
      </c>
      <c r="I43" s="1394"/>
      <c r="J43" s="90"/>
      <c r="K43" s="1394"/>
      <c r="L43" s="90"/>
      <c r="M43" s="90"/>
      <c r="N43" s="90"/>
      <c r="O43" s="90"/>
      <c r="P43" s="90"/>
      <c r="Q43" s="90"/>
      <c r="R43" s="90"/>
      <c r="S43" s="90"/>
      <c r="T43" s="90"/>
      <c r="U43" s="90"/>
      <c r="V43" s="90"/>
      <c r="W43" s="90"/>
      <c r="X43" s="90"/>
      <c r="Y43" s="90"/>
      <c r="Z43" s="90"/>
      <c r="AA43" s="90"/>
      <c r="AB43" s="90"/>
      <c r="AC43" s="86">
        <f t="shared" si="36"/>
        <v>0</v>
      </c>
      <c r="AD43" s="91"/>
      <c r="AE43" s="91"/>
      <c r="AF43" s="1394"/>
      <c r="AG43" s="91"/>
      <c r="AH43" s="91"/>
      <c r="AI43" s="91"/>
      <c r="AJ43" s="91"/>
      <c r="AK43" s="91"/>
      <c r="AL43" s="91"/>
      <c r="AM43" s="91"/>
      <c r="AN43" s="91"/>
      <c r="AO43" s="91"/>
      <c r="AP43" s="91"/>
      <c r="AQ43" s="91"/>
      <c r="AR43" s="91"/>
      <c r="AS43" s="91"/>
      <c r="AT43" s="92"/>
      <c r="AU43" s="93"/>
      <c r="AV43" s="1977">
        <f t="shared" si="37"/>
        <v>0</v>
      </c>
      <c r="AW43" s="1977">
        <f t="shared" si="38"/>
        <v>0</v>
      </c>
      <c r="AX43" s="1977">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ht="15.6">
      <c r="A44" s="83"/>
      <c r="B44" s="1391"/>
      <c r="C44" s="1392"/>
      <c r="D44" s="79"/>
      <c r="E44" s="86">
        <f t="shared" si="33"/>
        <v>0</v>
      </c>
      <c r="F44" s="87"/>
      <c r="G44" s="88">
        <f t="shared" si="34"/>
        <v>0</v>
      </c>
      <c r="H44" s="89">
        <f t="shared" si="35"/>
        <v>0</v>
      </c>
      <c r="I44" s="1394"/>
      <c r="J44" s="90"/>
      <c r="K44" s="1394"/>
      <c r="L44" s="90"/>
      <c r="M44" s="90"/>
      <c r="N44" s="90"/>
      <c r="O44" s="90"/>
      <c r="P44" s="90"/>
      <c r="Q44" s="90"/>
      <c r="R44" s="90"/>
      <c r="S44" s="90"/>
      <c r="T44" s="90"/>
      <c r="U44" s="90"/>
      <c r="V44" s="90"/>
      <c r="W44" s="90"/>
      <c r="X44" s="90"/>
      <c r="Y44" s="90"/>
      <c r="Z44" s="90"/>
      <c r="AA44" s="90"/>
      <c r="AB44" s="90"/>
      <c r="AC44" s="86">
        <f t="shared" si="36"/>
        <v>0</v>
      </c>
      <c r="AD44" s="91"/>
      <c r="AE44" s="91"/>
      <c r="AF44" s="1394"/>
      <c r="AG44" s="91"/>
      <c r="AH44" s="91"/>
      <c r="AI44" s="91"/>
      <c r="AJ44" s="91"/>
      <c r="AK44" s="91"/>
      <c r="AL44" s="91"/>
      <c r="AM44" s="91"/>
      <c r="AN44" s="91"/>
      <c r="AO44" s="91"/>
      <c r="AP44" s="91"/>
      <c r="AQ44" s="91"/>
      <c r="AR44" s="91"/>
      <c r="AS44" s="91"/>
      <c r="AT44" s="92"/>
      <c r="AU44" s="93"/>
      <c r="AV44" s="1977">
        <f t="shared" si="37"/>
        <v>0</v>
      </c>
      <c r="AW44" s="1977">
        <f t="shared" si="38"/>
        <v>0</v>
      </c>
      <c r="AX44" s="1977">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ht="15.6">
      <c r="A45" s="83"/>
      <c r="B45" s="1391"/>
      <c r="C45" s="1392"/>
      <c r="D45" s="79"/>
      <c r="E45" s="86">
        <f t="shared" si="33"/>
        <v>0</v>
      </c>
      <c r="F45" s="87"/>
      <c r="G45" s="88">
        <f t="shared" si="34"/>
        <v>0</v>
      </c>
      <c r="H45" s="89">
        <f t="shared" si="35"/>
        <v>0</v>
      </c>
      <c r="I45" s="1394"/>
      <c r="J45" s="90"/>
      <c r="K45" s="1394"/>
      <c r="L45" s="90"/>
      <c r="M45" s="90"/>
      <c r="N45" s="90"/>
      <c r="O45" s="90"/>
      <c r="P45" s="90"/>
      <c r="Q45" s="90"/>
      <c r="R45" s="90"/>
      <c r="S45" s="90"/>
      <c r="T45" s="90"/>
      <c r="U45" s="90"/>
      <c r="V45" s="90"/>
      <c r="W45" s="90"/>
      <c r="X45" s="90"/>
      <c r="Y45" s="90"/>
      <c r="Z45" s="90"/>
      <c r="AA45" s="90"/>
      <c r="AB45" s="90"/>
      <c r="AC45" s="86">
        <f t="shared" si="36"/>
        <v>0</v>
      </c>
      <c r="AD45" s="91"/>
      <c r="AE45" s="91"/>
      <c r="AF45" s="1394"/>
      <c r="AG45" s="91"/>
      <c r="AH45" s="91"/>
      <c r="AI45" s="91"/>
      <c r="AJ45" s="91"/>
      <c r="AK45" s="91"/>
      <c r="AL45" s="91"/>
      <c r="AM45" s="91"/>
      <c r="AN45" s="91"/>
      <c r="AO45" s="91"/>
      <c r="AP45" s="91"/>
      <c r="AQ45" s="91"/>
      <c r="AR45" s="91"/>
      <c r="AS45" s="91"/>
      <c r="AT45" s="92"/>
      <c r="AU45" s="93"/>
      <c r="AV45" s="1977">
        <f t="shared" si="37"/>
        <v>0</v>
      </c>
      <c r="AW45" s="1977">
        <f t="shared" si="38"/>
        <v>0</v>
      </c>
      <c r="AX45" s="1977">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ht="15.6">
      <c r="A46" s="83"/>
      <c r="B46" s="1391"/>
      <c r="C46" s="1392"/>
      <c r="D46" s="79"/>
      <c r="E46" s="86">
        <f t="shared" si="33"/>
        <v>0</v>
      </c>
      <c r="F46" s="87"/>
      <c r="G46" s="88">
        <f t="shared" si="34"/>
        <v>0</v>
      </c>
      <c r="H46" s="89">
        <f t="shared" si="35"/>
        <v>0</v>
      </c>
      <c r="I46" s="1394"/>
      <c r="J46" s="90"/>
      <c r="K46" s="1394"/>
      <c r="L46" s="90"/>
      <c r="M46" s="90"/>
      <c r="N46" s="90"/>
      <c r="O46" s="90"/>
      <c r="P46" s="90"/>
      <c r="Q46" s="90"/>
      <c r="R46" s="90"/>
      <c r="S46" s="90"/>
      <c r="T46" s="90"/>
      <c r="U46" s="90"/>
      <c r="V46" s="90"/>
      <c r="W46" s="90"/>
      <c r="X46" s="90"/>
      <c r="Y46" s="90"/>
      <c r="Z46" s="90"/>
      <c r="AA46" s="90"/>
      <c r="AB46" s="90"/>
      <c r="AC46" s="86">
        <f t="shared" si="36"/>
        <v>0</v>
      </c>
      <c r="AD46" s="91"/>
      <c r="AE46" s="91"/>
      <c r="AF46" s="1394"/>
      <c r="AG46" s="91"/>
      <c r="AH46" s="91"/>
      <c r="AI46" s="91"/>
      <c r="AJ46" s="91"/>
      <c r="AK46" s="91"/>
      <c r="AL46" s="91"/>
      <c r="AM46" s="91"/>
      <c r="AN46" s="91"/>
      <c r="AO46" s="91"/>
      <c r="AP46" s="91"/>
      <c r="AQ46" s="91"/>
      <c r="AR46" s="91"/>
      <c r="AS46" s="91"/>
      <c r="AT46" s="92"/>
      <c r="AU46" s="93"/>
      <c r="AV46" s="1977">
        <f t="shared" si="37"/>
        <v>0</v>
      </c>
      <c r="AW46" s="1977">
        <f t="shared" si="38"/>
        <v>0</v>
      </c>
      <c r="AX46" s="1977">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ht="15.6">
      <c r="A47" s="83"/>
      <c r="B47" s="1391"/>
      <c r="C47" s="1392"/>
      <c r="D47" s="79"/>
      <c r="E47" s="86">
        <f t="shared" si="33"/>
        <v>0</v>
      </c>
      <c r="F47" s="87"/>
      <c r="G47" s="88">
        <f t="shared" si="34"/>
        <v>0</v>
      </c>
      <c r="H47" s="89">
        <f t="shared" si="35"/>
        <v>0</v>
      </c>
      <c r="I47" s="1394"/>
      <c r="J47" s="90"/>
      <c r="K47" s="1394"/>
      <c r="L47" s="90"/>
      <c r="M47" s="90"/>
      <c r="N47" s="90"/>
      <c r="O47" s="90"/>
      <c r="P47" s="90"/>
      <c r="Q47" s="90"/>
      <c r="R47" s="90"/>
      <c r="S47" s="90"/>
      <c r="T47" s="90"/>
      <c r="U47" s="90"/>
      <c r="V47" s="90"/>
      <c r="W47" s="90"/>
      <c r="X47" s="90"/>
      <c r="Y47" s="90"/>
      <c r="Z47" s="90"/>
      <c r="AA47" s="90"/>
      <c r="AB47" s="90"/>
      <c r="AC47" s="86">
        <f t="shared" si="36"/>
        <v>0</v>
      </c>
      <c r="AD47" s="91"/>
      <c r="AE47" s="91"/>
      <c r="AF47" s="1392"/>
      <c r="AG47" s="91"/>
      <c r="AH47" s="91"/>
      <c r="AI47" s="91"/>
      <c r="AJ47" s="91"/>
      <c r="AK47" s="91"/>
      <c r="AL47" s="91"/>
      <c r="AM47" s="91"/>
      <c r="AN47" s="91"/>
      <c r="AO47" s="91"/>
      <c r="AP47" s="91"/>
      <c r="AQ47" s="91"/>
      <c r="AR47" s="91"/>
      <c r="AS47" s="91"/>
      <c r="AT47" s="92"/>
      <c r="AU47" s="93"/>
      <c r="AV47" s="1977">
        <f t="shared" si="37"/>
        <v>0</v>
      </c>
      <c r="AW47" s="1977">
        <f t="shared" si="38"/>
        <v>0</v>
      </c>
      <c r="AX47" s="1977">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ht="15.6">
      <c r="A48" s="83"/>
      <c r="B48" s="1391"/>
      <c r="C48" s="1392"/>
      <c r="D48" s="79"/>
      <c r="E48" s="86">
        <f t="shared" si="33"/>
        <v>0</v>
      </c>
      <c r="F48" s="87"/>
      <c r="G48" s="88">
        <f t="shared" si="34"/>
        <v>0</v>
      </c>
      <c r="H48" s="89">
        <f t="shared" si="35"/>
        <v>0</v>
      </c>
      <c r="I48" s="1392"/>
      <c r="J48" s="90"/>
      <c r="K48" s="1392"/>
      <c r="L48" s="90"/>
      <c r="M48" s="90"/>
      <c r="N48" s="90"/>
      <c r="O48" s="90"/>
      <c r="P48" s="90"/>
      <c r="Q48" s="90"/>
      <c r="R48" s="90"/>
      <c r="S48" s="90"/>
      <c r="T48" s="90"/>
      <c r="U48" s="90"/>
      <c r="V48" s="90"/>
      <c r="W48" s="90"/>
      <c r="X48" s="90"/>
      <c r="Y48" s="90"/>
      <c r="Z48" s="90"/>
      <c r="AA48" s="90"/>
      <c r="AB48" s="90"/>
      <c r="AC48" s="86">
        <f t="shared" si="36"/>
        <v>0</v>
      </c>
      <c r="AD48" s="91"/>
      <c r="AE48" s="91"/>
      <c r="AF48" s="1392"/>
      <c r="AG48" s="91"/>
      <c r="AH48" s="91"/>
      <c r="AI48" s="91"/>
      <c r="AJ48" s="91"/>
      <c r="AK48" s="91"/>
      <c r="AL48" s="91"/>
      <c r="AM48" s="91"/>
      <c r="AN48" s="91"/>
      <c r="AO48" s="91"/>
      <c r="AP48" s="91"/>
      <c r="AQ48" s="91"/>
      <c r="AR48" s="91"/>
      <c r="AS48" s="91"/>
      <c r="AT48" s="92"/>
      <c r="AU48" s="93"/>
      <c r="AV48" s="1977">
        <f t="shared" si="37"/>
        <v>0</v>
      </c>
      <c r="AW48" s="1977">
        <f t="shared" si="38"/>
        <v>0</v>
      </c>
      <c r="AX48" s="1977">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ht="15.6">
      <c r="A49" s="83"/>
      <c r="B49" s="1391"/>
      <c r="C49" s="1392"/>
      <c r="D49" s="79"/>
      <c r="E49" s="86">
        <f t="shared" si="33"/>
        <v>0</v>
      </c>
      <c r="F49" s="87"/>
      <c r="G49" s="88">
        <f t="shared" si="34"/>
        <v>0</v>
      </c>
      <c r="H49" s="89">
        <f t="shared" si="35"/>
        <v>0</v>
      </c>
      <c r="I49" s="1392"/>
      <c r="J49" s="90"/>
      <c r="K49" s="1392"/>
      <c r="L49" s="90"/>
      <c r="M49" s="90"/>
      <c r="N49" s="90"/>
      <c r="O49" s="90"/>
      <c r="P49" s="90"/>
      <c r="Q49" s="90"/>
      <c r="R49" s="90"/>
      <c r="S49" s="90"/>
      <c r="T49" s="90"/>
      <c r="U49" s="90"/>
      <c r="V49" s="90"/>
      <c r="W49" s="90"/>
      <c r="X49" s="90"/>
      <c r="Y49" s="90"/>
      <c r="Z49" s="90"/>
      <c r="AA49" s="90"/>
      <c r="AB49" s="90"/>
      <c r="AC49" s="86">
        <f t="shared" si="36"/>
        <v>0</v>
      </c>
      <c r="AD49" s="91"/>
      <c r="AE49" s="91"/>
      <c r="AF49" s="1392"/>
      <c r="AG49" s="91"/>
      <c r="AH49" s="91"/>
      <c r="AI49" s="91"/>
      <c r="AJ49" s="91"/>
      <c r="AK49" s="91"/>
      <c r="AL49" s="91"/>
      <c r="AM49" s="91"/>
      <c r="AN49" s="91"/>
      <c r="AO49" s="91"/>
      <c r="AP49" s="91"/>
      <c r="AQ49" s="91"/>
      <c r="AR49" s="91"/>
      <c r="AS49" s="91"/>
      <c r="AT49" s="92"/>
      <c r="AU49" s="93"/>
      <c r="AV49" s="1977">
        <f t="shared" si="37"/>
        <v>0</v>
      </c>
      <c r="AW49" s="1977">
        <f t="shared" si="38"/>
        <v>0</v>
      </c>
      <c r="AX49" s="1977">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ht="15.6">
      <c r="A50" s="83"/>
      <c r="B50" s="1391"/>
      <c r="C50" s="1392"/>
      <c r="D50" s="79"/>
      <c r="E50" s="86">
        <f t="shared" si="33"/>
        <v>0</v>
      </c>
      <c r="F50" s="87"/>
      <c r="G50" s="88">
        <f t="shared" si="34"/>
        <v>0</v>
      </c>
      <c r="H50" s="89">
        <f t="shared" si="35"/>
        <v>0</v>
      </c>
      <c r="I50" s="1392"/>
      <c r="J50" s="90"/>
      <c r="K50" s="1392"/>
      <c r="L50" s="90"/>
      <c r="M50" s="90"/>
      <c r="N50" s="90"/>
      <c r="O50" s="90"/>
      <c r="P50" s="90"/>
      <c r="Q50" s="90"/>
      <c r="R50" s="90"/>
      <c r="S50" s="90"/>
      <c r="T50" s="90"/>
      <c r="U50" s="90"/>
      <c r="V50" s="90"/>
      <c r="W50" s="90"/>
      <c r="X50" s="90"/>
      <c r="Y50" s="90"/>
      <c r="Z50" s="90"/>
      <c r="AA50" s="90"/>
      <c r="AB50" s="90"/>
      <c r="AC50" s="86">
        <f t="shared" si="36"/>
        <v>0</v>
      </c>
      <c r="AD50" s="91"/>
      <c r="AE50" s="91"/>
      <c r="AF50" s="1392"/>
      <c r="AG50" s="91"/>
      <c r="AH50" s="91"/>
      <c r="AI50" s="91"/>
      <c r="AJ50" s="91"/>
      <c r="AK50" s="91"/>
      <c r="AL50" s="91"/>
      <c r="AM50" s="91"/>
      <c r="AN50" s="91"/>
      <c r="AO50" s="91"/>
      <c r="AP50" s="91"/>
      <c r="AQ50" s="91"/>
      <c r="AR50" s="91"/>
      <c r="AS50" s="91"/>
      <c r="AT50" s="92"/>
      <c r="AU50" s="93"/>
      <c r="AV50" s="1977">
        <f t="shared" si="37"/>
        <v>0</v>
      </c>
      <c r="AW50" s="1977">
        <f t="shared" si="38"/>
        <v>0</v>
      </c>
      <c r="AX50" s="1977">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ht="15.6">
      <c r="A51" s="83"/>
      <c r="B51" s="1391"/>
      <c r="C51" s="1392"/>
      <c r="D51" s="79"/>
      <c r="E51" s="86">
        <f t="shared" si="33"/>
        <v>0</v>
      </c>
      <c r="F51" s="87"/>
      <c r="G51" s="88">
        <f t="shared" si="34"/>
        <v>0</v>
      </c>
      <c r="H51" s="89">
        <f t="shared" si="35"/>
        <v>0</v>
      </c>
      <c r="I51" s="1392"/>
      <c r="J51" s="90"/>
      <c r="K51" s="1392"/>
      <c r="L51" s="90"/>
      <c r="M51" s="90"/>
      <c r="N51" s="90"/>
      <c r="O51" s="90"/>
      <c r="P51" s="90"/>
      <c r="Q51" s="90"/>
      <c r="R51" s="90"/>
      <c r="S51" s="90"/>
      <c r="T51" s="90"/>
      <c r="U51" s="90"/>
      <c r="V51" s="90"/>
      <c r="W51" s="90"/>
      <c r="X51" s="90"/>
      <c r="Y51" s="90"/>
      <c r="Z51" s="90"/>
      <c r="AA51" s="90"/>
      <c r="AB51" s="90"/>
      <c r="AC51" s="86">
        <f t="shared" si="36"/>
        <v>0</v>
      </c>
      <c r="AD51" s="91"/>
      <c r="AE51" s="91"/>
      <c r="AF51" s="1392"/>
      <c r="AG51" s="91"/>
      <c r="AH51" s="91"/>
      <c r="AI51" s="91"/>
      <c r="AJ51" s="91"/>
      <c r="AK51" s="91"/>
      <c r="AL51" s="91"/>
      <c r="AM51" s="91"/>
      <c r="AN51" s="91"/>
      <c r="AO51" s="91"/>
      <c r="AP51" s="91"/>
      <c r="AQ51" s="91"/>
      <c r="AR51" s="91"/>
      <c r="AS51" s="91"/>
      <c r="AT51" s="92"/>
      <c r="AU51" s="93"/>
      <c r="AV51" s="1977">
        <f t="shared" si="37"/>
        <v>0</v>
      </c>
      <c r="AW51" s="1977">
        <f t="shared" si="38"/>
        <v>0</v>
      </c>
      <c r="AX51" s="1977">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ht="15.6">
      <c r="A52" s="83"/>
      <c r="B52" s="1391"/>
      <c r="C52" s="1392"/>
      <c r="D52" s="79"/>
      <c r="E52" s="86">
        <f t="shared" si="33"/>
        <v>0</v>
      </c>
      <c r="F52" s="87"/>
      <c r="G52" s="88">
        <f t="shared" si="34"/>
        <v>0</v>
      </c>
      <c r="H52" s="89">
        <f t="shared" si="35"/>
        <v>0</v>
      </c>
      <c r="I52" s="1392"/>
      <c r="J52" s="90"/>
      <c r="K52" s="1392"/>
      <c r="L52" s="90"/>
      <c r="M52" s="90"/>
      <c r="N52" s="90"/>
      <c r="O52" s="90"/>
      <c r="P52" s="90"/>
      <c r="Q52" s="90"/>
      <c r="R52" s="90"/>
      <c r="S52" s="90"/>
      <c r="T52" s="90"/>
      <c r="U52" s="90"/>
      <c r="V52" s="90"/>
      <c r="W52" s="90"/>
      <c r="X52" s="90"/>
      <c r="Y52" s="90"/>
      <c r="Z52" s="90"/>
      <c r="AA52" s="90"/>
      <c r="AB52" s="90"/>
      <c r="AC52" s="86">
        <f t="shared" si="36"/>
        <v>0</v>
      </c>
      <c r="AD52" s="91"/>
      <c r="AE52" s="91"/>
      <c r="AF52" s="1392"/>
      <c r="AG52" s="91"/>
      <c r="AH52" s="91"/>
      <c r="AI52" s="91"/>
      <c r="AJ52" s="91"/>
      <c r="AK52" s="91"/>
      <c r="AL52" s="91"/>
      <c r="AM52" s="91"/>
      <c r="AN52" s="91"/>
      <c r="AO52" s="91"/>
      <c r="AP52" s="91"/>
      <c r="AQ52" s="91"/>
      <c r="AR52" s="91"/>
      <c r="AS52" s="91"/>
      <c r="AT52" s="92"/>
      <c r="AU52" s="93"/>
      <c r="AV52" s="1977">
        <f t="shared" si="37"/>
        <v>0</v>
      </c>
      <c r="AW52" s="1977">
        <f t="shared" si="38"/>
        <v>0</v>
      </c>
      <c r="AX52" s="1977">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ht="15.6">
      <c r="A53" s="83"/>
      <c r="B53" s="1391"/>
      <c r="C53" s="1392"/>
      <c r="D53" s="79"/>
      <c r="E53" s="86">
        <f t="shared" si="33"/>
        <v>0</v>
      </c>
      <c r="F53" s="87"/>
      <c r="G53" s="88">
        <f t="shared" si="34"/>
        <v>0</v>
      </c>
      <c r="H53" s="89">
        <f t="shared" si="35"/>
        <v>0</v>
      </c>
      <c r="I53" s="1392"/>
      <c r="J53" s="90"/>
      <c r="K53" s="1392"/>
      <c r="L53" s="90"/>
      <c r="M53" s="90"/>
      <c r="N53" s="90"/>
      <c r="O53" s="90"/>
      <c r="P53" s="90"/>
      <c r="Q53" s="90"/>
      <c r="R53" s="90"/>
      <c r="S53" s="90"/>
      <c r="T53" s="90"/>
      <c r="U53" s="90"/>
      <c r="V53" s="90"/>
      <c r="W53" s="90"/>
      <c r="X53" s="90"/>
      <c r="Y53" s="90"/>
      <c r="Z53" s="90"/>
      <c r="AA53" s="90"/>
      <c r="AB53" s="90"/>
      <c r="AC53" s="86">
        <f t="shared" si="36"/>
        <v>0</v>
      </c>
      <c r="AD53" s="91"/>
      <c r="AE53" s="91"/>
      <c r="AF53" s="1392"/>
      <c r="AG53" s="91"/>
      <c r="AH53" s="91"/>
      <c r="AI53" s="91"/>
      <c r="AJ53" s="91"/>
      <c r="AK53" s="91"/>
      <c r="AL53" s="91"/>
      <c r="AM53" s="91"/>
      <c r="AN53" s="91"/>
      <c r="AO53" s="91"/>
      <c r="AP53" s="91"/>
      <c r="AQ53" s="91"/>
      <c r="AR53" s="91"/>
      <c r="AS53" s="91"/>
      <c r="AT53" s="92"/>
      <c r="AU53" s="93"/>
      <c r="AV53" s="1977">
        <f t="shared" si="37"/>
        <v>0</v>
      </c>
      <c r="AW53" s="1977">
        <f t="shared" si="38"/>
        <v>0</v>
      </c>
      <c r="AX53" s="1977">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ht="15.6">
      <c r="A54" s="83"/>
      <c r="B54" s="1391"/>
      <c r="C54" s="1392"/>
      <c r="D54" s="79"/>
      <c r="E54" s="86">
        <f t="shared" si="33"/>
        <v>0</v>
      </c>
      <c r="F54" s="87"/>
      <c r="G54" s="88">
        <f t="shared" si="34"/>
        <v>0</v>
      </c>
      <c r="H54" s="89">
        <f t="shared" si="35"/>
        <v>0</v>
      </c>
      <c r="I54" s="1392"/>
      <c r="J54" s="90"/>
      <c r="K54" s="1392"/>
      <c r="L54" s="90"/>
      <c r="M54" s="90"/>
      <c r="N54" s="90"/>
      <c r="O54" s="90"/>
      <c r="P54" s="90"/>
      <c r="Q54" s="90"/>
      <c r="R54" s="90"/>
      <c r="S54" s="90"/>
      <c r="T54" s="90"/>
      <c r="U54" s="90"/>
      <c r="V54" s="90"/>
      <c r="W54" s="90"/>
      <c r="X54" s="90"/>
      <c r="Y54" s="90"/>
      <c r="Z54" s="90"/>
      <c r="AA54" s="90"/>
      <c r="AB54" s="90"/>
      <c r="AC54" s="86">
        <f t="shared" si="36"/>
        <v>0</v>
      </c>
      <c r="AD54" s="91"/>
      <c r="AE54" s="91"/>
      <c r="AF54" s="1392"/>
      <c r="AG54" s="91"/>
      <c r="AH54" s="91"/>
      <c r="AI54" s="91"/>
      <c r="AJ54" s="91"/>
      <c r="AK54" s="91"/>
      <c r="AL54" s="91"/>
      <c r="AM54" s="91"/>
      <c r="AN54" s="91"/>
      <c r="AO54" s="91"/>
      <c r="AP54" s="91"/>
      <c r="AQ54" s="91"/>
      <c r="AR54" s="91"/>
      <c r="AS54" s="91"/>
      <c r="AT54" s="92"/>
      <c r="AU54" s="93"/>
      <c r="AV54" s="1977">
        <f t="shared" si="37"/>
        <v>0</v>
      </c>
      <c r="AW54" s="1977">
        <f t="shared" si="38"/>
        <v>0</v>
      </c>
      <c r="AX54" s="1977">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ht="15.6">
      <c r="A55" s="83"/>
      <c r="B55" s="1393"/>
      <c r="C55" s="1394"/>
      <c r="D55" s="79"/>
      <c r="E55" s="86">
        <f t="shared" si="33"/>
        <v>0</v>
      </c>
      <c r="F55" s="87"/>
      <c r="G55" s="88">
        <f t="shared" si="34"/>
        <v>0</v>
      </c>
      <c r="H55" s="89">
        <f t="shared" si="35"/>
        <v>0</v>
      </c>
      <c r="I55" s="1392"/>
      <c r="J55" s="90"/>
      <c r="K55" s="1392"/>
      <c r="L55" s="90"/>
      <c r="M55" s="1392"/>
      <c r="N55" s="90"/>
      <c r="O55" s="90"/>
      <c r="P55" s="90"/>
      <c r="Q55" s="90"/>
      <c r="R55" s="90"/>
      <c r="S55" s="90"/>
      <c r="T55" s="90"/>
      <c r="U55" s="90"/>
      <c r="V55" s="90"/>
      <c r="W55" s="90"/>
      <c r="X55" s="90"/>
      <c r="Y55" s="90"/>
      <c r="Z55" s="90"/>
      <c r="AA55" s="90"/>
      <c r="AB55" s="90"/>
      <c r="AC55" s="86">
        <f t="shared" si="36"/>
        <v>0</v>
      </c>
      <c r="AD55" s="91"/>
      <c r="AE55" s="91"/>
      <c r="AF55" s="1392"/>
      <c r="AG55" s="91"/>
      <c r="AH55" s="91"/>
      <c r="AI55" s="91"/>
      <c r="AJ55" s="91"/>
      <c r="AK55" s="91"/>
      <c r="AL55" s="91"/>
      <c r="AM55" s="91"/>
      <c r="AN55" s="91"/>
      <c r="AO55" s="91"/>
      <c r="AP55" s="91"/>
      <c r="AQ55" s="91"/>
      <c r="AR55" s="91"/>
      <c r="AS55" s="91"/>
      <c r="AT55" s="92"/>
      <c r="AU55" s="93"/>
      <c r="AV55" s="1977">
        <f t="shared" si="37"/>
        <v>0</v>
      </c>
      <c r="AW55" s="1977">
        <f t="shared" si="38"/>
        <v>0</v>
      </c>
      <c r="AX55" s="1977">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7">
        <f t="shared" si="37"/>
        <v>0</v>
      </c>
      <c r="AW56" s="1977">
        <f t="shared" si="38"/>
        <v>0</v>
      </c>
      <c r="AX56" s="1977">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7">
        <f t="shared" si="37"/>
        <v>0</v>
      </c>
      <c r="AW57" s="1977">
        <f t="shared" si="38"/>
        <v>0</v>
      </c>
      <c r="AX57" s="1977">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7">
        <f t="shared" si="37"/>
        <v>0</v>
      </c>
      <c r="AW58" s="1977">
        <f t="shared" si="38"/>
        <v>0</v>
      </c>
      <c r="AX58" s="1977">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7">
        <f t="shared" si="37"/>
        <v>0</v>
      </c>
      <c r="AW59" s="1977">
        <f t="shared" si="38"/>
        <v>0</v>
      </c>
      <c r="AX59" s="1977">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7">
        <f t="shared" si="37"/>
        <v>0</v>
      </c>
      <c r="AW60" s="1977">
        <f t="shared" si="38"/>
        <v>0</v>
      </c>
      <c r="AX60" s="1977">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7">
        <f t="shared" si="37"/>
        <v>0</v>
      </c>
      <c r="AW61" s="1977">
        <f t="shared" si="38"/>
        <v>0</v>
      </c>
      <c r="AX61" s="1977">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7">
        <f t="shared" si="37"/>
        <v>0</v>
      </c>
      <c r="AW62" s="1977">
        <f t="shared" si="38"/>
        <v>0</v>
      </c>
      <c r="AX62" s="1977">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7">
        <f t="shared" si="37"/>
        <v>0</v>
      </c>
      <c r="AW63" s="1977">
        <f t="shared" si="38"/>
        <v>0</v>
      </c>
      <c r="AX63" s="1977">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7">
        <f t="shared" si="37"/>
        <v>0</v>
      </c>
      <c r="AW64" s="1977">
        <f t="shared" si="38"/>
        <v>0</v>
      </c>
      <c r="AX64" s="1977">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7">
        <f t="shared" si="37"/>
        <v>0</v>
      </c>
      <c r="AW65" s="1977">
        <f t="shared" si="38"/>
        <v>0</v>
      </c>
      <c r="AX65" s="1977">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7">
        <f t="shared" si="37"/>
        <v>0</v>
      </c>
      <c r="AW66" s="1977">
        <f t="shared" si="38"/>
        <v>0</v>
      </c>
      <c r="AX66" s="1977">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7">
        <f t="shared" si="37"/>
        <v>0</v>
      </c>
      <c r="AW67" s="1977">
        <f t="shared" si="38"/>
        <v>0</v>
      </c>
      <c r="AX67" s="1977">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7">
        <f t="shared" si="37"/>
        <v>0</v>
      </c>
      <c r="AW68" s="1977">
        <f t="shared" si="38"/>
        <v>0</v>
      </c>
      <c r="AX68" s="1977">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7">
        <f t="shared" si="37"/>
        <v>0</v>
      </c>
      <c r="AW69" s="1977">
        <f t="shared" si="38"/>
        <v>0</v>
      </c>
      <c r="AX69" s="1977">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7">
        <f t="shared" si="37"/>
        <v>0</v>
      </c>
      <c r="AW70" s="1977">
        <f t="shared" si="38"/>
        <v>0</v>
      </c>
      <c r="AX70" s="1977">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7">
        <f t="shared" si="37"/>
        <v>0</v>
      </c>
      <c r="AW71" s="1977">
        <f t="shared" si="38"/>
        <v>0</v>
      </c>
      <c r="AX71" s="1977">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7">
        <f t="shared" si="37"/>
        <v>0</v>
      </c>
      <c r="AW72" s="1977">
        <f t="shared" si="38"/>
        <v>0</v>
      </c>
      <c r="AX72" s="1977">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7">
        <f t="shared" si="37"/>
        <v>0</v>
      </c>
      <c r="AW73" s="1977">
        <f t="shared" si="38"/>
        <v>0</v>
      </c>
      <c r="AX73" s="1977">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7">
        <f t="shared" si="37"/>
        <v>0</v>
      </c>
      <c r="AW74" s="1977">
        <f t="shared" si="38"/>
        <v>0</v>
      </c>
      <c r="AX74" s="1977">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7">
        <f t="shared" si="37"/>
        <v>0</v>
      </c>
      <c r="AW75" s="1977">
        <f t="shared" si="38"/>
        <v>0</v>
      </c>
      <c r="AX75" s="1977">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7">
        <f t="shared" si="37"/>
        <v>0</v>
      </c>
      <c r="AW76" s="1977">
        <f t="shared" si="38"/>
        <v>0</v>
      </c>
      <c r="AX76" s="1977">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7">
        <f t="shared" si="37"/>
        <v>0</v>
      </c>
      <c r="AW77" s="1977">
        <f t="shared" si="38"/>
        <v>0</v>
      </c>
      <c r="AX77" s="1977">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7">
        <f t="shared" si="37"/>
        <v>0</v>
      </c>
      <c r="AW78" s="1977">
        <f t="shared" si="38"/>
        <v>0</v>
      </c>
      <c r="AX78" s="1977">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7">
        <f t="shared" si="37"/>
        <v>0</v>
      </c>
      <c r="AW79" s="1977">
        <f t="shared" si="38"/>
        <v>0</v>
      </c>
      <c r="AX79" s="1977">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7">
        <f t="shared" si="37"/>
        <v>0</v>
      </c>
      <c r="AW80" s="1977">
        <f t="shared" si="38"/>
        <v>0</v>
      </c>
      <c r="AX80" s="1977">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7">
        <f t="shared" si="37"/>
        <v>0</v>
      </c>
      <c r="AW81" s="1977">
        <f t="shared" si="38"/>
        <v>0</v>
      </c>
      <c r="AX81" s="1977">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7">
        <f t="shared" si="37"/>
        <v>0</v>
      </c>
      <c r="AW82" s="1977">
        <f t="shared" si="38"/>
        <v>0</v>
      </c>
      <c r="AX82" s="1977">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7">
        <f t="shared" si="37"/>
        <v>0</v>
      </c>
      <c r="AW83" s="1977">
        <f t="shared" si="38"/>
        <v>0</v>
      </c>
      <c r="AX83" s="1977">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7">
        <f t="shared" si="37"/>
        <v>0</v>
      </c>
      <c r="AW84" s="1977">
        <f t="shared" si="38"/>
        <v>0</v>
      </c>
      <c r="AX84" s="1977">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7">
        <f t="shared" si="37"/>
        <v>0</v>
      </c>
      <c r="AW85" s="1977">
        <f t="shared" si="38"/>
        <v>0</v>
      </c>
      <c r="AX85" s="1977">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7">
        <f t="shared" si="37"/>
        <v>0</v>
      </c>
      <c r="AW86" s="1977">
        <f t="shared" si="38"/>
        <v>0</v>
      </c>
      <c r="AX86" s="1977">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7">
        <f t="shared" si="37"/>
        <v>0</v>
      </c>
      <c r="AW87" s="1977">
        <f t="shared" si="38"/>
        <v>0</v>
      </c>
      <c r="AX87" s="1977">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7">
        <f t="shared" si="37"/>
        <v>0</v>
      </c>
      <c r="AW88" s="1977">
        <f t="shared" si="38"/>
        <v>0</v>
      </c>
      <c r="AX88" s="1977">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7">
        <f t="shared" si="37"/>
        <v>0</v>
      </c>
      <c r="AW89" s="1977">
        <f t="shared" si="38"/>
        <v>0</v>
      </c>
      <c r="AX89" s="1977">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7">
        <f t="shared" si="37"/>
        <v>0</v>
      </c>
      <c r="AW90" s="1977">
        <f t="shared" si="38"/>
        <v>0</v>
      </c>
      <c r="AX90" s="1977">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7">
        <f t="shared" si="37"/>
        <v>0</v>
      </c>
      <c r="AW91" s="1977">
        <f t="shared" si="38"/>
        <v>0</v>
      </c>
      <c r="AX91" s="1977">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7">
        <f t="shared" si="37"/>
        <v>0</v>
      </c>
      <c r="AW92" s="1977">
        <f t="shared" si="38"/>
        <v>0</v>
      </c>
      <c r="AX92" s="1977">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7">
        <f t="shared" si="37"/>
        <v>0</v>
      </c>
      <c r="AW93" s="1977">
        <f t="shared" si="38"/>
        <v>0</v>
      </c>
      <c r="AX93" s="1977">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7">
        <f t="shared" si="37"/>
        <v>0</v>
      </c>
      <c r="AW94" s="1977">
        <f t="shared" si="38"/>
        <v>0</v>
      </c>
      <c r="AX94" s="1977">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7">
        <f t="shared" si="37"/>
        <v>0</v>
      </c>
      <c r="AW95" s="1977">
        <f t="shared" si="38"/>
        <v>0</v>
      </c>
      <c r="AX95" s="1977">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7">
        <f t="shared" si="37"/>
        <v>0</v>
      </c>
      <c r="AW96" s="1977">
        <f t="shared" si="38"/>
        <v>0</v>
      </c>
      <c r="AX96" s="1977">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7">
        <f t="shared" si="37"/>
        <v>0</v>
      </c>
      <c r="AW97" s="1977">
        <f t="shared" si="38"/>
        <v>0</v>
      </c>
      <c r="AX97" s="1977">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7">
        <f t="shared" si="37"/>
        <v>0</v>
      </c>
      <c r="AW98" s="1977">
        <f t="shared" si="38"/>
        <v>0</v>
      </c>
      <c r="AX98" s="1977">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7">
        <f t="shared" si="37"/>
        <v>0</v>
      </c>
      <c r="AW99" s="1977">
        <f t="shared" si="38"/>
        <v>0</v>
      </c>
      <c r="AX99" s="1977">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7">
        <f t="shared" si="37"/>
        <v>0</v>
      </c>
      <c r="AW100" s="1977">
        <f t="shared" si="38"/>
        <v>0</v>
      </c>
      <c r="AX100" s="1977">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7">
        <f t="shared" si="37"/>
        <v>0</v>
      </c>
      <c r="AW101" s="1977">
        <f t="shared" si="38"/>
        <v>0</v>
      </c>
      <c r="AX101" s="1977">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7">
        <f t="shared" si="37"/>
        <v>0</v>
      </c>
      <c r="AW102" s="1977">
        <f t="shared" si="38"/>
        <v>0</v>
      </c>
      <c r="AX102" s="1977">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7">
        <f t="shared" si="37"/>
        <v>0</v>
      </c>
      <c r="AW103" s="1977">
        <f t="shared" si="38"/>
        <v>0</v>
      </c>
      <c r="AX103" s="1977">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7">
        <f t="shared" si="37"/>
        <v>0</v>
      </c>
      <c r="AW104" s="1977">
        <f t="shared" si="38"/>
        <v>0</v>
      </c>
      <c r="AX104" s="1977">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7">
        <f t="shared" si="37"/>
        <v>0</v>
      </c>
      <c r="AW105" s="1977">
        <f t="shared" si="38"/>
        <v>0</v>
      </c>
      <c r="AX105" s="1977">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7">
        <f t="shared" si="37"/>
        <v>0</v>
      </c>
      <c r="AW106" s="1977">
        <f t="shared" si="38"/>
        <v>0</v>
      </c>
      <c r="AX106" s="1977">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7">
        <f t="shared" si="37"/>
        <v>0</v>
      </c>
      <c r="AW107" s="1977">
        <f t="shared" si="38"/>
        <v>0</v>
      </c>
      <c r="AX107" s="1977">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7">
        <f t="shared" si="37"/>
        <v>0</v>
      </c>
      <c r="AW108" s="1977">
        <f t="shared" si="38"/>
        <v>0</v>
      </c>
      <c r="AX108" s="1977">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7">
        <f t="shared" si="37"/>
        <v>0</v>
      </c>
      <c r="AW109" s="1977">
        <f t="shared" si="38"/>
        <v>0</v>
      </c>
      <c r="AX109" s="1977">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7">
        <f t="shared" si="37"/>
        <v>0</v>
      </c>
      <c r="AW110" s="1977">
        <f t="shared" si="38"/>
        <v>0</v>
      </c>
      <c r="AX110" s="1977">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7">
        <f t="shared" si="37"/>
        <v>0</v>
      </c>
      <c r="AW111" s="1977">
        <f t="shared" si="38"/>
        <v>0</v>
      </c>
      <c r="AX111" s="1977">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7">
        <f t="shared" si="37"/>
        <v>0</v>
      </c>
      <c r="AW112" s="1977">
        <f t="shared" si="38"/>
        <v>0</v>
      </c>
      <c r="AX112" s="1977">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ht="15.6">
      <c r="A113" s="83"/>
      <c r="B113" s="1391"/>
      <c r="C113" s="1392"/>
      <c r="D113" s="79"/>
      <c r="E113" s="86">
        <f t="shared" ref="E113:E144" si="87">IF($C$3="是",ROUND($A$3*G113/$B$3,2),ROUND($A$3*(G113-AT113)/$B$3,2))</f>
        <v>0</v>
      </c>
      <c r="F113" s="87"/>
      <c r="G113" s="88">
        <f t="shared" si="62"/>
        <v>0</v>
      </c>
      <c r="H113" s="89">
        <f t="shared" si="63"/>
        <v>0</v>
      </c>
      <c r="I113" s="1394"/>
      <c r="J113" s="90"/>
      <c r="K113" s="1394"/>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5"/>
      <c r="AG113" s="91"/>
      <c r="AH113" s="91"/>
      <c r="AI113" s="91"/>
      <c r="AJ113" s="91"/>
      <c r="AK113" s="91"/>
      <c r="AL113" s="91"/>
      <c r="AM113" s="91"/>
      <c r="AN113" s="1362"/>
      <c r="AO113" s="91"/>
      <c r="AP113" s="91"/>
      <c r="AQ113" s="91"/>
      <c r="AR113" s="91"/>
      <c r="AS113" s="91"/>
      <c r="AT113" s="92"/>
      <c r="AU113" s="93"/>
      <c r="AV113" s="1977">
        <f t="shared" ref="AV113:AV144" si="88">A113</f>
        <v>0</v>
      </c>
      <c r="AW113" s="1977">
        <f t="shared" ref="AW113:AW144" si="89">B113</f>
        <v>0</v>
      </c>
      <c r="AX113" s="1977">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ht="15.6">
      <c r="A114" s="83"/>
      <c r="B114" s="1391"/>
      <c r="C114" s="1392"/>
      <c r="D114" s="79"/>
      <c r="E114" s="86">
        <f t="shared" si="87"/>
        <v>0</v>
      </c>
      <c r="F114" s="87"/>
      <c r="G114" s="88">
        <f t="shared" si="62"/>
        <v>0</v>
      </c>
      <c r="H114" s="89">
        <f t="shared" si="63"/>
        <v>0</v>
      </c>
      <c r="I114" s="1394"/>
      <c r="J114" s="90"/>
      <c r="K114" s="1394"/>
      <c r="L114" s="90"/>
      <c r="M114" s="1362"/>
      <c r="N114" s="90"/>
      <c r="O114" s="90"/>
      <c r="P114" s="90"/>
      <c r="Q114" s="90"/>
      <c r="R114" s="90"/>
      <c r="S114" s="90"/>
      <c r="T114" s="90"/>
      <c r="U114" s="90"/>
      <c r="V114" s="90"/>
      <c r="W114" s="90"/>
      <c r="X114" s="90"/>
      <c r="Y114" s="90"/>
      <c r="Z114" s="90"/>
      <c r="AA114" s="90"/>
      <c r="AB114" s="90"/>
      <c r="AC114" s="86">
        <f t="shared" si="64"/>
        <v>0</v>
      </c>
      <c r="AD114" s="1362"/>
      <c r="AE114" s="91"/>
      <c r="AF114" s="1395"/>
      <c r="AG114" s="91"/>
      <c r="AH114" s="91"/>
      <c r="AI114" s="91"/>
      <c r="AJ114" s="91"/>
      <c r="AK114" s="91"/>
      <c r="AL114" s="1362"/>
      <c r="AM114" s="91"/>
      <c r="AN114" s="1362"/>
      <c r="AO114" s="91"/>
      <c r="AP114" s="91"/>
      <c r="AQ114" s="91"/>
      <c r="AR114" s="91"/>
      <c r="AS114" s="91"/>
      <c r="AT114" s="92"/>
      <c r="AU114" s="93"/>
      <c r="AV114" s="1977">
        <f t="shared" si="88"/>
        <v>0</v>
      </c>
      <c r="AW114" s="1977">
        <f t="shared" si="89"/>
        <v>0</v>
      </c>
      <c r="AX114" s="1977">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ht="15.6">
      <c r="A115" s="83"/>
      <c r="B115" s="1391"/>
      <c r="C115" s="1392"/>
      <c r="D115" s="79"/>
      <c r="E115" s="86">
        <f t="shared" si="87"/>
        <v>0</v>
      </c>
      <c r="F115" s="87"/>
      <c r="G115" s="88">
        <f t="shared" si="62"/>
        <v>0</v>
      </c>
      <c r="H115" s="89">
        <f t="shared" si="63"/>
        <v>0</v>
      </c>
      <c r="I115" s="1394"/>
      <c r="J115" s="90"/>
      <c r="K115" s="1394"/>
      <c r="L115" s="90"/>
      <c r="M115" s="1362"/>
      <c r="N115" s="90"/>
      <c r="O115" s="90"/>
      <c r="P115" s="90"/>
      <c r="Q115" s="90"/>
      <c r="R115" s="90"/>
      <c r="S115" s="90"/>
      <c r="T115" s="90"/>
      <c r="U115" s="90"/>
      <c r="V115" s="90"/>
      <c r="W115" s="90"/>
      <c r="X115" s="90"/>
      <c r="Y115" s="90"/>
      <c r="Z115" s="90"/>
      <c r="AA115" s="90"/>
      <c r="AB115" s="90"/>
      <c r="AC115" s="86">
        <f t="shared" si="64"/>
        <v>0</v>
      </c>
      <c r="AD115" s="91"/>
      <c r="AE115" s="91"/>
      <c r="AF115" s="1395"/>
      <c r="AG115" s="91"/>
      <c r="AH115" s="91"/>
      <c r="AI115" s="91"/>
      <c r="AJ115" s="91"/>
      <c r="AK115" s="91"/>
      <c r="AL115" s="1362"/>
      <c r="AM115" s="91"/>
      <c r="AN115" s="1362"/>
      <c r="AO115" s="91"/>
      <c r="AP115" s="91"/>
      <c r="AQ115" s="91"/>
      <c r="AR115" s="91"/>
      <c r="AS115" s="91"/>
      <c r="AT115" s="92"/>
      <c r="AU115" s="93"/>
      <c r="AV115" s="1977">
        <f t="shared" si="88"/>
        <v>0</v>
      </c>
      <c r="AW115" s="1977">
        <f t="shared" si="89"/>
        <v>0</v>
      </c>
      <c r="AX115" s="1977">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ht="15.6">
      <c r="A116" s="83"/>
      <c r="B116" s="1391"/>
      <c r="C116" s="1392"/>
      <c r="D116" s="79"/>
      <c r="E116" s="86">
        <f t="shared" si="87"/>
        <v>0</v>
      </c>
      <c r="F116" s="87"/>
      <c r="G116" s="88">
        <f t="shared" si="62"/>
        <v>0</v>
      </c>
      <c r="H116" s="89">
        <f t="shared" si="63"/>
        <v>0</v>
      </c>
      <c r="I116" s="1394"/>
      <c r="J116" s="90"/>
      <c r="K116" s="1394"/>
      <c r="L116" s="90"/>
      <c r="M116" s="90"/>
      <c r="N116" s="90"/>
      <c r="O116" s="1362"/>
      <c r="P116" s="90"/>
      <c r="Q116" s="90"/>
      <c r="R116" s="90"/>
      <c r="S116" s="90"/>
      <c r="T116" s="90"/>
      <c r="U116" s="90"/>
      <c r="V116" s="90"/>
      <c r="W116" s="90"/>
      <c r="X116" s="90"/>
      <c r="Y116" s="90"/>
      <c r="Z116" s="90"/>
      <c r="AA116" s="90"/>
      <c r="AB116" s="90"/>
      <c r="AC116" s="86">
        <f t="shared" si="64"/>
        <v>0</v>
      </c>
      <c r="AD116" s="91"/>
      <c r="AE116" s="91"/>
      <c r="AF116" s="1395"/>
      <c r="AG116" s="91"/>
      <c r="AH116" s="91"/>
      <c r="AI116" s="91"/>
      <c r="AJ116" s="91"/>
      <c r="AK116" s="91"/>
      <c r="AL116" s="91"/>
      <c r="AM116" s="91"/>
      <c r="AN116" s="1362"/>
      <c r="AO116" s="91"/>
      <c r="AP116" s="91"/>
      <c r="AQ116" s="91"/>
      <c r="AR116" s="91"/>
      <c r="AS116" s="91"/>
      <c r="AT116" s="92"/>
      <c r="AU116" s="93"/>
      <c r="AV116" s="1977">
        <f t="shared" si="88"/>
        <v>0</v>
      </c>
      <c r="AW116" s="1977">
        <f t="shared" si="89"/>
        <v>0</v>
      </c>
      <c r="AX116" s="1977">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ht="15.6">
      <c r="A117" s="83"/>
      <c r="B117" s="1391"/>
      <c r="C117" s="1392"/>
      <c r="D117" s="79"/>
      <c r="E117" s="86">
        <f t="shared" si="87"/>
        <v>0</v>
      </c>
      <c r="F117" s="87"/>
      <c r="G117" s="88">
        <f t="shared" si="62"/>
        <v>0</v>
      </c>
      <c r="H117" s="89">
        <f t="shared" si="63"/>
        <v>0</v>
      </c>
      <c r="I117" s="1394"/>
      <c r="J117" s="90"/>
      <c r="K117" s="1394"/>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5"/>
      <c r="AG117" s="91"/>
      <c r="AH117" s="91"/>
      <c r="AI117" s="91"/>
      <c r="AJ117" s="91"/>
      <c r="AK117" s="91"/>
      <c r="AL117" s="91"/>
      <c r="AM117" s="91"/>
      <c r="AN117" s="91"/>
      <c r="AO117" s="91"/>
      <c r="AP117" s="91"/>
      <c r="AQ117" s="91"/>
      <c r="AR117" s="91"/>
      <c r="AS117" s="91"/>
      <c r="AT117" s="92"/>
      <c r="AU117" s="93"/>
      <c r="AV117" s="1977">
        <f t="shared" si="88"/>
        <v>0</v>
      </c>
      <c r="AW117" s="1977">
        <f t="shared" si="89"/>
        <v>0</v>
      </c>
      <c r="AX117" s="1977">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ht="15.6">
      <c r="A118" s="83"/>
      <c r="B118" s="1391"/>
      <c r="C118" s="1392"/>
      <c r="D118" s="79"/>
      <c r="E118" s="86">
        <f t="shared" si="87"/>
        <v>0</v>
      </c>
      <c r="F118" s="87"/>
      <c r="G118" s="88">
        <f t="shared" si="62"/>
        <v>0</v>
      </c>
      <c r="H118" s="89">
        <f t="shared" si="63"/>
        <v>0</v>
      </c>
      <c r="I118" s="1394"/>
      <c r="J118" s="90"/>
      <c r="K118" s="1394"/>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5"/>
      <c r="AG118" s="91"/>
      <c r="AH118" s="91"/>
      <c r="AI118" s="91"/>
      <c r="AJ118" s="91"/>
      <c r="AK118" s="91"/>
      <c r="AL118" s="91"/>
      <c r="AM118" s="91"/>
      <c r="AN118" s="91"/>
      <c r="AO118" s="91"/>
      <c r="AP118" s="91"/>
      <c r="AQ118" s="91"/>
      <c r="AR118" s="91"/>
      <c r="AS118" s="91"/>
      <c r="AT118" s="92"/>
      <c r="AU118" s="93"/>
      <c r="AV118" s="1977">
        <f t="shared" si="88"/>
        <v>0</v>
      </c>
      <c r="AW118" s="1977">
        <f t="shared" si="89"/>
        <v>0</v>
      </c>
      <c r="AX118" s="1977">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ht="15.6">
      <c r="A119" s="83"/>
      <c r="B119" s="1391"/>
      <c r="C119" s="1392"/>
      <c r="D119" s="79"/>
      <c r="E119" s="86">
        <f t="shared" si="87"/>
        <v>0</v>
      </c>
      <c r="F119" s="87"/>
      <c r="G119" s="88">
        <f t="shared" si="62"/>
        <v>0</v>
      </c>
      <c r="H119" s="89">
        <f t="shared" si="63"/>
        <v>0</v>
      </c>
      <c r="I119" s="1394"/>
      <c r="J119" s="90"/>
      <c r="K119" s="1394"/>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5"/>
      <c r="AG119" s="91"/>
      <c r="AH119" s="91"/>
      <c r="AI119" s="91"/>
      <c r="AJ119" s="91"/>
      <c r="AK119" s="91"/>
      <c r="AL119" s="91"/>
      <c r="AM119" s="91"/>
      <c r="AN119" s="91"/>
      <c r="AO119" s="91"/>
      <c r="AP119" s="91"/>
      <c r="AQ119" s="91"/>
      <c r="AR119" s="91"/>
      <c r="AS119" s="91"/>
      <c r="AT119" s="92"/>
      <c r="AU119" s="93"/>
      <c r="AV119" s="1977">
        <f t="shared" si="88"/>
        <v>0</v>
      </c>
      <c r="AW119" s="1977">
        <f t="shared" si="89"/>
        <v>0</v>
      </c>
      <c r="AX119" s="1977">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ht="15.6">
      <c r="A120" s="83"/>
      <c r="B120" s="1391"/>
      <c r="C120" s="1392"/>
      <c r="D120" s="79"/>
      <c r="E120" s="86">
        <f t="shared" si="87"/>
        <v>0</v>
      </c>
      <c r="F120" s="87"/>
      <c r="G120" s="88">
        <f t="shared" si="62"/>
        <v>0</v>
      </c>
      <c r="H120" s="89">
        <f t="shared" si="63"/>
        <v>0</v>
      </c>
      <c r="I120" s="1394"/>
      <c r="J120" s="90"/>
      <c r="K120" s="1394"/>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4"/>
      <c r="AG120" s="91"/>
      <c r="AH120" s="91"/>
      <c r="AI120" s="91"/>
      <c r="AJ120" s="91"/>
      <c r="AK120" s="91"/>
      <c r="AL120" s="91"/>
      <c r="AM120" s="91"/>
      <c r="AN120" s="91"/>
      <c r="AO120" s="91"/>
      <c r="AP120" s="91"/>
      <c r="AQ120" s="91"/>
      <c r="AR120" s="91"/>
      <c r="AS120" s="91"/>
      <c r="AT120" s="92"/>
      <c r="AU120" s="93"/>
      <c r="AV120" s="1977">
        <f t="shared" si="88"/>
        <v>0</v>
      </c>
      <c r="AW120" s="1977">
        <f t="shared" si="89"/>
        <v>0</v>
      </c>
      <c r="AX120" s="1977">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ht="15.6">
      <c r="A121" s="83"/>
      <c r="B121" s="1393"/>
      <c r="C121" s="1394"/>
      <c r="D121" s="79"/>
      <c r="E121" s="86">
        <f t="shared" si="87"/>
        <v>0</v>
      </c>
      <c r="F121" s="87"/>
      <c r="G121" s="88">
        <f t="shared" si="62"/>
        <v>0</v>
      </c>
      <c r="H121" s="89">
        <f t="shared" si="63"/>
        <v>0</v>
      </c>
      <c r="I121" s="1394"/>
      <c r="J121" s="90"/>
      <c r="K121" s="1394"/>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4"/>
      <c r="AG121" s="91"/>
      <c r="AH121" s="91"/>
      <c r="AI121" s="91"/>
      <c r="AJ121" s="91"/>
      <c r="AK121" s="91"/>
      <c r="AL121" s="91"/>
      <c r="AM121" s="91"/>
      <c r="AN121" s="91"/>
      <c r="AO121" s="91"/>
      <c r="AP121" s="91"/>
      <c r="AQ121" s="91"/>
      <c r="AR121" s="91"/>
      <c r="AS121" s="91"/>
      <c r="AT121" s="92"/>
      <c r="AU121" s="93"/>
      <c r="AV121" s="1977">
        <f t="shared" si="88"/>
        <v>0</v>
      </c>
      <c r="AW121" s="1977">
        <f t="shared" si="89"/>
        <v>0</v>
      </c>
      <c r="AX121" s="1977">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ht="15.6">
      <c r="A122" s="83"/>
      <c r="B122" s="1391"/>
      <c r="C122" s="1392"/>
      <c r="D122" s="79"/>
      <c r="E122" s="86">
        <f t="shared" si="87"/>
        <v>0</v>
      </c>
      <c r="F122" s="87"/>
      <c r="G122" s="88">
        <f t="shared" si="62"/>
        <v>0</v>
      </c>
      <c r="H122" s="89">
        <f t="shared" si="63"/>
        <v>0</v>
      </c>
      <c r="I122" s="1394"/>
      <c r="J122" s="90"/>
      <c r="K122" s="1394"/>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4"/>
      <c r="AG122" s="91"/>
      <c r="AH122" s="91"/>
      <c r="AI122" s="91"/>
      <c r="AJ122" s="91"/>
      <c r="AK122" s="91"/>
      <c r="AL122" s="91"/>
      <c r="AM122" s="91"/>
      <c r="AN122" s="91"/>
      <c r="AO122" s="91"/>
      <c r="AP122" s="91"/>
      <c r="AQ122" s="91"/>
      <c r="AR122" s="91"/>
      <c r="AS122" s="91"/>
      <c r="AT122" s="92"/>
      <c r="AU122" s="93"/>
      <c r="AV122" s="1977">
        <f t="shared" si="88"/>
        <v>0</v>
      </c>
      <c r="AW122" s="1977">
        <f t="shared" si="89"/>
        <v>0</v>
      </c>
      <c r="AX122" s="1977">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ht="15.6">
      <c r="A123" s="83"/>
      <c r="B123" s="1391"/>
      <c r="C123" s="1392"/>
      <c r="D123" s="79"/>
      <c r="E123" s="86">
        <f t="shared" si="87"/>
        <v>0</v>
      </c>
      <c r="F123" s="87"/>
      <c r="G123" s="88">
        <f t="shared" si="62"/>
        <v>0</v>
      </c>
      <c r="H123" s="89">
        <f t="shared" si="63"/>
        <v>0</v>
      </c>
      <c r="I123" s="1394"/>
      <c r="J123" s="90"/>
      <c r="K123" s="1394"/>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4"/>
      <c r="AG123" s="91"/>
      <c r="AH123" s="91"/>
      <c r="AI123" s="91"/>
      <c r="AJ123" s="91"/>
      <c r="AK123" s="91"/>
      <c r="AL123" s="91"/>
      <c r="AM123" s="91"/>
      <c r="AN123" s="91"/>
      <c r="AO123" s="91"/>
      <c r="AP123" s="91"/>
      <c r="AQ123" s="91"/>
      <c r="AR123" s="91"/>
      <c r="AS123" s="91"/>
      <c r="AT123" s="92"/>
      <c r="AU123" s="93"/>
      <c r="AV123" s="1977">
        <f t="shared" si="88"/>
        <v>0</v>
      </c>
      <c r="AW123" s="1977">
        <f t="shared" si="89"/>
        <v>0</v>
      </c>
      <c r="AX123" s="1977">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ht="15.6">
      <c r="A124" s="83"/>
      <c r="B124" s="1391"/>
      <c r="C124" s="1392"/>
      <c r="D124" s="79"/>
      <c r="E124" s="86">
        <f t="shared" si="87"/>
        <v>0</v>
      </c>
      <c r="F124" s="87"/>
      <c r="G124" s="88">
        <f t="shared" si="62"/>
        <v>0</v>
      </c>
      <c r="H124" s="89">
        <f t="shared" si="63"/>
        <v>0</v>
      </c>
      <c r="I124" s="1394"/>
      <c r="J124" s="90"/>
      <c r="K124" s="1394"/>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4"/>
      <c r="AG124" s="91"/>
      <c r="AH124" s="91"/>
      <c r="AI124" s="91"/>
      <c r="AJ124" s="91"/>
      <c r="AK124" s="91"/>
      <c r="AL124" s="91"/>
      <c r="AM124" s="91"/>
      <c r="AN124" s="91"/>
      <c r="AO124" s="91"/>
      <c r="AP124" s="91"/>
      <c r="AQ124" s="91"/>
      <c r="AR124" s="91"/>
      <c r="AS124" s="91"/>
      <c r="AT124" s="92"/>
      <c r="AU124" s="93"/>
      <c r="AV124" s="1977">
        <f t="shared" si="88"/>
        <v>0</v>
      </c>
      <c r="AW124" s="1977">
        <f t="shared" si="89"/>
        <v>0</v>
      </c>
      <c r="AX124" s="1977">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ht="15.6">
      <c r="A125" s="83"/>
      <c r="B125" s="1391"/>
      <c r="C125" s="1392"/>
      <c r="D125" s="79"/>
      <c r="E125" s="86">
        <f t="shared" si="87"/>
        <v>0</v>
      </c>
      <c r="F125" s="87"/>
      <c r="G125" s="88">
        <f t="shared" si="62"/>
        <v>0</v>
      </c>
      <c r="H125" s="89">
        <f t="shared" si="63"/>
        <v>0</v>
      </c>
      <c r="I125" s="1394"/>
      <c r="J125" s="90"/>
      <c r="K125" s="1394"/>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4"/>
      <c r="AG125" s="91"/>
      <c r="AH125" s="91"/>
      <c r="AI125" s="91"/>
      <c r="AJ125" s="91"/>
      <c r="AK125" s="91"/>
      <c r="AL125" s="91"/>
      <c r="AM125" s="91"/>
      <c r="AN125" s="91"/>
      <c r="AO125" s="91"/>
      <c r="AP125" s="91"/>
      <c r="AQ125" s="91"/>
      <c r="AR125" s="91"/>
      <c r="AS125" s="91"/>
      <c r="AT125" s="92"/>
      <c r="AU125" s="93"/>
      <c r="AV125" s="1977">
        <f t="shared" si="88"/>
        <v>0</v>
      </c>
      <c r="AW125" s="1977">
        <f t="shared" si="89"/>
        <v>0</v>
      </c>
      <c r="AX125" s="1977">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ht="15.6">
      <c r="A126" s="83"/>
      <c r="B126" s="1391"/>
      <c r="C126" s="1392"/>
      <c r="D126" s="79"/>
      <c r="E126" s="86">
        <f t="shared" si="87"/>
        <v>0</v>
      </c>
      <c r="F126" s="87"/>
      <c r="G126" s="88">
        <f t="shared" si="62"/>
        <v>0</v>
      </c>
      <c r="H126" s="89">
        <f t="shared" si="63"/>
        <v>0</v>
      </c>
      <c r="I126" s="1394"/>
      <c r="J126" s="90"/>
      <c r="K126" s="1394"/>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4"/>
      <c r="AG126" s="91"/>
      <c r="AH126" s="91"/>
      <c r="AI126" s="91"/>
      <c r="AJ126" s="91"/>
      <c r="AK126" s="91"/>
      <c r="AL126" s="91"/>
      <c r="AM126" s="91"/>
      <c r="AN126" s="91"/>
      <c r="AO126" s="91"/>
      <c r="AP126" s="91"/>
      <c r="AQ126" s="91"/>
      <c r="AR126" s="91"/>
      <c r="AS126" s="91"/>
      <c r="AT126" s="92"/>
      <c r="AU126" s="93"/>
      <c r="AV126" s="1977">
        <f t="shared" si="88"/>
        <v>0</v>
      </c>
      <c r="AW126" s="1977">
        <f t="shared" si="89"/>
        <v>0</v>
      </c>
      <c r="AX126" s="1977">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ht="15.6">
      <c r="A127" s="83"/>
      <c r="B127" s="1391"/>
      <c r="C127" s="1392"/>
      <c r="D127" s="79"/>
      <c r="E127" s="86">
        <f t="shared" si="87"/>
        <v>0</v>
      </c>
      <c r="F127" s="87"/>
      <c r="G127" s="88">
        <f t="shared" si="62"/>
        <v>0</v>
      </c>
      <c r="H127" s="89">
        <f t="shared" si="63"/>
        <v>0</v>
      </c>
      <c r="I127" s="1394"/>
      <c r="J127" s="90"/>
      <c r="K127" s="1394"/>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4"/>
      <c r="AG127" s="91"/>
      <c r="AH127" s="91"/>
      <c r="AI127" s="91"/>
      <c r="AJ127" s="91"/>
      <c r="AK127" s="91"/>
      <c r="AL127" s="91"/>
      <c r="AM127" s="91"/>
      <c r="AN127" s="91"/>
      <c r="AO127" s="91"/>
      <c r="AP127" s="91"/>
      <c r="AQ127" s="91"/>
      <c r="AR127" s="91"/>
      <c r="AS127" s="91"/>
      <c r="AT127" s="92"/>
      <c r="AU127" s="93"/>
      <c r="AV127" s="1977">
        <f t="shared" si="88"/>
        <v>0</v>
      </c>
      <c r="AW127" s="1977">
        <f t="shared" si="89"/>
        <v>0</v>
      </c>
      <c r="AX127" s="1977">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ht="15.6">
      <c r="A128" s="83"/>
      <c r="B128" s="1391"/>
      <c r="C128" s="1392"/>
      <c r="D128" s="79"/>
      <c r="E128" s="86">
        <f t="shared" si="87"/>
        <v>0</v>
      </c>
      <c r="F128" s="87"/>
      <c r="G128" s="88">
        <f t="shared" si="62"/>
        <v>0</v>
      </c>
      <c r="H128" s="89">
        <f t="shared" si="63"/>
        <v>0</v>
      </c>
      <c r="I128" s="1394"/>
      <c r="J128" s="90"/>
      <c r="K128" s="1394"/>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4"/>
      <c r="AG128" s="91"/>
      <c r="AH128" s="91"/>
      <c r="AI128" s="91"/>
      <c r="AJ128" s="91"/>
      <c r="AK128" s="91"/>
      <c r="AL128" s="91"/>
      <c r="AM128" s="91"/>
      <c r="AN128" s="91"/>
      <c r="AO128" s="91"/>
      <c r="AP128" s="91"/>
      <c r="AQ128" s="91"/>
      <c r="AR128" s="91"/>
      <c r="AS128" s="91"/>
      <c r="AT128" s="92"/>
      <c r="AU128" s="93"/>
      <c r="AV128" s="1977">
        <f t="shared" si="88"/>
        <v>0</v>
      </c>
      <c r="AW128" s="1977">
        <f t="shared" si="89"/>
        <v>0</v>
      </c>
      <c r="AX128" s="1977">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ht="15.6">
      <c r="A129" s="83"/>
      <c r="B129" s="1391"/>
      <c r="C129" s="1392"/>
      <c r="D129" s="79"/>
      <c r="E129" s="86">
        <f t="shared" si="87"/>
        <v>0</v>
      </c>
      <c r="F129" s="87"/>
      <c r="G129" s="88">
        <f t="shared" si="62"/>
        <v>0</v>
      </c>
      <c r="H129" s="89">
        <f t="shared" si="63"/>
        <v>0</v>
      </c>
      <c r="I129" s="1394"/>
      <c r="J129" s="90"/>
      <c r="K129" s="1394"/>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4"/>
      <c r="AG129" s="91"/>
      <c r="AH129" s="91"/>
      <c r="AI129" s="91"/>
      <c r="AJ129" s="91"/>
      <c r="AK129" s="91"/>
      <c r="AL129" s="91"/>
      <c r="AM129" s="91"/>
      <c r="AN129" s="91"/>
      <c r="AO129" s="91"/>
      <c r="AP129" s="91"/>
      <c r="AQ129" s="91"/>
      <c r="AR129" s="91"/>
      <c r="AS129" s="91"/>
      <c r="AT129" s="92"/>
      <c r="AU129" s="93"/>
      <c r="AV129" s="1977">
        <f t="shared" si="88"/>
        <v>0</v>
      </c>
      <c r="AW129" s="1977">
        <f t="shared" si="89"/>
        <v>0</v>
      </c>
      <c r="AX129" s="1977">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ht="15.6">
      <c r="A130" s="83"/>
      <c r="B130" s="1391"/>
      <c r="C130" s="1392"/>
      <c r="D130" s="79"/>
      <c r="E130" s="86">
        <f t="shared" si="87"/>
        <v>0</v>
      </c>
      <c r="F130" s="87"/>
      <c r="G130" s="88">
        <f t="shared" si="62"/>
        <v>0</v>
      </c>
      <c r="H130" s="89">
        <f t="shared" si="63"/>
        <v>0</v>
      </c>
      <c r="I130" s="1394"/>
      <c r="J130" s="90"/>
      <c r="K130" s="1394"/>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4"/>
      <c r="AG130" s="91"/>
      <c r="AH130" s="91"/>
      <c r="AI130" s="91"/>
      <c r="AJ130" s="91"/>
      <c r="AK130" s="91"/>
      <c r="AL130" s="91"/>
      <c r="AM130" s="91"/>
      <c r="AN130" s="91"/>
      <c r="AO130" s="91"/>
      <c r="AP130" s="91"/>
      <c r="AQ130" s="91"/>
      <c r="AR130" s="91"/>
      <c r="AS130" s="91"/>
      <c r="AT130" s="92"/>
      <c r="AU130" s="93"/>
      <c r="AV130" s="1977">
        <f t="shared" si="88"/>
        <v>0</v>
      </c>
      <c r="AW130" s="1977">
        <f t="shared" si="89"/>
        <v>0</v>
      </c>
      <c r="AX130" s="1977">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ht="15.6">
      <c r="A131" s="83"/>
      <c r="B131" s="1391"/>
      <c r="C131" s="1392"/>
      <c r="D131" s="79"/>
      <c r="E131" s="86">
        <f t="shared" si="87"/>
        <v>0</v>
      </c>
      <c r="F131" s="87"/>
      <c r="G131" s="88">
        <f t="shared" si="62"/>
        <v>0</v>
      </c>
      <c r="H131" s="89">
        <f t="shared" si="63"/>
        <v>0</v>
      </c>
      <c r="I131" s="1394"/>
      <c r="J131" s="90"/>
      <c r="K131" s="1394"/>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4"/>
      <c r="AG131" s="91"/>
      <c r="AH131" s="91"/>
      <c r="AI131" s="91"/>
      <c r="AJ131" s="91"/>
      <c r="AK131" s="91"/>
      <c r="AL131" s="91"/>
      <c r="AM131" s="91"/>
      <c r="AN131" s="91"/>
      <c r="AO131" s="91"/>
      <c r="AP131" s="91"/>
      <c r="AQ131" s="91"/>
      <c r="AR131" s="91"/>
      <c r="AS131" s="91"/>
      <c r="AT131" s="92"/>
      <c r="AU131" s="93"/>
      <c r="AV131" s="1977">
        <f t="shared" si="88"/>
        <v>0</v>
      </c>
      <c r="AW131" s="1977">
        <f t="shared" si="89"/>
        <v>0</v>
      </c>
      <c r="AX131" s="1977">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ht="15.6">
      <c r="A132" s="83"/>
      <c r="B132" s="1391"/>
      <c r="C132" s="1392"/>
      <c r="D132" s="79"/>
      <c r="E132" s="86">
        <f t="shared" si="87"/>
        <v>0</v>
      </c>
      <c r="F132" s="87"/>
      <c r="G132" s="88">
        <f t="shared" si="62"/>
        <v>0</v>
      </c>
      <c r="H132" s="89">
        <f t="shared" si="63"/>
        <v>0</v>
      </c>
      <c r="I132" s="1394"/>
      <c r="J132" s="90"/>
      <c r="K132" s="1394"/>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4"/>
      <c r="AG132" s="91"/>
      <c r="AH132" s="91"/>
      <c r="AI132" s="91"/>
      <c r="AJ132" s="91"/>
      <c r="AK132" s="91"/>
      <c r="AL132" s="91"/>
      <c r="AM132" s="91"/>
      <c r="AN132" s="91"/>
      <c r="AO132" s="91"/>
      <c r="AP132" s="91"/>
      <c r="AQ132" s="91"/>
      <c r="AR132" s="91"/>
      <c r="AS132" s="91"/>
      <c r="AT132" s="92"/>
      <c r="AU132" s="93"/>
      <c r="AV132" s="1977">
        <f t="shared" si="88"/>
        <v>0</v>
      </c>
      <c r="AW132" s="1977">
        <f t="shared" si="89"/>
        <v>0</v>
      </c>
      <c r="AX132" s="1977">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ht="15.6">
      <c r="A133" s="83"/>
      <c r="B133" s="1391"/>
      <c r="C133" s="1392"/>
      <c r="D133" s="79"/>
      <c r="E133" s="86">
        <f t="shared" si="87"/>
        <v>0</v>
      </c>
      <c r="F133" s="87"/>
      <c r="G133" s="88">
        <f t="shared" si="62"/>
        <v>0</v>
      </c>
      <c r="H133" s="89">
        <f t="shared" si="63"/>
        <v>0</v>
      </c>
      <c r="I133" s="1394"/>
      <c r="J133" s="90"/>
      <c r="K133" s="1394"/>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4"/>
      <c r="AG133" s="91"/>
      <c r="AH133" s="91"/>
      <c r="AI133" s="91"/>
      <c r="AJ133" s="91"/>
      <c r="AK133" s="91"/>
      <c r="AL133" s="91"/>
      <c r="AM133" s="91"/>
      <c r="AN133" s="91"/>
      <c r="AO133" s="91"/>
      <c r="AP133" s="91"/>
      <c r="AQ133" s="91"/>
      <c r="AR133" s="91"/>
      <c r="AS133" s="91"/>
      <c r="AT133" s="92"/>
      <c r="AU133" s="93"/>
      <c r="AV133" s="1977">
        <f t="shared" si="88"/>
        <v>0</v>
      </c>
      <c r="AW133" s="1977">
        <f t="shared" si="89"/>
        <v>0</v>
      </c>
      <c r="AX133" s="1977">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ht="15.6">
      <c r="A134" s="83"/>
      <c r="B134" s="1391"/>
      <c r="C134" s="1392"/>
      <c r="D134" s="79"/>
      <c r="E134" s="86">
        <f t="shared" si="87"/>
        <v>0</v>
      </c>
      <c r="F134" s="87"/>
      <c r="G134" s="88">
        <f t="shared" si="62"/>
        <v>0</v>
      </c>
      <c r="H134" s="89">
        <f t="shared" si="63"/>
        <v>0</v>
      </c>
      <c r="I134" s="1394"/>
      <c r="J134" s="90"/>
      <c r="K134" s="1394"/>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4"/>
      <c r="AG134" s="91"/>
      <c r="AH134" s="91"/>
      <c r="AI134" s="91"/>
      <c r="AJ134" s="91"/>
      <c r="AK134" s="91"/>
      <c r="AL134" s="91"/>
      <c r="AM134" s="91"/>
      <c r="AN134" s="91"/>
      <c r="AO134" s="91"/>
      <c r="AP134" s="91"/>
      <c r="AQ134" s="91"/>
      <c r="AR134" s="91"/>
      <c r="AS134" s="91"/>
      <c r="AT134" s="92"/>
      <c r="AU134" s="93"/>
      <c r="AV134" s="1977">
        <f t="shared" si="88"/>
        <v>0</v>
      </c>
      <c r="AW134" s="1977">
        <f t="shared" si="89"/>
        <v>0</v>
      </c>
      <c r="AX134" s="1977">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ht="15.6">
      <c r="A135" s="83"/>
      <c r="B135" s="1391"/>
      <c r="C135" s="1392"/>
      <c r="D135" s="79"/>
      <c r="E135" s="86">
        <f t="shared" si="87"/>
        <v>0</v>
      </c>
      <c r="F135" s="87"/>
      <c r="G135" s="88">
        <f t="shared" si="62"/>
        <v>0</v>
      </c>
      <c r="H135" s="89">
        <f t="shared" si="63"/>
        <v>0</v>
      </c>
      <c r="I135" s="1394"/>
      <c r="J135" s="90"/>
      <c r="K135" s="1394"/>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4"/>
      <c r="AG135" s="91"/>
      <c r="AH135" s="91"/>
      <c r="AI135" s="91"/>
      <c r="AJ135" s="91"/>
      <c r="AK135" s="91"/>
      <c r="AL135" s="91"/>
      <c r="AM135" s="91"/>
      <c r="AN135" s="91"/>
      <c r="AO135" s="91"/>
      <c r="AP135" s="91"/>
      <c r="AQ135" s="91"/>
      <c r="AR135" s="91"/>
      <c r="AS135" s="91"/>
      <c r="AT135" s="92"/>
      <c r="AU135" s="93"/>
      <c r="AV135" s="1977">
        <f t="shared" si="88"/>
        <v>0</v>
      </c>
      <c r="AW135" s="1977">
        <f t="shared" si="89"/>
        <v>0</v>
      </c>
      <c r="AX135" s="1977">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ht="15.6">
      <c r="A136" s="83"/>
      <c r="B136" s="1391"/>
      <c r="C136" s="1392"/>
      <c r="D136" s="79"/>
      <c r="E136" s="86">
        <f t="shared" si="87"/>
        <v>0</v>
      </c>
      <c r="F136" s="87"/>
      <c r="G136" s="88">
        <f t="shared" si="62"/>
        <v>0</v>
      </c>
      <c r="H136" s="89">
        <f t="shared" si="63"/>
        <v>0</v>
      </c>
      <c r="I136" s="1394"/>
      <c r="J136" s="90"/>
      <c r="K136" s="1394"/>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4"/>
      <c r="AG136" s="91"/>
      <c r="AH136" s="91"/>
      <c r="AI136" s="91"/>
      <c r="AJ136" s="91"/>
      <c r="AK136" s="91"/>
      <c r="AL136" s="91"/>
      <c r="AM136" s="91"/>
      <c r="AN136" s="91"/>
      <c r="AO136" s="91"/>
      <c r="AP136" s="91"/>
      <c r="AQ136" s="91"/>
      <c r="AR136" s="91"/>
      <c r="AS136" s="91"/>
      <c r="AT136" s="92"/>
      <c r="AU136" s="93"/>
      <c r="AV136" s="1977">
        <f t="shared" si="88"/>
        <v>0</v>
      </c>
      <c r="AW136" s="1977">
        <f t="shared" si="89"/>
        <v>0</v>
      </c>
      <c r="AX136" s="1977">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ht="15.6">
      <c r="A137" s="83"/>
      <c r="B137" s="1391"/>
      <c r="C137" s="1392"/>
      <c r="D137" s="79"/>
      <c r="E137" s="86">
        <f t="shared" si="87"/>
        <v>0</v>
      </c>
      <c r="F137" s="87"/>
      <c r="G137" s="88">
        <f t="shared" si="62"/>
        <v>0</v>
      </c>
      <c r="H137" s="89">
        <f t="shared" si="63"/>
        <v>0</v>
      </c>
      <c r="I137" s="1394"/>
      <c r="J137" s="90"/>
      <c r="K137" s="1394"/>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4"/>
      <c r="AG137" s="91"/>
      <c r="AH137" s="91"/>
      <c r="AI137" s="91"/>
      <c r="AJ137" s="91"/>
      <c r="AK137" s="91"/>
      <c r="AL137" s="91"/>
      <c r="AM137" s="91"/>
      <c r="AN137" s="91"/>
      <c r="AO137" s="91"/>
      <c r="AP137" s="91"/>
      <c r="AQ137" s="91"/>
      <c r="AR137" s="91"/>
      <c r="AS137" s="91"/>
      <c r="AT137" s="92"/>
      <c r="AU137" s="93"/>
      <c r="AV137" s="1977">
        <f t="shared" si="88"/>
        <v>0</v>
      </c>
      <c r="AW137" s="1977">
        <f t="shared" si="89"/>
        <v>0</v>
      </c>
      <c r="AX137" s="1977">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ht="15.6">
      <c r="A138" s="83"/>
      <c r="B138" s="1391"/>
      <c r="C138" s="1392"/>
      <c r="D138" s="79"/>
      <c r="E138" s="86">
        <f t="shared" si="87"/>
        <v>0</v>
      </c>
      <c r="F138" s="87"/>
      <c r="G138" s="88">
        <f t="shared" si="62"/>
        <v>0</v>
      </c>
      <c r="H138" s="89">
        <f t="shared" si="63"/>
        <v>0</v>
      </c>
      <c r="I138" s="1394"/>
      <c r="J138" s="90"/>
      <c r="K138" s="1394"/>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4"/>
      <c r="AG138" s="91"/>
      <c r="AH138" s="91"/>
      <c r="AI138" s="91"/>
      <c r="AJ138" s="91"/>
      <c r="AK138" s="91"/>
      <c r="AL138" s="91"/>
      <c r="AM138" s="91"/>
      <c r="AN138" s="91"/>
      <c r="AO138" s="91"/>
      <c r="AP138" s="91"/>
      <c r="AQ138" s="91"/>
      <c r="AR138" s="91"/>
      <c r="AS138" s="91"/>
      <c r="AT138" s="92"/>
      <c r="AU138" s="93"/>
      <c r="AV138" s="1977">
        <f t="shared" si="88"/>
        <v>0</v>
      </c>
      <c r="AW138" s="1977">
        <f t="shared" si="89"/>
        <v>0</v>
      </c>
      <c r="AX138" s="1977">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ht="15.6">
      <c r="A139" s="83"/>
      <c r="B139" s="1391"/>
      <c r="C139" s="1392"/>
      <c r="D139" s="79"/>
      <c r="E139" s="86">
        <f t="shared" si="87"/>
        <v>0</v>
      </c>
      <c r="F139" s="87"/>
      <c r="G139" s="88">
        <f t="shared" si="62"/>
        <v>0</v>
      </c>
      <c r="H139" s="89">
        <f t="shared" si="63"/>
        <v>0</v>
      </c>
      <c r="I139" s="1394"/>
      <c r="J139" s="90"/>
      <c r="K139" s="1394"/>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2"/>
      <c r="AG139" s="91"/>
      <c r="AH139" s="91"/>
      <c r="AI139" s="91"/>
      <c r="AJ139" s="91"/>
      <c r="AK139" s="91"/>
      <c r="AL139" s="91"/>
      <c r="AM139" s="91"/>
      <c r="AN139" s="91"/>
      <c r="AO139" s="91"/>
      <c r="AP139" s="91"/>
      <c r="AQ139" s="91"/>
      <c r="AR139" s="91"/>
      <c r="AS139" s="91"/>
      <c r="AT139" s="92"/>
      <c r="AU139" s="93"/>
      <c r="AV139" s="1977">
        <f t="shared" si="88"/>
        <v>0</v>
      </c>
      <c r="AW139" s="1977">
        <f t="shared" si="89"/>
        <v>0</v>
      </c>
      <c r="AX139" s="1977">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ht="15.6">
      <c r="A140" s="83"/>
      <c r="B140" s="1391"/>
      <c r="C140" s="1392"/>
      <c r="D140" s="79"/>
      <c r="E140" s="86">
        <f t="shared" si="87"/>
        <v>0</v>
      </c>
      <c r="F140" s="87"/>
      <c r="G140" s="88">
        <f t="shared" si="62"/>
        <v>0</v>
      </c>
      <c r="H140" s="89">
        <f t="shared" si="63"/>
        <v>0</v>
      </c>
      <c r="I140" s="1392"/>
      <c r="J140" s="90"/>
      <c r="K140" s="1392"/>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2"/>
      <c r="AG140" s="91"/>
      <c r="AH140" s="91"/>
      <c r="AI140" s="91"/>
      <c r="AJ140" s="91"/>
      <c r="AK140" s="91"/>
      <c r="AL140" s="91"/>
      <c r="AM140" s="91"/>
      <c r="AN140" s="91"/>
      <c r="AO140" s="91"/>
      <c r="AP140" s="91"/>
      <c r="AQ140" s="91"/>
      <c r="AR140" s="91"/>
      <c r="AS140" s="91"/>
      <c r="AT140" s="92"/>
      <c r="AU140" s="93"/>
      <c r="AV140" s="1977">
        <f t="shared" si="88"/>
        <v>0</v>
      </c>
      <c r="AW140" s="1977">
        <f t="shared" si="89"/>
        <v>0</v>
      </c>
      <c r="AX140" s="1977">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ht="15.6">
      <c r="A141" s="83"/>
      <c r="B141" s="1391"/>
      <c r="C141" s="1392"/>
      <c r="D141" s="79"/>
      <c r="E141" s="86">
        <f t="shared" si="87"/>
        <v>0</v>
      </c>
      <c r="F141" s="87"/>
      <c r="G141" s="88">
        <f t="shared" si="62"/>
        <v>0</v>
      </c>
      <c r="H141" s="89">
        <f t="shared" si="63"/>
        <v>0</v>
      </c>
      <c r="I141" s="1392"/>
      <c r="J141" s="90"/>
      <c r="K141" s="1392"/>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2"/>
      <c r="AG141" s="91"/>
      <c r="AH141" s="91"/>
      <c r="AI141" s="91"/>
      <c r="AJ141" s="91"/>
      <c r="AK141" s="91"/>
      <c r="AL141" s="91"/>
      <c r="AM141" s="91"/>
      <c r="AN141" s="91"/>
      <c r="AO141" s="91"/>
      <c r="AP141" s="91"/>
      <c r="AQ141" s="91"/>
      <c r="AR141" s="91"/>
      <c r="AS141" s="91"/>
      <c r="AT141" s="92"/>
      <c r="AU141" s="93"/>
      <c r="AV141" s="1977">
        <f t="shared" si="88"/>
        <v>0</v>
      </c>
      <c r="AW141" s="1977">
        <f t="shared" si="89"/>
        <v>0</v>
      </c>
      <c r="AX141" s="1977">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ht="15.6">
      <c r="A142" s="83"/>
      <c r="B142" s="1391"/>
      <c r="C142" s="1392"/>
      <c r="D142" s="79"/>
      <c r="E142" s="86">
        <f t="shared" si="87"/>
        <v>0</v>
      </c>
      <c r="F142" s="87"/>
      <c r="G142" s="88">
        <f t="shared" ref="G142:G173" si="91">H142+AC142+AT142</f>
        <v>0</v>
      </c>
      <c r="H142" s="89">
        <f t="shared" ref="H142:H173" si="92">SUMIF(I$12:AB$12,"总值",I142:AB142)</f>
        <v>0</v>
      </c>
      <c r="I142" s="1392"/>
      <c r="J142" s="90"/>
      <c r="K142" s="1392"/>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2"/>
      <c r="AG142" s="91"/>
      <c r="AH142" s="91"/>
      <c r="AI142" s="91"/>
      <c r="AJ142" s="91"/>
      <c r="AK142" s="91"/>
      <c r="AL142" s="91"/>
      <c r="AM142" s="91"/>
      <c r="AN142" s="91"/>
      <c r="AO142" s="91"/>
      <c r="AP142" s="91"/>
      <c r="AQ142" s="91"/>
      <c r="AR142" s="91"/>
      <c r="AS142" s="91"/>
      <c r="AT142" s="92"/>
      <c r="AU142" s="93"/>
      <c r="AV142" s="1977">
        <f t="shared" si="88"/>
        <v>0</v>
      </c>
      <c r="AW142" s="1977">
        <f t="shared" si="89"/>
        <v>0</v>
      </c>
      <c r="AX142" s="1977">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ht="15.6">
      <c r="A143" s="83"/>
      <c r="B143" s="1391"/>
      <c r="C143" s="1392"/>
      <c r="D143" s="79"/>
      <c r="E143" s="86">
        <f t="shared" si="87"/>
        <v>0</v>
      </c>
      <c r="F143" s="87"/>
      <c r="G143" s="88">
        <f t="shared" si="91"/>
        <v>0</v>
      </c>
      <c r="H143" s="89">
        <f t="shared" si="92"/>
        <v>0</v>
      </c>
      <c r="I143" s="1392"/>
      <c r="J143" s="90"/>
      <c r="K143" s="1392"/>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2"/>
      <c r="AG143" s="91"/>
      <c r="AH143" s="91"/>
      <c r="AI143" s="91"/>
      <c r="AJ143" s="91"/>
      <c r="AK143" s="91"/>
      <c r="AL143" s="91"/>
      <c r="AM143" s="91"/>
      <c r="AN143" s="91"/>
      <c r="AO143" s="91"/>
      <c r="AP143" s="91"/>
      <c r="AQ143" s="91"/>
      <c r="AR143" s="91"/>
      <c r="AS143" s="91"/>
      <c r="AT143" s="92"/>
      <c r="AU143" s="93"/>
      <c r="AV143" s="1977">
        <f t="shared" si="88"/>
        <v>0</v>
      </c>
      <c r="AW143" s="1977">
        <f t="shared" si="89"/>
        <v>0</v>
      </c>
      <c r="AX143" s="1977">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ht="15.6">
      <c r="A144" s="83"/>
      <c r="B144" s="1391"/>
      <c r="C144" s="1392"/>
      <c r="D144" s="79"/>
      <c r="E144" s="86">
        <f t="shared" si="87"/>
        <v>0</v>
      </c>
      <c r="F144" s="87"/>
      <c r="G144" s="88">
        <f t="shared" si="91"/>
        <v>0</v>
      </c>
      <c r="H144" s="89">
        <f t="shared" si="92"/>
        <v>0</v>
      </c>
      <c r="I144" s="1392"/>
      <c r="J144" s="90"/>
      <c r="K144" s="1392"/>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2"/>
      <c r="AG144" s="91"/>
      <c r="AH144" s="91"/>
      <c r="AI144" s="91"/>
      <c r="AJ144" s="91"/>
      <c r="AK144" s="91"/>
      <c r="AL144" s="91"/>
      <c r="AM144" s="91"/>
      <c r="AN144" s="91"/>
      <c r="AO144" s="91"/>
      <c r="AP144" s="91"/>
      <c r="AQ144" s="91"/>
      <c r="AR144" s="91"/>
      <c r="AS144" s="91"/>
      <c r="AT144" s="92"/>
      <c r="AU144" s="93"/>
      <c r="AV144" s="1977">
        <f t="shared" si="88"/>
        <v>0</v>
      </c>
      <c r="AW144" s="1977">
        <f t="shared" si="89"/>
        <v>0</v>
      </c>
      <c r="AX144" s="1977">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ht="15.6">
      <c r="A145" s="83"/>
      <c r="B145" s="1391"/>
      <c r="C145" s="1392"/>
      <c r="D145" s="79"/>
      <c r="E145" s="86">
        <f t="shared" ref="E145:E176" si="116">IF($C$3="是",ROUND($A$3*G145/$B$3,2),ROUND($A$3*(G145-AT145)/$B$3,2))</f>
        <v>0</v>
      </c>
      <c r="F145" s="87"/>
      <c r="G145" s="88">
        <f t="shared" si="91"/>
        <v>0</v>
      </c>
      <c r="H145" s="89">
        <f t="shared" si="92"/>
        <v>0</v>
      </c>
      <c r="I145" s="1392"/>
      <c r="J145" s="90"/>
      <c r="K145" s="1392"/>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2"/>
      <c r="AG145" s="91"/>
      <c r="AH145" s="91"/>
      <c r="AI145" s="91"/>
      <c r="AJ145" s="91"/>
      <c r="AK145" s="91"/>
      <c r="AL145" s="91"/>
      <c r="AM145" s="91"/>
      <c r="AN145" s="91"/>
      <c r="AO145" s="91"/>
      <c r="AP145" s="91"/>
      <c r="AQ145" s="91"/>
      <c r="AR145" s="91"/>
      <c r="AS145" s="91"/>
      <c r="AT145" s="92"/>
      <c r="AU145" s="93"/>
      <c r="AV145" s="1977">
        <f t="shared" ref="AV145:AV176" si="117">A145</f>
        <v>0</v>
      </c>
      <c r="AW145" s="1977">
        <f t="shared" ref="AW145:AW176" si="118">B145</f>
        <v>0</v>
      </c>
      <c r="AX145" s="1977">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ht="15.6">
      <c r="A146" s="83"/>
      <c r="B146" s="1391"/>
      <c r="C146" s="1392"/>
      <c r="D146" s="79"/>
      <c r="E146" s="86">
        <f t="shared" si="116"/>
        <v>0</v>
      </c>
      <c r="F146" s="87"/>
      <c r="G146" s="88">
        <f t="shared" si="91"/>
        <v>0</v>
      </c>
      <c r="H146" s="89">
        <f t="shared" si="92"/>
        <v>0</v>
      </c>
      <c r="I146" s="1392"/>
      <c r="J146" s="90"/>
      <c r="K146" s="1392"/>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2"/>
      <c r="AG146" s="91"/>
      <c r="AH146" s="91"/>
      <c r="AI146" s="91"/>
      <c r="AJ146" s="91"/>
      <c r="AK146" s="91"/>
      <c r="AL146" s="91"/>
      <c r="AM146" s="91"/>
      <c r="AN146" s="91"/>
      <c r="AO146" s="91"/>
      <c r="AP146" s="91"/>
      <c r="AQ146" s="91"/>
      <c r="AR146" s="91"/>
      <c r="AS146" s="91"/>
      <c r="AT146" s="92"/>
      <c r="AU146" s="93"/>
      <c r="AV146" s="1977">
        <f t="shared" si="117"/>
        <v>0</v>
      </c>
      <c r="AW146" s="1977">
        <f t="shared" si="118"/>
        <v>0</v>
      </c>
      <c r="AX146" s="1977">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ht="15.6">
      <c r="A147" s="83"/>
      <c r="B147" s="1393"/>
      <c r="C147" s="1394"/>
      <c r="D147" s="79"/>
      <c r="E147" s="86">
        <f t="shared" si="116"/>
        <v>0</v>
      </c>
      <c r="F147" s="87"/>
      <c r="G147" s="88">
        <f t="shared" si="91"/>
        <v>0</v>
      </c>
      <c r="H147" s="89">
        <f t="shared" si="92"/>
        <v>0</v>
      </c>
      <c r="I147" s="1392"/>
      <c r="J147" s="90"/>
      <c r="K147" s="1392"/>
      <c r="L147" s="90"/>
      <c r="M147" s="1392"/>
      <c r="N147" s="90"/>
      <c r="O147" s="90"/>
      <c r="P147" s="90"/>
      <c r="Q147" s="90"/>
      <c r="R147" s="90"/>
      <c r="S147" s="90"/>
      <c r="T147" s="90"/>
      <c r="U147" s="90"/>
      <c r="V147" s="90"/>
      <c r="W147" s="90"/>
      <c r="X147" s="90"/>
      <c r="Y147" s="90"/>
      <c r="Z147" s="90"/>
      <c r="AA147" s="90"/>
      <c r="AB147" s="90"/>
      <c r="AC147" s="86">
        <f t="shared" si="93"/>
        <v>0</v>
      </c>
      <c r="AD147" s="91"/>
      <c r="AE147" s="91"/>
      <c r="AF147" s="1392"/>
      <c r="AG147" s="91"/>
      <c r="AH147" s="91"/>
      <c r="AI147" s="91"/>
      <c r="AJ147" s="91"/>
      <c r="AK147" s="91"/>
      <c r="AL147" s="91"/>
      <c r="AM147" s="91"/>
      <c r="AN147" s="91"/>
      <c r="AO147" s="91"/>
      <c r="AP147" s="91"/>
      <c r="AQ147" s="91"/>
      <c r="AR147" s="91"/>
      <c r="AS147" s="91"/>
      <c r="AT147" s="92"/>
      <c r="AU147" s="93"/>
      <c r="AV147" s="1977">
        <f t="shared" si="117"/>
        <v>0</v>
      </c>
      <c r="AW147" s="1977">
        <f t="shared" si="118"/>
        <v>0</v>
      </c>
      <c r="AX147" s="1977">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7">
        <f t="shared" si="117"/>
        <v>0</v>
      </c>
      <c r="AW148" s="1977">
        <f t="shared" si="118"/>
        <v>0</v>
      </c>
      <c r="AX148" s="1977">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7">
        <f t="shared" si="117"/>
        <v>0</v>
      </c>
      <c r="AW149" s="1977">
        <f t="shared" si="118"/>
        <v>0</v>
      </c>
      <c r="AX149" s="1977">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7">
        <f t="shared" si="117"/>
        <v>0</v>
      </c>
      <c r="AW150" s="1977">
        <f t="shared" si="118"/>
        <v>0</v>
      </c>
      <c r="AX150" s="1977">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7">
        <f t="shared" si="117"/>
        <v>0</v>
      </c>
      <c r="AW151" s="1977">
        <f t="shared" si="118"/>
        <v>0</v>
      </c>
      <c r="AX151" s="1977">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7">
        <f t="shared" si="117"/>
        <v>0</v>
      </c>
      <c r="AW152" s="1977">
        <f t="shared" si="118"/>
        <v>0</v>
      </c>
      <c r="AX152" s="1977">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7">
        <f t="shared" si="117"/>
        <v>0</v>
      </c>
      <c r="AW153" s="1977">
        <f t="shared" si="118"/>
        <v>0</v>
      </c>
      <c r="AX153" s="1977">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7">
        <f t="shared" si="117"/>
        <v>0</v>
      </c>
      <c r="AW154" s="1977">
        <f t="shared" si="118"/>
        <v>0</v>
      </c>
      <c r="AX154" s="1977">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7">
        <f t="shared" si="117"/>
        <v>0</v>
      </c>
      <c r="AW155" s="1977">
        <f t="shared" si="118"/>
        <v>0</v>
      </c>
      <c r="AX155" s="1977">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7">
        <f t="shared" si="117"/>
        <v>0</v>
      </c>
      <c r="AW156" s="1977">
        <f t="shared" si="118"/>
        <v>0</v>
      </c>
      <c r="AX156" s="1977">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7">
        <f t="shared" si="117"/>
        <v>0</v>
      </c>
      <c r="AW157" s="1977">
        <f t="shared" si="118"/>
        <v>0</v>
      </c>
      <c r="AX157" s="1977">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7">
        <f t="shared" si="117"/>
        <v>0</v>
      </c>
      <c r="AW158" s="1977">
        <f t="shared" si="118"/>
        <v>0</v>
      </c>
      <c r="AX158" s="1977">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7">
        <f t="shared" si="117"/>
        <v>0</v>
      </c>
      <c r="AW159" s="1977">
        <f t="shared" si="118"/>
        <v>0</v>
      </c>
      <c r="AX159" s="1977">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7">
        <f t="shared" si="117"/>
        <v>0</v>
      </c>
      <c r="AW160" s="1977">
        <f t="shared" si="118"/>
        <v>0</v>
      </c>
      <c r="AX160" s="1977">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7">
        <f t="shared" si="117"/>
        <v>0</v>
      </c>
      <c r="AW161" s="1977">
        <f t="shared" si="118"/>
        <v>0</v>
      </c>
      <c r="AX161" s="1977">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7">
        <f t="shared" si="117"/>
        <v>0</v>
      </c>
      <c r="AW162" s="1977">
        <f t="shared" si="118"/>
        <v>0</v>
      </c>
      <c r="AX162" s="1977">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7">
        <f t="shared" si="117"/>
        <v>0</v>
      </c>
      <c r="AW163" s="1977">
        <f t="shared" si="118"/>
        <v>0</v>
      </c>
      <c r="AX163" s="1977">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7">
        <f t="shared" si="117"/>
        <v>0</v>
      </c>
      <c r="AW164" s="1977">
        <f t="shared" si="118"/>
        <v>0</v>
      </c>
      <c r="AX164" s="1977">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7">
        <f t="shared" si="117"/>
        <v>0</v>
      </c>
      <c r="AW165" s="1977">
        <f t="shared" si="118"/>
        <v>0</v>
      </c>
      <c r="AX165" s="1977">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7">
        <f t="shared" si="117"/>
        <v>0</v>
      </c>
      <c r="AW166" s="1977">
        <f t="shared" si="118"/>
        <v>0</v>
      </c>
      <c r="AX166" s="1977">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7">
        <f t="shared" si="117"/>
        <v>0</v>
      </c>
      <c r="AW167" s="1977">
        <f t="shared" si="118"/>
        <v>0</v>
      </c>
      <c r="AX167" s="1977">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7">
        <f t="shared" si="117"/>
        <v>0</v>
      </c>
      <c r="AW168" s="1977">
        <f t="shared" si="118"/>
        <v>0</v>
      </c>
      <c r="AX168" s="1977">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7">
        <f t="shared" si="117"/>
        <v>0</v>
      </c>
      <c r="AW169" s="1977">
        <f t="shared" si="118"/>
        <v>0</v>
      </c>
      <c r="AX169" s="1977">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7">
        <f t="shared" si="117"/>
        <v>0</v>
      </c>
      <c r="AW170" s="1977">
        <f t="shared" si="118"/>
        <v>0</v>
      </c>
      <c r="AX170" s="1977">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7">
        <f t="shared" si="117"/>
        <v>0</v>
      </c>
      <c r="AW171" s="1977">
        <f t="shared" si="118"/>
        <v>0</v>
      </c>
      <c r="AX171" s="1977">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7">
        <f t="shared" si="117"/>
        <v>0</v>
      </c>
      <c r="AW172" s="1977">
        <f t="shared" si="118"/>
        <v>0</v>
      </c>
      <c r="AX172" s="1977">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7">
        <f t="shared" si="117"/>
        <v>0</v>
      </c>
      <c r="AW173" s="1977">
        <f t="shared" si="118"/>
        <v>0</v>
      </c>
      <c r="AX173" s="1977">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7">
        <f t="shared" si="117"/>
        <v>0</v>
      </c>
      <c r="AW174" s="1977">
        <f t="shared" si="118"/>
        <v>0</v>
      </c>
      <c r="AX174" s="1977">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7">
        <f t="shared" si="117"/>
        <v>0</v>
      </c>
      <c r="AW175" s="1977">
        <f t="shared" si="118"/>
        <v>0</v>
      </c>
      <c r="AX175" s="1977">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7">
        <f t="shared" si="117"/>
        <v>0</v>
      </c>
      <c r="AW176" s="1977">
        <f t="shared" si="118"/>
        <v>0</v>
      </c>
      <c r="AX176" s="1977">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7">
        <f t="shared" ref="AV177:AV204" si="146">A177</f>
        <v>0</v>
      </c>
      <c r="AW177" s="1977">
        <f t="shared" ref="AW177:AW204" si="147">B177</f>
        <v>0</v>
      </c>
      <c r="AX177" s="1977">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7">
        <f t="shared" si="146"/>
        <v>0</v>
      </c>
      <c r="AW178" s="1977">
        <f t="shared" si="147"/>
        <v>0</v>
      </c>
      <c r="AX178" s="1977">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7">
        <f t="shared" si="146"/>
        <v>0</v>
      </c>
      <c r="AW179" s="1977">
        <f t="shared" si="147"/>
        <v>0</v>
      </c>
      <c r="AX179" s="1977">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7">
        <f t="shared" si="146"/>
        <v>0</v>
      </c>
      <c r="AW180" s="1977">
        <f t="shared" si="147"/>
        <v>0</v>
      </c>
      <c r="AX180" s="1977">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7">
        <f t="shared" si="146"/>
        <v>0</v>
      </c>
      <c r="AW181" s="1977">
        <f t="shared" si="147"/>
        <v>0</v>
      </c>
      <c r="AX181" s="1977">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7">
        <f t="shared" si="146"/>
        <v>0</v>
      </c>
      <c r="AW182" s="1977">
        <f t="shared" si="147"/>
        <v>0</v>
      </c>
      <c r="AX182" s="1977">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7">
        <f t="shared" si="146"/>
        <v>0</v>
      </c>
      <c r="AW183" s="1977">
        <f t="shared" si="147"/>
        <v>0</v>
      </c>
      <c r="AX183" s="1977">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7">
        <f t="shared" si="146"/>
        <v>0</v>
      </c>
      <c r="AW184" s="1977">
        <f t="shared" si="147"/>
        <v>0</v>
      </c>
      <c r="AX184" s="1977">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7">
        <f t="shared" si="146"/>
        <v>0</v>
      </c>
      <c r="AW185" s="1977">
        <f t="shared" si="147"/>
        <v>0</v>
      </c>
      <c r="AX185" s="1977">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7">
        <f t="shared" si="146"/>
        <v>0</v>
      </c>
      <c r="AW186" s="1977">
        <f t="shared" si="147"/>
        <v>0</v>
      </c>
      <c r="AX186" s="1977">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7">
        <f t="shared" si="146"/>
        <v>0</v>
      </c>
      <c r="AW187" s="1977">
        <f t="shared" si="147"/>
        <v>0</v>
      </c>
      <c r="AX187" s="1977">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7">
        <f t="shared" si="146"/>
        <v>0</v>
      </c>
      <c r="AW188" s="1977">
        <f t="shared" si="147"/>
        <v>0</v>
      </c>
      <c r="AX188" s="1977">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7">
        <f t="shared" si="146"/>
        <v>0</v>
      </c>
      <c r="AW189" s="1977">
        <f t="shared" si="147"/>
        <v>0</v>
      </c>
      <c r="AX189" s="1977">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7">
        <f t="shared" si="146"/>
        <v>0</v>
      </c>
      <c r="AW190" s="1977">
        <f t="shared" si="147"/>
        <v>0</v>
      </c>
      <c r="AX190" s="1977">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7">
        <f t="shared" si="146"/>
        <v>0</v>
      </c>
      <c r="AW191" s="1977">
        <f t="shared" si="147"/>
        <v>0</v>
      </c>
      <c r="AX191" s="1977">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7">
        <f t="shared" si="146"/>
        <v>0</v>
      </c>
      <c r="AW192" s="1977">
        <f t="shared" si="147"/>
        <v>0</v>
      </c>
      <c r="AX192" s="1977">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7">
        <f t="shared" si="146"/>
        <v>0</v>
      </c>
      <c r="AW193" s="1977">
        <f t="shared" si="147"/>
        <v>0</v>
      </c>
      <c r="AX193" s="1977">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7">
        <f t="shared" si="146"/>
        <v>0</v>
      </c>
      <c r="AW194" s="1977">
        <f t="shared" si="147"/>
        <v>0</v>
      </c>
      <c r="AX194" s="1977">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7">
        <f t="shared" si="146"/>
        <v>0</v>
      </c>
      <c r="AW195" s="1977">
        <f t="shared" si="147"/>
        <v>0</v>
      </c>
      <c r="AX195" s="1977">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7">
        <f t="shared" si="146"/>
        <v>0</v>
      </c>
      <c r="AW196" s="1977">
        <f t="shared" si="147"/>
        <v>0</v>
      </c>
      <c r="AX196" s="1977">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7">
        <f t="shared" si="146"/>
        <v>0</v>
      </c>
      <c r="AW197" s="1977">
        <f t="shared" si="147"/>
        <v>0</v>
      </c>
      <c r="AX197" s="1977">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7">
        <f t="shared" si="146"/>
        <v>0</v>
      </c>
      <c r="AW198" s="1977">
        <f t="shared" si="147"/>
        <v>0</v>
      </c>
      <c r="AX198" s="1977">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7">
        <f t="shared" si="146"/>
        <v>0</v>
      </c>
      <c r="AW199" s="1977">
        <f t="shared" si="147"/>
        <v>0</v>
      </c>
      <c r="AX199" s="1977">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7">
        <f t="shared" si="146"/>
        <v>0</v>
      </c>
      <c r="AW200" s="1977">
        <f t="shared" si="147"/>
        <v>0</v>
      </c>
      <c r="AX200" s="1977">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7">
        <f t="shared" si="146"/>
        <v>0</v>
      </c>
      <c r="AW201" s="1977">
        <f t="shared" si="147"/>
        <v>0</v>
      </c>
      <c r="AX201" s="1977">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7">
        <f t="shared" si="146"/>
        <v>0</v>
      </c>
      <c r="AW202" s="1977">
        <f t="shared" si="147"/>
        <v>0</v>
      </c>
      <c r="AX202" s="1977">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7">
        <f t="shared" si="146"/>
        <v>0</v>
      </c>
      <c r="AW203" s="1977">
        <f t="shared" si="147"/>
        <v>0</v>
      </c>
      <c r="AX203" s="1977">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7">
        <f t="shared" si="146"/>
        <v>0</v>
      </c>
      <c r="AW204" s="1977">
        <f t="shared" si="147"/>
        <v>0</v>
      </c>
      <c r="AX204" s="1977">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ht="15.6">
      <c r="A205" s="83"/>
      <c r="B205" s="1391"/>
      <c r="C205" s="1392"/>
      <c r="D205" s="79"/>
      <c r="E205" s="86">
        <f t="shared" ref="E205:E296" si="149">IF($C$3="是",ROUND($A$3*G205/$B$3,2),ROUND($A$3*(G205-AT205)/$B$3,2))</f>
        <v>0</v>
      </c>
      <c r="F205" s="87"/>
      <c r="G205" s="88">
        <f t="shared" ref="G205:G293" si="150">H205+AC205+AT205</f>
        <v>0</v>
      </c>
      <c r="H205" s="89">
        <f t="shared" ref="H205:H293" si="151">SUMIF(I$12:AB$12,"总值",I205:AB205)</f>
        <v>0</v>
      </c>
      <c r="I205" s="1394"/>
      <c r="J205" s="90"/>
      <c r="K205" s="1394"/>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5"/>
      <c r="AG205" s="91"/>
      <c r="AH205" s="91"/>
      <c r="AI205" s="91"/>
      <c r="AJ205" s="91"/>
      <c r="AK205" s="91"/>
      <c r="AL205" s="91"/>
      <c r="AM205" s="91"/>
      <c r="AN205" s="1362"/>
      <c r="AO205" s="91"/>
      <c r="AP205" s="91"/>
      <c r="AQ205" s="91"/>
      <c r="AR205" s="91"/>
      <c r="AS205" s="91"/>
      <c r="AT205" s="92"/>
      <c r="AU205" s="93"/>
      <c r="AV205" s="1977">
        <f t="shared" ref="AV205:AV296" si="153">A205</f>
        <v>0</v>
      </c>
      <c r="AW205" s="1977">
        <f t="shared" ref="AW205:AW296" si="154">B205</f>
        <v>0</v>
      </c>
      <c r="AX205" s="1977">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ht="15.6">
      <c r="A206" s="83"/>
      <c r="B206" s="1391"/>
      <c r="C206" s="1392"/>
      <c r="D206" s="79"/>
      <c r="E206" s="86">
        <f t="shared" si="149"/>
        <v>0</v>
      </c>
      <c r="F206" s="87"/>
      <c r="G206" s="88">
        <f t="shared" si="150"/>
        <v>0</v>
      </c>
      <c r="H206" s="89">
        <f t="shared" si="151"/>
        <v>0</v>
      </c>
      <c r="I206" s="1394"/>
      <c r="J206" s="90"/>
      <c r="K206" s="1394"/>
      <c r="L206" s="90"/>
      <c r="M206" s="1362"/>
      <c r="N206" s="90"/>
      <c r="O206" s="90"/>
      <c r="P206" s="90"/>
      <c r="Q206" s="90"/>
      <c r="R206" s="90"/>
      <c r="S206" s="90"/>
      <c r="T206" s="90"/>
      <c r="U206" s="90"/>
      <c r="V206" s="90"/>
      <c r="W206" s="90"/>
      <c r="X206" s="90"/>
      <c r="Y206" s="90"/>
      <c r="Z206" s="90"/>
      <c r="AA206" s="90"/>
      <c r="AB206" s="90"/>
      <c r="AC206" s="86">
        <f t="shared" si="152"/>
        <v>0</v>
      </c>
      <c r="AD206" s="1362"/>
      <c r="AE206" s="91"/>
      <c r="AF206" s="1395"/>
      <c r="AG206" s="91"/>
      <c r="AH206" s="91"/>
      <c r="AI206" s="91"/>
      <c r="AJ206" s="91"/>
      <c r="AK206" s="91"/>
      <c r="AL206" s="1362"/>
      <c r="AM206" s="91"/>
      <c r="AN206" s="1362"/>
      <c r="AO206" s="91"/>
      <c r="AP206" s="91"/>
      <c r="AQ206" s="91"/>
      <c r="AR206" s="91"/>
      <c r="AS206" s="91"/>
      <c r="AT206" s="92"/>
      <c r="AU206" s="93"/>
      <c r="AV206" s="1977">
        <f t="shared" si="153"/>
        <v>0</v>
      </c>
      <c r="AW206" s="1977">
        <f t="shared" si="154"/>
        <v>0</v>
      </c>
      <c r="AX206" s="1977">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ht="15.6">
      <c r="A207" s="83"/>
      <c r="B207" s="1391"/>
      <c r="C207" s="1392"/>
      <c r="D207" s="79"/>
      <c r="E207" s="86">
        <f t="shared" si="149"/>
        <v>0</v>
      </c>
      <c r="F207" s="87"/>
      <c r="G207" s="88">
        <f t="shared" si="150"/>
        <v>0</v>
      </c>
      <c r="H207" s="89">
        <f t="shared" si="151"/>
        <v>0</v>
      </c>
      <c r="I207" s="1394"/>
      <c r="J207" s="90"/>
      <c r="K207" s="1394"/>
      <c r="L207" s="90"/>
      <c r="M207" s="1362"/>
      <c r="N207" s="90"/>
      <c r="O207" s="90"/>
      <c r="P207" s="90"/>
      <c r="Q207" s="90"/>
      <c r="R207" s="90"/>
      <c r="S207" s="90"/>
      <c r="T207" s="90"/>
      <c r="U207" s="90"/>
      <c r="V207" s="90"/>
      <c r="W207" s="90"/>
      <c r="X207" s="90"/>
      <c r="Y207" s="90"/>
      <c r="Z207" s="90"/>
      <c r="AA207" s="90"/>
      <c r="AB207" s="90"/>
      <c r="AC207" s="86">
        <f t="shared" si="152"/>
        <v>0</v>
      </c>
      <c r="AD207" s="91"/>
      <c r="AE207" s="91"/>
      <c r="AF207" s="1395"/>
      <c r="AG207" s="91"/>
      <c r="AH207" s="91"/>
      <c r="AI207" s="91"/>
      <c r="AJ207" s="91"/>
      <c r="AK207" s="91"/>
      <c r="AL207" s="1362"/>
      <c r="AM207" s="91"/>
      <c r="AN207" s="1362"/>
      <c r="AO207" s="91"/>
      <c r="AP207" s="91"/>
      <c r="AQ207" s="91"/>
      <c r="AR207" s="91"/>
      <c r="AS207" s="91"/>
      <c r="AT207" s="92"/>
      <c r="AU207" s="93"/>
      <c r="AV207" s="1977">
        <f t="shared" si="153"/>
        <v>0</v>
      </c>
      <c r="AW207" s="1977">
        <f t="shared" si="154"/>
        <v>0</v>
      </c>
      <c r="AX207" s="1977">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ht="15.6">
      <c r="A208" s="83"/>
      <c r="B208" s="1391"/>
      <c r="C208" s="1392"/>
      <c r="D208" s="79"/>
      <c r="E208" s="86">
        <f t="shared" si="149"/>
        <v>0</v>
      </c>
      <c r="F208" s="87"/>
      <c r="G208" s="88">
        <f t="shared" si="150"/>
        <v>0</v>
      </c>
      <c r="H208" s="89">
        <f t="shared" si="151"/>
        <v>0</v>
      </c>
      <c r="I208" s="1394"/>
      <c r="J208" s="90"/>
      <c r="K208" s="1394"/>
      <c r="L208" s="90"/>
      <c r="M208" s="90"/>
      <c r="N208" s="90"/>
      <c r="O208" s="1362"/>
      <c r="P208" s="90"/>
      <c r="Q208" s="90"/>
      <c r="R208" s="90"/>
      <c r="S208" s="90"/>
      <c r="T208" s="90"/>
      <c r="U208" s="90"/>
      <c r="V208" s="90"/>
      <c r="W208" s="90"/>
      <c r="X208" s="90"/>
      <c r="Y208" s="90"/>
      <c r="Z208" s="90"/>
      <c r="AA208" s="90"/>
      <c r="AB208" s="90"/>
      <c r="AC208" s="86">
        <f t="shared" si="152"/>
        <v>0</v>
      </c>
      <c r="AD208" s="91"/>
      <c r="AE208" s="91"/>
      <c r="AF208" s="1395"/>
      <c r="AG208" s="91"/>
      <c r="AH208" s="91"/>
      <c r="AI208" s="91"/>
      <c r="AJ208" s="91"/>
      <c r="AK208" s="91"/>
      <c r="AL208" s="91"/>
      <c r="AM208" s="91"/>
      <c r="AN208" s="1362"/>
      <c r="AO208" s="91"/>
      <c r="AP208" s="91"/>
      <c r="AQ208" s="91"/>
      <c r="AR208" s="91"/>
      <c r="AS208" s="91"/>
      <c r="AT208" s="92"/>
      <c r="AU208" s="93"/>
      <c r="AV208" s="1977">
        <f t="shared" si="153"/>
        <v>0</v>
      </c>
      <c r="AW208" s="1977">
        <f t="shared" si="154"/>
        <v>0</v>
      </c>
      <c r="AX208" s="1977">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ht="15.6">
      <c r="A209" s="83"/>
      <c r="B209" s="1391"/>
      <c r="C209" s="1392"/>
      <c r="D209" s="79"/>
      <c r="E209" s="86">
        <f t="shared" si="149"/>
        <v>0</v>
      </c>
      <c r="F209" s="87"/>
      <c r="G209" s="88">
        <f t="shared" si="150"/>
        <v>0</v>
      </c>
      <c r="H209" s="89">
        <f t="shared" si="151"/>
        <v>0</v>
      </c>
      <c r="I209" s="1394"/>
      <c r="J209" s="90"/>
      <c r="K209" s="1394"/>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5"/>
      <c r="AG209" s="91"/>
      <c r="AH209" s="91"/>
      <c r="AI209" s="91"/>
      <c r="AJ209" s="91"/>
      <c r="AK209" s="91"/>
      <c r="AL209" s="91"/>
      <c r="AM209" s="91"/>
      <c r="AN209" s="91"/>
      <c r="AO209" s="91"/>
      <c r="AP209" s="91"/>
      <c r="AQ209" s="91"/>
      <c r="AR209" s="91"/>
      <c r="AS209" s="91"/>
      <c r="AT209" s="92"/>
      <c r="AU209" s="93"/>
      <c r="AV209" s="1977">
        <f t="shared" si="153"/>
        <v>0</v>
      </c>
      <c r="AW209" s="1977">
        <f t="shared" si="154"/>
        <v>0</v>
      </c>
      <c r="AX209" s="1977">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ht="15.6">
      <c r="A210" s="83"/>
      <c r="B210" s="1391"/>
      <c r="C210" s="1392"/>
      <c r="D210" s="79"/>
      <c r="E210" s="86">
        <f t="shared" si="149"/>
        <v>0</v>
      </c>
      <c r="F210" s="87"/>
      <c r="G210" s="88">
        <f t="shared" si="150"/>
        <v>0</v>
      </c>
      <c r="H210" s="89">
        <f t="shared" si="151"/>
        <v>0</v>
      </c>
      <c r="I210" s="1394"/>
      <c r="J210" s="90"/>
      <c r="K210" s="1394"/>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5"/>
      <c r="AG210" s="91"/>
      <c r="AH210" s="91"/>
      <c r="AI210" s="91"/>
      <c r="AJ210" s="91"/>
      <c r="AK210" s="91"/>
      <c r="AL210" s="91"/>
      <c r="AM210" s="91"/>
      <c r="AN210" s="91"/>
      <c r="AO210" s="91"/>
      <c r="AP210" s="91"/>
      <c r="AQ210" s="91"/>
      <c r="AR210" s="91"/>
      <c r="AS210" s="91"/>
      <c r="AT210" s="92"/>
      <c r="AU210" s="93"/>
      <c r="AV210" s="1977">
        <f t="shared" si="153"/>
        <v>0</v>
      </c>
      <c r="AW210" s="1977">
        <f t="shared" si="154"/>
        <v>0</v>
      </c>
      <c r="AX210" s="1977">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ht="15.6">
      <c r="A211" s="83"/>
      <c r="B211" s="1391"/>
      <c r="C211" s="1392"/>
      <c r="D211" s="79"/>
      <c r="E211" s="86">
        <f t="shared" si="149"/>
        <v>0</v>
      </c>
      <c r="F211" s="87"/>
      <c r="G211" s="88">
        <f t="shared" si="150"/>
        <v>0</v>
      </c>
      <c r="H211" s="89">
        <f t="shared" si="151"/>
        <v>0</v>
      </c>
      <c r="I211" s="1394"/>
      <c r="J211" s="90"/>
      <c r="K211" s="1394"/>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5"/>
      <c r="AG211" s="91"/>
      <c r="AH211" s="91"/>
      <c r="AI211" s="91"/>
      <c r="AJ211" s="91"/>
      <c r="AK211" s="91"/>
      <c r="AL211" s="91"/>
      <c r="AM211" s="91"/>
      <c r="AN211" s="91"/>
      <c r="AO211" s="91"/>
      <c r="AP211" s="91"/>
      <c r="AQ211" s="91"/>
      <c r="AR211" s="91"/>
      <c r="AS211" s="91"/>
      <c r="AT211" s="92"/>
      <c r="AU211" s="93"/>
      <c r="AV211" s="1977">
        <f t="shared" si="153"/>
        <v>0</v>
      </c>
      <c r="AW211" s="1977">
        <f t="shared" si="154"/>
        <v>0</v>
      </c>
      <c r="AX211" s="1977">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ht="15.6">
      <c r="A212" s="83"/>
      <c r="B212" s="1391"/>
      <c r="C212" s="1392"/>
      <c r="D212" s="79"/>
      <c r="E212" s="86">
        <f t="shared" si="149"/>
        <v>0</v>
      </c>
      <c r="F212" s="87"/>
      <c r="G212" s="88">
        <f t="shared" si="150"/>
        <v>0</v>
      </c>
      <c r="H212" s="89">
        <f t="shared" si="151"/>
        <v>0</v>
      </c>
      <c r="I212" s="1394"/>
      <c r="J212" s="90"/>
      <c r="K212" s="1394"/>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4"/>
      <c r="AG212" s="91"/>
      <c r="AH212" s="91"/>
      <c r="AI212" s="91"/>
      <c r="AJ212" s="91"/>
      <c r="AK212" s="91"/>
      <c r="AL212" s="91"/>
      <c r="AM212" s="91"/>
      <c r="AN212" s="91"/>
      <c r="AO212" s="91"/>
      <c r="AP212" s="91"/>
      <c r="AQ212" s="91"/>
      <c r="AR212" s="91"/>
      <c r="AS212" s="91"/>
      <c r="AT212" s="92"/>
      <c r="AU212" s="93"/>
      <c r="AV212" s="1977">
        <f t="shared" si="153"/>
        <v>0</v>
      </c>
      <c r="AW212" s="1977">
        <f t="shared" si="154"/>
        <v>0</v>
      </c>
      <c r="AX212" s="1977">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ht="15.6">
      <c r="A213" s="83"/>
      <c r="B213" s="1393"/>
      <c r="C213" s="1394"/>
      <c r="D213" s="79"/>
      <c r="E213" s="86">
        <f t="shared" si="149"/>
        <v>0</v>
      </c>
      <c r="F213" s="87"/>
      <c r="G213" s="88">
        <f t="shared" si="150"/>
        <v>0</v>
      </c>
      <c r="H213" s="89">
        <f t="shared" si="151"/>
        <v>0</v>
      </c>
      <c r="I213" s="1394"/>
      <c r="J213" s="90"/>
      <c r="K213" s="1394"/>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4"/>
      <c r="AG213" s="91"/>
      <c r="AH213" s="91"/>
      <c r="AI213" s="91"/>
      <c r="AJ213" s="91"/>
      <c r="AK213" s="91"/>
      <c r="AL213" s="91"/>
      <c r="AM213" s="91"/>
      <c r="AN213" s="91"/>
      <c r="AO213" s="91"/>
      <c r="AP213" s="91"/>
      <c r="AQ213" s="91"/>
      <c r="AR213" s="91"/>
      <c r="AS213" s="91"/>
      <c r="AT213" s="92"/>
      <c r="AU213" s="93"/>
      <c r="AV213" s="1977">
        <f t="shared" si="153"/>
        <v>0</v>
      </c>
      <c r="AW213" s="1977">
        <f t="shared" si="154"/>
        <v>0</v>
      </c>
      <c r="AX213" s="1977">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ht="15.6">
      <c r="A214" s="83"/>
      <c r="B214" s="1391"/>
      <c r="C214" s="1392"/>
      <c r="D214" s="79"/>
      <c r="E214" s="86">
        <f t="shared" si="149"/>
        <v>0</v>
      </c>
      <c r="F214" s="87"/>
      <c r="G214" s="88">
        <f t="shared" si="150"/>
        <v>0</v>
      </c>
      <c r="H214" s="89">
        <f t="shared" si="151"/>
        <v>0</v>
      </c>
      <c r="I214" s="1394"/>
      <c r="J214" s="90"/>
      <c r="K214" s="1394"/>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4"/>
      <c r="AG214" s="91"/>
      <c r="AH214" s="91"/>
      <c r="AI214" s="91"/>
      <c r="AJ214" s="91"/>
      <c r="AK214" s="91"/>
      <c r="AL214" s="91"/>
      <c r="AM214" s="91"/>
      <c r="AN214" s="91"/>
      <c r="AO214" s="91"/>
      <c r="AP214" s="91"/>
      <c r="AQ214" s="91"/>
      <c r="AR214" s="91"/>
      <c r="AS214" s="91"/>
      <c r="AT214" s="92"/>
      <c r="AU214" s="93"/>
      <c r="AV214" s="1977">
        <f t="shared" si="153"/>
        <v>0</v>
      </c>
      <c r="AW214" s="1977">
        <f t="shared" si="154"/>
        <v>0</v>
      </c>
      <c r="AX214" s="1977">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ht="15.6">
      <c r="A215" s="83"/>
      <c r="B215" s="1391"/>
      <c r="C215" s="1392"/>
      <c r="D215" s="79"/>
      <c r="E215" s="86">
        <f t="shared" si="149"/>
        <v>0</v>
      </c>
      <c r="F215" s="87"/>
      <c r="G215" s="88">
        <f t="shared" si="150"/>
        <v>0</v>
      </c>
      <c r="H215" s="89">
        <f t="shared" si="151"/>
        <v>0</v>
      </c>
      <c r="I215" s="1394"/>
      <c r="J215" s="90"/>
      <c r="K215" s="1394"/>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4"/>
      <c r="AG215" s="91"/>
      <c r="AH215" s="91"/>
      <c r="AI215" s="91"/>
      <c r="AJ215" s="91"/>
      <c r="AK215" s="91"/>
      <c r="AL215" s="91"/>
      <c r="AM215" s="91"/>
      <c r="AN215" s="91"/>
      <c r="AO215" s="91"/>
      <c r="AP215" s="91"/>
      <c r="AQ215" s="91"/>
      <c r="AR215" s="91"/>
      <c r="AS215" s="91"/>
      <c r="AT215" s="92"/>
      <c r="AU215" s="93"/>
      <c r="AV215" s="1977">
        <f t="shared" si="153"/>
        <v>0</v>
      </c>
      <c r="AW215" s="1977">
        <f t="shared" si="154"/>
        <v>0</v>
      </c>
      <c r="AX215" s="1977">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ht="15.6">
      <c r="A216" s="83"/>
      <c r="B216" s="1391"/>
      <c r="C216" s="1392"/>
      <c r="D216" s="79"/>
      <c r="E216" s="86">
        <f t="shared" si="149"/>
        <v>0</v>
      </c>
      <c r="F216" s="87"/>
      <c r="G216" s="88">
        <f t="shared" si="150"/>
        <v>0</v>
      </c>
      <c r="H216" s="89">
        <f t="shared" si="151"/>
        <v>0</v>
      </c>
      <c r="I216" s="1394"/>
      <c r="J216" s="90"/>
      <c r="K216" s="1394"/>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4"/>
      <c r="AG216" s="91"/>
      <c r="AH216" s="91"/>
      <c r="AI216" s="91"/>
      <c r="AJ216" s="91"/>
      <c r="AK216" s="91"/>
      <c r="AL216" s="91"/>
      <c r="AM216" s="91"/>
      <c r="AN216" s="91"/>
      <c r="AO216" s="91"/>
      <c r="AP216" s="91"/>
      <c r="AQ216" s="91"/>
      <c r="AR216" s="91"/>
      <c r="AS216" s="91"/>
      <c r="AT216" s="92"/>
      <c r="AU216" s="93"/>
      <c r="AV216" s="1977">
        <f t="shared" si="153"/>
        <v>0</v>
      </c>
      <c r="AW216" s="1977">
        <f t="shared" si="154"/>
        <v>0</v>
      </c>
      <c r="AX216" s="1977">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ht="15.6">
      <c r="A217" s="83"/>
      <c r="B217" s="1391"/>
      <c r="C217" s="1392"/>
      <c r="D217" s="79"/>
      <c r="E217" s="86">
        <f t="shared" si="149"/>
        <v>0</v>
      </c>
      <c r="F217" s="87"/>
      <c r="G217" s="88">
        <f t="shared" si="150"/>
        <v>0</v>
      </c>
      <c r="H217" s="89">
        <f t="shared" si="151"/>
        <v>0</v>
      </c>
      <c r="I217" s="1394"/>
      <c r="J217" s="90"/>
      <c r="K217" s="1394"/>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4"/>
      <c r="AG217" s="91"/>
      <c r="AH217" s="91"/>
      <c r="AI217" s="91"/>
      <c r="AJ217" s="91"/>
      <c r="AK217" s="91"/>
      <c r="AL217" s="91"/>
      <c r="AM217" s="91"/>
      <c r="AN217" s="91"/>
      <c r="AO217" s="91"/>
      <c r="AP217" s="91"/>
      <c r="AQ217" s="91"/>
      <c r="AR217" s="91"/>
      <c r="AS217" s="91"/>
      <c r="AT217" s="92"/>
      <c r="AU217" s="93"/>
      <c r="AV217" s="1977">
        <f t="shared" si="153"/>
        <v>0</v>
      </c>
      <c r="AW217" s="1977">
        <f t="shared" si="154"/>
        <v>0</v>
      </c>
      <c r="AX217" s="1977">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ht="15.6">
      <c r="A218" s="83"/>
      <c r="B218" s="1391"/>
      <c r="C218" s="1392"/>
      <c r="D218" s="79"/>
      <c r="E218" s="86">
        <f t="shared" si="149"/>
        <v>0</v>
      </c>
      <c r="F218" s="87"/>
      <c r="G218" s="88">
        <f t="shared" si="150"/>
        <v>0</v>
      </c>
      <c r="H218" s="89">
        <f t="shared" si="151"/>
        <v>0</v>
      </c>
      <c r="I218" s="1394"/>
      <c r="J218" s="90"/>
      <c r="K218" s="1394"/>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4"/>
      <c r="AG218" s="91"/>
      <c r="AH218" s="91"/>
      <c r="AI218" s="91"/>
      <c r="AJ218" s="91"/>
      <c r="AK218" s="91"/>
      <c r="AL218" s="91"/>
      <c r="AM218" s="91"/>
      <c r="AN218" s="91"/>
      <c r="AO218" s="91"/>
      <c r="AP218" s="91"/>
      <c r="AQ218" s="91"/>
      <c r="AR218" s="91"/>
      <c r="AS218" s="91"/>
      <c r="AT218" s="92"/>
      <c r="AU218" s="93"/>
      <c r="AV218" s="1977">
        <f t="shared" si="153"/>
        <v>0</v>
      </c>
      <c r="AW218" s="1977">
        <f t="shared" si="154"/>
        <v>0</v>
      </c>
      <c r="AX218" s="1977">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ht="15.6">
      <c r="A219" s="83"/>
      <c r="B219" s="1391"/>
      <c r="C219" s="1392"/>
      <c r="D219" s="79"/>
      <c r="E219" s="86">
        <f t="shared" si="149"/>
        <v>0</v>
      </c>
      <c r="F219" s="87"/>
      <c r="G219" s="88">
        <f t="shared" si="150"/>
        <v>0</v>
      </c>
      <c r="H219" s="89">
        <f t="shared" si="151"/>
        <v>0</v>
      </c>
      <c r="I219" s="1394"/>
      <c r="J219" s="90"/>
      <c r="K219" s="1394"/>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4"/>
      <c r="AG219" s="91"/>
      <c r="AH219" s="91"/>
      <c r="AI219" s="91"/>
      <c r="AJ219" s="91"/>
      <c r="AK219" s="91"/>
      <c r="AL219" s="91"/>
      <c r="AM219" s="91"/>
      <c r="AN219" s="91"/>
      <c r="AO219" s="91"/>
      <c r="AP219" s="91"/>
      <c r="AQ219" s="91"/>
      <c r="AR219" s="91"/>
      <c r="AS219" s="91"/>
      <c r="AT219" s="92"/>
      <c r="AU219" s="93"/>
      <c r="AV219" s="1977">
        <f t="shared" si="153"/>
        <v>0</v>
      </c>
      <c r="AW219" s="1977">
        <f t="shared" si="154"/>
        <v>0</v>
      </c>
      <c r="AX219" s="1977">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ht="15.6">
      <c r="A220" s="83"/>
      <c r="B220" s="1391"/>
      <c r="C220" s="1392"/>
      <c r="D220" s="79"/>
      <c r="E220" s="86">
        <f t="shared" si="149"/>
        <v>0</v>
      </c>
      <c r="F220" s="87"/>
      <c r="G220" s="88">
        <f t="shared" si="150"/>
        <v>0</v>
      </c>
      <c r="H220" s="89">
        <f t="shared" si="151"/>
        <v>0</v>
      </c>
      <c r="I220" s="1394"/>
      <c r="J220" s="90"/>
      <c r="K220" s="1394"/>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4"/>
      <c r="AG220" s="91"/>
      <c r="AH220" s="91"/>
      <c r="AI220" s="91"/>
      <c r="AJ220" s="91"/>
      <c r="AK220" s="91"/>
      <c r="AL220" s="91"/>
      <c r="AM220" s="91"/>
      <c r="AN220" s="91"/>
      <c r="AO220" s="91"/>
      <c r="AP220" s="91"/>
      <c r="AQ220" s="91"/>
      <c r="AR220" s="91"/>
      <c r="AS220" s="91"/>
      <c r="AT220" s="92"/>
      <c r="AU220" s="93"/>
      <c r="AV220" s="1977">
        <f t="shared" si="153"/>
        <v>0</v>
      </c>
      <c r="AW220" s="1977">
        <f t="shared" si="154"/>
        <v>0</v>
      </c>
      <c r="AX220" s="1977">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ht="15.6">
      <c r="A221" s="83"/>
      <c r="B221" s="1391"/>
      <c r="C221" s="1392"/>
      <c r="D221" s="79"/>
      <c r="E221" s="86">
        <f t="shared" si="149"/>
        <v>0</v>
      </c>
      <c r="F221" s="87"/>
      <c r="G221" s="88">
        <f t="shared" si="150"/>
        <v>0</v>
      </c>
      <c r="H221" s="89">
        <f t="shared" si="151"/>
        <v>0</v>
      </c>
      <c r="I221" s="1394"/>
      <c r="J221" s="90"/>
      <c r="K221" s="1394"/>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4"/>
      <c r="AG221" s="91"/>
      <c r="AH221" s="91"/>
      <c r="AI221" s="91"/>
      <c r="AJ221" s="91"/>
      <c r="AK221" s="91"/>
      <c r="AL221" s="91"/>
      <c r="AM221" s="91"/>
      <c r="AN221" s="91"/>
      <c r="AO221" s="91"/>
      <c r="AP221" s="91"/>
      <c r="AQ221" s="91"/>
      <c r="AR221" s="91"/>
      <c r="AS221" s="91"/>
      <c r="AT221" s="92"/>
      <c r="AU221" s="93"/>
      <c r="AV221" s="1977">
        <f t="shared" si="153"/>
        <v>0</v>
      </c>
      <c r="AW221" s="1977">
        <f t="shared" si="154"/>
        <v>0</v>
      </c>
      <c r="AX221" s="1977">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ht="15.6">
      <c r="A222" s="83"/>
      <c r="B222" s="1391"/>
      <c r="C222" s="1392"/>
      <c r="D222" s="79"/>
      <c r="E222" s="86">
        <f t="shared" si="149"/>
        <v>0</v>
      </c>
      <c r="F222" s="87"/>
      <c r="G222" s="88">
        <f t="shared" si="150"/>
        <v>0</v>
      </c>
      <c r="H222" s="89">
        <f t="shared" si="151"/>
        <v>0</v>
      </c>
      <c r="I222" s="1394"/>
      <c r="J222" s="90"/>
      <c r="K222" s="1394"/>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4"/>
      <c r="AG222" s="91"/>
      <c r="AH222" s="91"/>
      <c r="AI222" s="91"/>
      <c r="AJ222" s="91"/>
      <c r="AK222" s="91"/>
      <c r="AL222" s="91"/>
      <c r="AM222" s="91"/>
      <c r="AN222" s="91"/>
      <c r="AO222" s="91"/>
      <c r="AP222" s="91"/>
      <c r="AQ222" s="91"/>
      <c r="AR222" s="91"/>
      <c r="AS222" s="91"/>
      <c r="AT222" s="92"/>
      <c r="AU222" s="93"/>
      <c r="AV222" s="1977">
        <f t="shared" si="153"/>
        <v>0</v>
      </c>
      <c r="AW222" s="1977">
        <f t="shared" si="154"/>
        <v>0</v>
      </c>
      <c r="AX222" s="1977">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ht="15.6">
      <c r="A223" s="83"/>
      <c r="B223" s="1391"/>
      <c r="C223" s="1392"/>
      <c r="D223" s="79"/>
      <c r="E223" s="86">
        <f t="shared" si="149"/>
        <v>0</v>
      </c>
      <c r="F223" s="87"/>
      <c r="G223" s="88">
        <f t="shared" si="150"/>
        <v>0</v>
      </c>
      <c r="H223" s="89">
        <f t="shared" si="151"/>
        <v>0</v>
      </c>
      <c r="I223" s="1394"/>
      <c r="J223" s="90"/>
      <c r="K223" s="1394"/>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4"/>
      <c r="AG223" s="91"/>
      <c r="AH223" s="91"/>
      <c r="AI223" s="91"/>
      <c r="AJ223" s="91"/>
      <c r="AK223" s="91"/>
      <c r="AL223" s="91"/>
      <c r="AM223" s="91"/>
      <c r="AN223" s="91"/>
      <c r="AO223" s="91"/>
      <c r="AP223" s="91"/>
      <c r="AQ223" s="91"/>
      <c r="AR223" s="91"/>
      <c r="AS223" s="91"/>
      <c r="AT223" s="92"/>
      <c r="AU223" s="93"/>
      <c r="AV223" s="1977">
        <f t="shared" si="153"/>
        <v>0</v>
      </c>
      <c r="AW223" s="1977">
        <f t="shared" si="154"/>
        <v>0</v>
      </c>
      <c r="AX223" s="1977">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ht="15.6">
      <c r="A224" s="83"/>
      <c r="B224" s="1391"/>
      <c r="C224" s="1392"/>
      <c r="D224" s="79"/>
      <c r="E224" s="86">
        <f t="shared" si="149"/>
        <v>0</v>
      </c>
      <c r="F224" s="87"/>
      <c r="G224" s="88">
        <f t="shared" si="150"/>
        <v>0</v>
      </c>
      <c r="H224" s="89">
        <f t="shared" si="151"/>
        <v>0</v>
      </c>
      <c r="I224" s="1394"/>
      <c r="J224" s="90"/>
      <c r="K224" s="1394"/>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4"/>
      <c r="AG224" s="91"/>
      <c r="AH224" s="91"/>
      <c r="AI224" s="91"/>
      <c r="AJ224" s="91"/>
      <c r="AK224" s="91"/>
      <c r="AL224" s="91"/>
      <c r="AM224" s="91"/>
      <c r="AN224" s="91"/>
      <c r="AO224" s="91"/>
      <c r="AP224" s="91"/>
      <c r="AQ224" s="91"/>
      <c r="AR224" s="91"/>
      <c r="AS224" s="91"/>
      <c r="AT224" s="92"/>
      <c r="AU224" s="93"/>
      <c r="AV224" s="1977">
        <f t="shared" si="153"/>
        <v>0</v>
      </c>
      <c r="AW224" s="1977">
        <f t="shared" si="154"/>
        <v>0</v>
      </c>
      <c r="AX224" s="1977">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ht="15.6">
      <c r="A225" s="83"/>
      <c r="B225" s="1391"/>
      <c r="C225" s="1392"/>
      <c r="D225" s="79"/>
      <c r="E225" s="86">
        <f t="shared" si="149"/>
        <v>0</v>
      </c>
      <c r="F225" s="87"/>
      <c r="G225" s="88">
        <f t="shared" si="150"/>
        <v>0</v>
      </c>
      <c r="H225" s="89">
        <f t="shared" si="151"/>
        <v>0</v>
      </c>
      <c r="I225" s="1394"/>
      <c r="J225" s="90"/>
      <c r="K225" s="1394"/>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4"/>
      <c r="AG225" s="91"/>
      <c r="AH225" s="91"/>
      <c r="AI225" s="91"/>
      <c r="AJ225" s="91"/>
      <c r="AK225" s="91"/>
      <c r="AL225" s="91"/>
      <c r="AM225" s="91"/>
      <c r="AN225" s="91"/>
      <c r="AO225" s="91"/>
      <c r="AP225" s="91"/>
      <c r="AQ225" s="91"/>
      <c r="AR225" s="91"/>
      <c r="AS225" s="91"/>
      <c r="AT225" s="92"/>
      <c r="AU225" s="93"/>
      <c r="AV225" s="1977">
        <f t="shared" si="153"/>
        <v>0</v>
      </c>
      <c r="AW225" s="1977">
        <f t="shared" si="154"/>
        <v>0</v>
      </c>
      <c r="AX225" s="1977">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ht="15.6">
      <c r="A226" s="83"/>
      <c r="B226" s="1391"/>
      <c r="C226" s="1392"/>
      <c r="D226" s="79"/>
      <c r="E226" s="86">
        <f t="shared" si="149"/>
        <v>0</v>
      </c>
      <c r="F226" s="87"/>
      <c r="G226" s="88">
        <f t="shared" si="150"/>
        <v>0</v>
      </c>
      <c r="H226" s="89">
        <f t="shared" si="151"/>
        <v>0</v>
      </c>
      <c r="I226" s="1394"/>
      <c r="J226" s="90"/>
      <c r="K226" s="1394"/>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4"/>
      <c r="AG226" s="91"/>
      <c r="AH226" s="91"/>
      <c r="AI226" s="91"/>
      <c r="AJ226" s="91"/>
      <c r="AK226" s="91"/>
      <c r="AL226" s="91"/>
      <c r="AM226" s="91"/>
      <c r="AN226" s="91"/>
      <c r="AO226" s="91"/>
      <c r="AP226" s="91"/>
      <c r="AQ226" s="91"/>
      <c r="AR226" s="91"/>
      <c r="AS226" s="91"/>
      <c r="AT226" s="92"/>
      <c r="AU226" s="93"/>
      <c r="AV226" s="1977">
        <f t="shared" si="153"/>
        <v>0</v>
      </c>
      <c r="AW226" s="1977">
        <f t="shared" si="154"/>
        <v>0</v>
      </c>
      <c r="AX226" s="1977">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ht="15.6">
      <c r="A227" s="83"/>
      <c r="B227" s="1391"/>
      <c r="C227" s="1392"/>
      <c r="D227" s="79"/>
      <c r="E227" s="86">
        <f t="shared" si="149"/>
        <v>0</v>
      </c>
      <c r="F227" s="87"/>
      <c r="G227" s="88">
        <f t="shared" si="150"/>
        <v>0</v>
      </c>
      <c r="H227" s="89">
        <f t="shared" si="151"/>
        <v>0</v>
      </c>
      <c r="I227" s="1394"/>
      <c r="J227" s="90"/>
      <c r="K227" s="1394"/>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4"/>
      <c r="AG227" s="91"/>
      <c r="AH227" s="91"/>
      <c r="AI227" s="91"/>
      <c r="AJ227" s="91"/>
      <c r="AK227" s="91"/>
      <c r="AL227" s="91"/>
      <c r="AM227" s="91"/>
      <c r="AN227" s="91"/>
      <c r="AO227" s="91"/>
      <c r="AP227" s="91"/>
      <c r="AQ227" s="91"/>
      <c r="AR227" s="91"/>
      <c r="AS227" s="91"/>
      <c r="AT227" s="92"/>
      <c r="AU227" s="93"/>
      <c r="AV227" s="1977">
        <f t="shared" si="153"/>
        <v>0</v>
      </c>
      <c r="AW227" s="1977">
        <f t="shared" si="154"/>
        <v>0</v>
      </c>
      <c r="AX227" s="1977">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ht="15.6">
      <c r="A228" s="83"/>
      <c r="B228" s="1391"/>
      <c r="C228" s="1392"/>
      <c r="D228" s="79"/>
      <c r="E228" s="86">
        <f t="shared" si="149"/>
        <v>0</v>
      </c>
      <c r="F228" s="87"/>
      <c r="G228" s="88">
        <f t="shared" si="150"/>
        <v>0</v>
      </c>
      <c r="H228" s="89">
        <f t="shared" si="151"/>
        <v>0</v>
      </c>
      <c r="I228" s="1394"/>
      <c r="J228" s="90"/>
      <c r="K228" s="1394"/>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4"/>
      <c r="AG228" s="91"/>
      <c r="AH228" s="91"/>
      <c r="AI228" s="91"/>
      <c r="AJ228" s="91"/>
      <c r="AK228" s="91"/>
      <c r="AL228" s="91"/>
      <c r="AM228" s="91"/>
      <c r="AN228" s="91"/>
      <c r="AO228" s="91"/>
      <c r="AP228" s="91"/>
      <c r="AQ228" s="91"/>
      <c r="AR228" s="91"/>
      <c r="AS228" s="91"/>
      <c r="AT228" s="92"/>
      <c r="AU228" s="93"/>
      <c r="AV228" s="1977">
        <f t="shared" si="153"/>
        <v>0</v>
      </c>
      <c r="AW228" s="1977">
        <f t="shared" si="154"/>
        <v>0</v>
      </c>
      <c r="AX228" s="1977">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ht="15.6">
      <c r="A229" s="83"/>
      <c r="B229" s="1391"/>
      <c r="C229" s="1392"/>
      <c r="D229" s="79"/>
      <c r="E229" s="86">
        <f t="shared" si="149"/>
        <v>0</v>
      </c>
      <c r="F229" s="87"/>
      <c r="G229" s="88">
        <f t="shared" si="150"/>
        <v>0</v>
      </c>
      <c r="H229" s="89">
        <f t="shared" si="151"/>
        <v>0</v>
      </c>
      <c r="I229" s="1394"/>
      <c r="J229" s="90"/>
      <c r="K229" s="1394"/>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4"/>
      <c r="AG229" s="91"/>
      <c r="AH229" s="91"/>
      <c r="AI229" s="91"/>
      <c r="AJ229" s="91"/>
      <c r="AK229" s="91"/>
      <c r="AL229" s="91"/>
      <c r="AM229" s="91"/>
      <c r="AN229" s="91"/>
      <c r="AO229" s="91"/>
      <c r="AP229" s="91"/>
      <c r="AQ229" s="91"/>
      <c r="AR229" s="91"/>
      <c r="AS229" s="91"/>
      <c r="AT229" s="92"/>
      <c r="AU229" s="93"/>
      <c r="AV229" s="1977">
        <f t="shared" si="153"/>
        <v>0</v>
      </c>
      <c r="AW229" s="1977">
        <f t="shared" si="154"/>
        <v>0</v>
      </c>
      <c r="AX229" s="1977">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ht="15.6">
      <c r="A230" s="83"/>
      <c r="B230" s="1391"/>
      <c r="C230" s="1392"/>
      <c r="D230" s="79"/>
      <c r="E230" s="86">
        <f t="shared" si="149"/>
        <v>0</v>
      </c>
      <c r="F230" s="87"/>
      <c r="G230" s="88">
        <f t="shared" si="150"/>
        <v>0</v>
      </c>
      <c r="H230" s="89">
        <f t="shared" si="151"/>
        <v>0</v>
      </c>
      <c r="I230" s="1394"/>
      <c r="J230" s="90"/>
      <c r="K230" s="1394"/>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4"/>
      <c r="AG230" s="91"/>
      <c r="AH230" s="91"/>
      <c r="AI230" s="91"/>
      <c r="AJ230" s="91"/>
      <c r="AK230" s="91"/>
      <c r="AL230" s="91"/>
      <c r="AM230" s="91"/>
      <c r="AN230" s="91"/>
      <c r="AO230" s="91"/>
      <c r="AP230" s="91"/>
      <c r="AQ230" s="91"/>
      <c r="AR230" s="91"/>
      <c r="AS230" s="91"/>
      <c r="AT230" s="92"/>
      <c r="AU230" s="93"/>
      <c r="AV230" s="1977">
        <f t="shared" si="153"/>
        <v>0</v>
      </c>
      <c r="AW230" s="1977">
        <f t="shared" si="154"/>
        <v>0</v>
      </c>
      <c r="AX230" s="1977">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ht="15.6">
      <c r="A231" s="83"/>
      <c r="B231" s="1391"/>
      <c r="C231" s="1392"/>
      <c r="D231" s="79"/>
      <c r="E231" s="86">
        <f t="shared" si="149"/>
        <v>0</v>
      </c>
      <c r="F231" s="87"/>
      <c r="G231" s="88">
        <f t="shared" si="150"/>
        <v>0</v>
      </c>
      <c r="H231" s="89">
        <f t="shared" si="151"/>
        <v>0</v>
      </c>
      <c r="I231" s="1394"/>
      <c r="J231" s="90"/>
      <c r="K231" s="1394"/>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2"/>
      <c r="AG231" s="91"/>
      <c r="AH231" s="91"/>
      <c r="AI231" s="91"/>
      <c r="AJ231" s="91"/>
      <c r="AK231" s="91"/>
      <c r="AL231" s="91"/>
      <c r="AM231" s="91"/>
      <c r="AN231" s="91"/>
      <c r="AO231" s="91"/>
      <c r="AP231" s="91"/>
      <c r="AQ231" s="91"/>
      <c r="AR231" s="91"/>
      <c r="AS231" s="91"/>
      <c r="AT231" s="92"/>
      <c r="AU231" s="93"/>
      <c r="AV231" s="1977">
        <f t="shared" si="153"/>
        <v>0</v>
      </c>
      <c r="AW231" s="1977">
        <f t="shared" si="154"/>
        <v>0</v>
      </c>
      <c r="AX231" s="1977">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ht="15.6">
      <c r="A232" s="83"/>
      <c r="B232" s="1391"/>
      <c r="C232" s="1392"/>
      <c r="D232" s="79"/>
      <c r="E232" s="86">
        <f t="shared" si="149"/>
        <v>0</v>
      </c>
      <c r="F232" s="87"/>
      <c r="G232" s="88">
        <f t="shared" si="150"/>
        <v>0</v>
      </c>
      <c r="H232" s="89">
        <f t="shared" si="151"/>
        <v>0</v>
      </c>
      <c r="I232" s="1392"/>
      <c r="J232" s="90"/>
      <c r="K232" s="1392"/>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2"/>
      <c r="AG232" s="91"/>
      <c r="AH232" s="91"/>
      <c r="AI232" s="91"/>
      <c r="AJ232" s="91"/>
      <c r="AK232" s="91"/>
      <c r="AL232" s="91"/>
      <c r="AM232" s="91"/>
      <c r="AN232" s="91"/>
      <c r="AO232" s="91"/>
      <c r="AP232" s="91"/>
      <c r="AQ232" s="91"/>
      <c r="AR232" s="91"/>
      <c r="AS232" s="91"/>
      <c r="AT232" s="92"/>
      <c r="AU232" s="93"/>
      <c r="AV232" s="1977">
        <f t="shared" si="153"/>
        <v>0</v>
      </c>
      <c r="AW232" s="1977">
        <f t="shared" si="154"/>
        <v>0</v>
      </c>
      <c r="AX232" s="1977">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ht="15.6">
      <c r="A233" s="83"/>
      <c r="B233" s="1391"/>
      <c r="C233" s="1392"/>
      <c r="D233" s="79"/>
      <c r="E233" s="86">
        <f t="shared" si="149"/>
        <v>0</v>
      </c>
      <c r="F233" s="87"/>
      <c r="G233" s="88">
        <f t="shared" si="150"/>
        <v>0</v>
      </c>
      <c r="H233" s="89">
        <f t="shared" si="151"/>
        <v>0</v>
      </c>
      <c r="I233" s="1392"/>
      <c r="J233" s="90"/>
      <c r="K233" s="1392"/>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2"/>
      <c r="AG233" s="91"/>
      <c r="AH233" s="91"/>
      <c r="AI233" s="91"/>
      <c r="AJ233" s="91"/>
      <c r="AK233" s="91"/>
      <c r="AL233" s="91"/>
      <c r="AM233" s="91"/>
      <c r="AN233" s="91"/>
      <c r="AO233" s="91"/>
      <c r="AP233" s="91"/>
      <c r="AQ233" s="91"/>
      <c r="AR233" s="91"/>
      <c r="AS233" s="91"/>
      <c r="AT233" s="92"/>
      <c r="AU233" s="93"/>
      <c r="AV233" s="1977">
        <f t="shared" si="153"/>
        <v>0</v>
      </c>
      <c r="AW233" s="1977">
        <f t="shared" si="154"/>
        <v>0</v>
      </c>
      <c r="AX233" s="1977">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ht="15.6">
      <c r="A234" s="83"/>
      <c r="B234" s="1391"/>
      <c r="C234" s="1392"/>
      <c r="D234" s="79"/>
      <c r="E234" s="86">
        <f t="shared" si="149"/>
        <v>0</v>
      </c>
      <c r="F234" s="87"/>
      <c r="G234" s="88">
        <f t="shared" si="150"/>
        <v>0</v>
      </c>
      <c r="H234" s="89">
        <f t="shared" si="151"/>
        <v>0</v>
      </c>
      <c r="I234" s="1392"/>
      <c r="J234" s="90"/>
      <c r="K234" s="1392"/>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2"/>
      <c r="AG234" s="91"/>
      <c r="AH234" s="91"/>
      <c r="AI234" s="91"/>
      <c r="AJ234" s="91"/>
      <c r="AK234" s="91"/>
      <c r="AL234" s="91"/>
      <c r="AM234" s="91"/>
      <c r="AN234" s="91"/>
      <c r="AO234" s="91"/>
      <c r="AP234" s="91"/>
      <c r="AQ234" s="91"/>
      <c r="AR234" s="91"/>
      <c r="AS234" s="91"/>
      <c r="AT234" s="92"/>
      <c r="AU234" s="93"/>
      <c r="AV234" s="1977">
        <f t="shared" si="153"/>
        <v>0</v>
      </c>
      <c r="AW234" s="1977">
        <f t="shared" si="154"/>
        <v>0</v>
      </c>
      <c r="AX234" s="1977">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ht="15.6">
      <c r="A235" s="83"/>
      <c r="B235" s="1391"/>
      <c r="C235" s="1392"/>
      <c r="D235" s="79"/>
      <c r="E235" s="86">
        <f t="shared" si="149"/>
        <v>0</v>
      </c>
      <c r="F235" s="87"/>
      <c r="G235" s="88">
        <f t="shared" si="150"/>
        <v>0</v>
      </c>
      <c r="H235" s="89">
        <f t="shared" si="151"/>
        <v>0</v>
      </c>
      <c r="I235" s="1392"/>
      <c r="J235" s="90"/>
      <c r="K235" s="1392"/>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2"/>
      <c r="AG235" s="91"/>
      <c r="AH235" s="91"/>
      <c r="AI235" s="91"/>
      <c r="AJ235" s="91"/>
      <c r="AK235" s="91"/>
      <c r="AL235" s="91"/>
      <c r="AM235" s="91"/>
      <c r="AN235" s="91"/>
      <c r="AO235" s="91"/>
      <c r="AP235" s="91"/>
      <c r="AQ235" s="91"/>
      <c r="AR235" s="91"/>
      <c r="AS235" s="91"/>
      <c r="AT235" s="92"/>
      <c r="AU235" s="93"/>
      <c r="AV235" s="1977">
        <f t="shared" si="153"/>
        <v>0</v>
      </c>
      <c r="AW235" s="1977">
        <f t="shared" si="154"/>
        <v>0</v>
      </c>
      <c r="AX235" s="1977">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ht="15.6">
      <c r="A236" s="83"/>
      <c r="B236" s="1391"/>
      <c r="C236" s="1392"/>
      <c r="D236" s="79"/>
      <c r="E236" s="86">
        <f t="shared" si="149"/>
        <v>0</v>
      </c>
      <c r="F236" s="87"/>
      <c r="G236" s="88">
        <f t="shared" si="150"/>
        <v>0</v>
      </c>
      <c r="H236" s="89">
        <f t="shared" si="151"/>
        <v>0</v>
      </c>
      <c r="I236" s="1392"/>
      <c r="J236" s="90"/>
      <c r="K236" s="1392"/>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2"/>
      <c r="AG236" s="91"/>
      <c r="AH236" s="91"/>
      <c r="AI236" s="91"/>
      <c r="AJ236" s="91"/>
      <c r="AK236" s="91"/>
      <c r="AL236" s="91"/>
      <c r="AM236" s="91"/>
      <c r="AN236" s="91"/>
      <c r="AO236" s="91"/>
      <c r="AP236" s="91"/>
      <c r="AQ236" s="91"/>
      <c r="AR236" s="91"/>
      <c r="AS236" s="91"/>
      <c r="AT236" s="92"/>
      <c r="AU236" s="93"/>
      <c r="AV236" s="1977">
        <f t="shared" si="153"/>
        <v>0</v>
      </c>
      <c r="AW236" s="1977">
        <f t="shared" si="154"/>
        <v>0</v>
      </c>
      <c r="AX236" s="1977">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ht="15.6">
      <c r="A237" s="83"/>
      <c r="B237" s="1391"/>
      <c r="C237" s="1392"/>
      <c r="D237" s="79"/>
      <c r="E237" s="86">
        <f t="shared" si="149"/>
        <v>0</v>
      </c>
      <c r="F237" s="87"/>
      <c r="G237" s="88">
        <f t="shared" si="150"/>
        <v>0</v>
      </c>
      <c r="H237" s="89">
        <f t="shared" si="151"/>
        <v>0</v>
      </c>
      <c r="I237" s="1392"/>
      <c r="J237" s="90"/>
      <c r="K237" s="1392"/>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2"/>
      <c r="AG237" s="91"/>
      <c r="AH237" s="91"/>
      <c r="AI237" s="91"/>
      <c r="AJ237" s="91"/>
      <c r="AK237" s="91"/>
      <c r="AL237" s="91"/>
      <c r="AM237" s="91"/>
      <c r="AN237" s="91"/>
      <c r="AO237" s="91"/>
      <c r="AP237" s="91"/>
      <c r="AQ237" s="91"/>
      <c r="AR237" s="91"/>
      <c r="AS237" s="91"/>
      <c r="AT237" s="92"/>
      <c r="AU237" s="93"/>
      <c r="AV237" s="1977">
        <f t="shared" si="153"/>
        <v>0</v>
      </c>
      <c r="AW237" s="1977">
        <f t="shared" si="154"/>
        <v>0</v>
      </c>
      <c r="AX237" s="1977">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ht="15.6">
      <c r="A238" s="83"/>
      <c r="B238" s="1391"/>
      <c r="C238" s="1392"/>
      <c r="D238" s="79"/>
      <c r="E238" s="86">
        <f t="shared" si="149"/>
        <v>0</v>
      </c>
      <c r="F238" s="87"/>
      <c r="G238" s="88">
        <f t="shared" si="150"/>
        <v>0</v>
      </c>
      <c r="H238" s="89">
        <f t="shared" si="151"/>
        <v>0</v>
      </c>
      <c r="I238" s="1392"/>
      <c r="J238" s="90"/>
      <c r="K238" s="1392"/>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2"/>
      <c r="AG238" s="91"/>
      <c r="AH238" s="91"/>
      <c r="AI238" s="91"/>
      <c r="AJ238" s="91"/>
      <c r="AK238" s="91"/>
      <c r="AL238" s="91"/>
      <c r="AM238" s="91"/>
      <c r="AN238" s="91"/>
      <c r="AO238" s="91"/>
      <c r="AP238" s="91"/>
      <c r="AQ238" s="91"/>
      <c r="AR238" s="91"/>
      <c r="AS238" s="91"/>
      <c r="AT238" s="92"/>
      <c r="AU238" s="93"/>
      <c r="AV238" s="1977">
        <f t="shared" si="153"/>
        <v>0</v>
      </c>
      <c r="AW238" s="1977">
        <f t="shared" si="154"/>
        <v>0</v>
      </c>
      <c r="AX238" s="1977">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ht="15.6">
      <c r="A239" s="83"/>
      <c r="B239" s="1393"/>
      <c r="C239" s="1394"/>
      <c r="D239" s="79"/>
      <c r="E239" s="86">
        <f t="shared" si="149"/>
        <v>0</v>
      </c>
      <c r="F239" s="87"/>
      <c r="G239" s="88">
        <f t="shared" si="150"/>
        <v>0</v>
      </c>
      <c r="H239" s="89">
        <f t="shared" si="151"/>
        <v>0</v>
      </c>
      <c r="I239" s="1392"/>
      <c r="J239" s="90"/>
      <c r="K239" s="1392"/>
      <c r="L239" s="90"/>
      <c r="M239" s="1392"/>
      <c r="N239" s="90"/>
      <c r="O239" s="90"/>
      <c r="P239" s="90"/>
      <c r="Q239" s="90"/>
      <c r="R239" s="90"/>
      <c r="S239" s="90"/>
      <c r="T239" s="90"/>
      <c r="U239" s="90"/>
      <c r="V239" s="90"/>
      <c r="W239" s="90"/>
      <c r="X239" s="90"/>
      <c r="Y239" s="90"/>
      <c r="Z239" s="90"/>
      <c r="AA239" s="90"/>
      <c r="AB239" s="90"/>
      <c r="AC239" s="86">
        <f t="shared" si="152"/>
        <v>0</v>
      </c>
      <c r="AD239" s="91"/>
      <c r="AE239" s="91"/>
      <c r="AF239" s="1392"/>
      <c r="AG239" s="91"/>
      <c r="AH239" s="91"/>
      <c r="AI239" s="91"/>
      <c r="AJ239" s="91"/>
      <c r="AK239" s="91"/>
      <c r="AL239" s="91"/>
      <c r="AM239" s="91"/>
      <c r="AN239" s="91"/>
      <c r="AO239" s="91"/>
      <c r="AP239" s="91"/>
      <c r="AQ239" s="91"/>
      <c r="AR239" s="91"/>
      <c r="AS239" s="91"/>
      <c r="AT239" s="92"/>
      <c r="AU239" s="93"/>
      <c r="AV239" s="1977">
        <f t="shared" si="153"/>
        <v>0</v>
      </c>
      <c r="AW239" s="1977">
        <f t="shared" si="154"/>
        <v>0</v>
      </c>
      <c r="AX239" s="1977">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7">
        <f t="shared" si="153"/>
        <v>0</v>
      </c>
      <c r="AW240" s="1977">
        <f t="shared" si="154"/>
        <v>0</v>
      </c>
      <c r="AX240" s="1977">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7">
        <f t="shared" si="153"/>
        <v>0</v>
      </c>
      <c r="AW241" s="1977">
        <f t="shared" si="154"/>
        <v>0</v>
      </c>
      <c r="AX241" s="1977">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7">
        <f t="shared" si="153"/>
        <v>0</v>
      </c>
      <c r="AW242" s="1977">
        <f t="shared" si="154"/>
        <v>0</v>
      </c>
      <c r="AX242" s="1977">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7">
        <f t="shared" si="153"/>
        <v>0</v>
      </c>
      <c r="AW243" s="1977">
        <f t="shared" si="154"/>
        <v>0</v>
      </c>
      <c r="AX243" s="1977">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7">
        <f t="shared" si="153"/>
        <v>0</v>
      </c>
      <c r="AW244" s="1977">
        <f t="shared" si="154"/>
        <v>0</v>
      </c>
      <c r="AX244" s="1977">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7">
        <f t="shared" si="153"/>
        <v>0</v>
      </c>
      <c r="AW245" s="1977">
        <f t="shared" si="154"/>
        <v>0</v>
      </c>
      <c r="AX245" s="1977">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7">
        <f t="shared" si="153"/>
        <v>0</v>
      </c>
      <c r="AW246" s="1977">
        <f t="shared" si="154"/>
        <v>0</v>
      </c>
      <c r="AX246" s="1977">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7">
        <f t="shared" si="153"/>
        <v>0</v>
      </c>
      <c r="AW247" s="1977">
        <f t="shared" si="154"/>
        <v>0</v>
      </c>
      <c r="AX247" s="1977">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7">
        <f t="shared" si="153"/>
        <v>0</v>
      </c>
      <c r="AW248" s="1977">
        <f t="shared" si="154"/>
        <v>0</v>
      </c>
      <c r="AX248" s="1977">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7">
        <f t="shared" si="153"/>
        <v>0</v>
      </c>
      <c r="AW249" s="1977">
        <f t="shared" si="154"/>
        <v>0</v>
      </c>
      <c r="AX249" s="1977">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7">
        <f t="shared" si="153"/>
        <v>0</v>
      </c>
      <c r="AW250" s="1977">
        <f t="shared" si="154"/>
        <v>0</v>
      </c>
      <c r="AX250" s="1977">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7">
        <f t="shared" si="153"/>
        <v>0</v>
      </c>
      <c r="AW251" s="1977">
        <f t="shared" si="154"/>
        <v>0</v>
      </c>
      <c r="AX251" s="1977">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7">
        <f t="shared" si="153"/>
        <v>0</v>
      </c>
      <c r="AW252" s="1977">
        <f t="shared" si="154"/>
        <v>0</v>
      </c>
      <c r="AX252" s="1977">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7">
        <f t="shared" si="153"/>
        <v>0</v>
      </c>
      <c r="AW253" s="1977">
        <f t="shared" si="154"/>
        <v>0</v>
      </c>
      <c r="AX253" s="1977">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7">
        <f t="shared" si="153"/>
        <v>0</v>
      </c>
      <c r="AW254" s="1977">
        <f t="shared" si="154"/>
        <v>0</v>
      </c>
      <c r="AX254" s="1977">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7">
        <f t="shared" si="153"/>
        <v>0</v>
      </c>
      <c r="AW255" s="1977">
        <f t="shared" si="154"/>
        <v>0</v>
      </c>
      <c r="AX255" s="1977">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7">
        <f t="shared" si="153"/>
        <v>0</v>
      </c>
      <c r="AW256" s="1977">
        <f t="shared" si="154"/>
        <v>0</v>
      </c>
      <c r="AX256" s="1977">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7">
        <f t="shared" si="153"/>
        <v>0</v>
      </c>
      <c r="AW257" s="1977">
        <f t="shared" si="154"/>
        <v>0</v>
      </c>
      <c r="AX257" s="1977">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7">
        <f t="shared" si="153"/>
        <v>0</v>
      </c>
      <c r="AW258" s="1977">
        <f t="shared" si="154"/>
        <v>0</v>
      </c>
      <c r="AX258" s="1977">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7">
        <f t="shared" si="153"/>
        <v>0</v>
      </c>
      <c r="AW259" s="1977">
        <f t="shared" si="154"/>
        <v>0</v>
      </c>
      <c r="AX259" s="1977">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7">
        <f t="shared" si="153"/>
        <v>0</v>
      </c>
      <c r="AW260" s="1977">
        <f t="shared" si="154"/>
        <v>0</v>
      </c>
      <c r="AX260" s="1977">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7">
        <f t="shared" si="153"/>
        <v>0</v>
      </c>
      <c r="AW261" s="1977">
        <f t="shared" si="154"/>
        <v>0</v>
      </c>
      <c r="AX261" s="1977">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7">
        <f t="shared" si="153"/>
        <v>0</v>
      </c>
      <c r="AW262" s="1977">
        <f t="shared" si="154"/>
        <v>0</v>
      </c>
      <c r="AX262" s="1977">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7">
        <f t="shared" si="153"/>
        <v>0</v>
      </c>
      <c r="AW263" s="1977">
        <f t="shared" si="154"/>
        <v>0</v>
      </c>
      <c r="AX263" s="1977">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7">
        <f t="shared" si="153"/>
        <v>0</v>
      </c>
      <c r="AW264" s="1977">
        <f t="shared" si="154"/>
        <v>0</v>
      </c>
      <c r="AX264" s="1977">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7">
        <f t="shared" si="153"/>
        <v>0</v>
      </c>
      <c r="AW265" s="1977">
        <f t="shared" si="154"/>
        <v>0</v>
      </c>
      <c r="AX265" s="1977">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7">
        <f t="shared" si="153"/>
        <v>0</v>
      </c>
      <c r="AW266" s="1977">
        <f t="shared" si="154"/>
        <v>0</v>
      </c>
      <c r="AX266" s="1977">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7">
        <f t="shared" si="153"/>
        <v>0</v>
      </c>
      <c r="AW267" s="1977">
        <f t="shared" si="154"/>
        <v>0</v>
      </c>
      <c r="AX267" s="1977">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7">
        <f t="shared" si="153"/>
        <v>0</v>
      </c>
      <c r="AW268" s="1977">
        <f t="shared" si="154"/>
        <v>0</v>
      </c>
      <c r="AX268" s="1977">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7">
        <f t="shared" si="153"/>
        <v>0</v>
      </c>
      <c r="AW269" s="1977">
        <f t="shared" si="154"/>
        <v>0</v>
      </c>
      <c r="AX269" s="1977">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7">
        <f t="shared" si="153"/>
        <v>0</v>
      </c>
      <c r="AW270" s="1977">
        <f t="shared" si="154"/>
        <v>0</v>
      </c>
      <c r="AX270" s="1977">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7">
        <f t="shared" si="153"/>
        <v>0</v>
      </c>
      <c r="AW271" s="1977">
        <f t="shared" si="154"/>
        <v>0</v>
      </c>
      <c r="AX271" s="1977">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7">
        <f t="shared" si="153"/>
        <v>0</v>
      </c>
      <c r="AW272" s="1977">
        <f t="shared" si="154"/>
        <v>0</v>
      </c>
      <c r="AX272" s="1977">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7">
        <f t="shared" si="153"/>
        <v>0</v>
      </c>
      <c r="AW273" s="1977">
        <f t="shared" si="154"/>
        <v>0</v>
      </c>
      <c r="AX273" s="1977">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7">
        <f t="shared" si="153"/>
        <v>0</v>
      </c>
      <c r="AW274" s="1977">
        <f t="shared" si="154"/>
        <v>0</v>
      </c>
      <c r="AX274" s="1977">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7">
        <f t="shared" si="153"/>
        <v>0</v>
      </c>
      <c r="AW275" s="1977">
        <f t="shared" si="154"/>
        <v>0</v>
      </c>
      <c r="AX275" s="1977">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7">
        <f t="shared" si="153"/>
        <v>0</v>
      </c>
      <c r="AW276" s="1977">
        <f t="shared" si="154"/>
        <v>0</v>
      </c>
      <c r="AX276" s="1977">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7">
        <f t="shared" si="153"/>
        <v>0</v>
      </c>
      <c r="AW277" s="1977">
        <f t="shared" si="154"/>
        <v>0</v>
      </c>
      <c r="AX277" s="1977">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7">
        <f t="shared" si="153"/>
        <v>0</v>
      </c>
      <c r="AW278" s="1977">
        <f t="shared" si="154"/>
        <v>0</v>
      </c>
      <c r="AX278" s="1977">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7">
        <f t="shared" si="153"/>
        <v>0</v>
      </c>
      <c r="AW279" s="1977">
        <f t="shared" si="154"/>
        <v>0</v>
      </c>
      <c r="AX279" s="1977">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7">
        <f t="shared" si="153"/>
        <v>0</v>
      </c>
      <c r="AW280" s="1977">
        <f t="shared" si="154"/>
        <v>0</v>
      </c>
      <c r="AX280" s="1977">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7">
        <f t="shared" si="153"/>
        <v>0</v>
      </c>
      <c r="AW281" s="1977">
        <f t="shared" si="154"/>
        <v>0</v>
      </c>
      <c r="AX281" s="1977">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7">
        <f t="shared" si="153"/>
        <v>0</v>
      </c>
      <c r="AW282" s="1977">
        <f t="shared" si="154"/>
        <v>0</v>
      </c>
      <c r="AX282" s="1977">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7">
        <f t="shared" si="153"/>
        <v>0</v>
      </c>
      <c r="AW283" s="1977">
        <f t="shared" si="154"/>
        <v>0</v>
      </c>
      <c r="AX283" s="1977">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7">
        <f t="shared" si="153"/>
        <v>0</v>
      </c>
      <c r="AW284" s="1977">
        <f t="shared" si="154"/>
        <v>0</v>
      </c>
      <c r="AX284" s="1977">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7">
        <f t="shared" si="153"/>
        <v>0</v>
      </c>
      <c r="AW285" s="1977">
        <f t="shared" si="154"/>
        <v>0</v>
      </c>
      <c r="AX285" s="1977">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7">
        <f t="shared" si="153"/>
        <v>0</v>
      </c>
      <c r="AW286" s="1977">
        <f t="shared" si="154"/>
        <v>0</v>
      </c>
      <c r="AX286" s="1977">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7">
        <f t="shared" si="153"/>
        <v>0</v>
      </c>
      <c r="AW287" s="1977">
        <f t="shared" si="154"/>
        <v>0</v>
      </c>
      <c r="AX287" s="1977">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7">
        <f t="shared" si="153"/>
        <v>0</v>
      </c>
      <c r="AW288" s="1977">
        <f t="shared" si="154"/>
        <v>0</v>
      </c>
      <c r="AX288" s="1977">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7">
        <f t="shared" si="153"/>
        <v>0</v>
      </c>
      <c r="AW289" s="1977">
        <f t="shared" si="154"/>
        <v>0</v>
      </c>
      <c r="AX289" s="1977">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7">
        <f t="shared" si="153"/>
        <v>0</v>
      </c>
      <c r="AW290" s="1977">
        <f t="shared" si="154"/>
        <v>0</v>
      </c>
      <c r="AX290" s="1977">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7">
        <f t="shared" si="153"/>
        <v>0</v>
      </c>
      <c r="AW291" s="1977">
        <f t="shared" si="154"/>
        <v>0</v>
      </c>
      <c r="AX291" s="1977">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7">
        <f t="shared" si="153"/>
        <v>0</v>
      </c>
      <c r="AW292" s="1977">
        <f t="shared" si="154"/>
        <v>0</v>
      </c>
      <c r="AX292" s="1977">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7">
        <f t="shared" si="153"/>
        <v>0</v>
      </c>
      <c r="AW293" s="1977">
        <f t="shared" si="154"/>
        <v>0</v>
      </c>
      <c r="AX293" s="1977">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7">
        <f t="shared" si="153"/>
        <v>0</v>
      </c>
      <c r="AW294" s="1977">
        <f t="shared" si="154"/>
        <v>0</v>
      </c>
      <c r="AX294" s="1977">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7">
        <f t="shared" si="153"/>
        <v>0</v>
      </c>
      <c r="AW295" s="1977">
        <f t="shared" si="154"/>
        <v>0</v>
      </c>
      <c r="AX295" s="1977">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7">
        <f t="shared" si="153"/>
        <v>0</v>
      </c>
      <c r="AW296" s="1977">
        <f t="shared" si="154"/>
        <v>0</v>
      </c>
      <c r="AX296" s="1977">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ht="15.6">
      <c r="A297" s="83"/>
      <c r="B297" s="1391"/>
      <c r="C297" s="1392"/>
      <c r="D297" s="79"/>
      <c r="E297" s="86">
        <f t="shared" ref="E297:E328" si="203">IF($C$3="是",ROUND($A$3*G297/$B$3,2),ROUND($A$3*(G297-AT297)/$B$3,2))</f>
        <v>0</v>
      </c>
      <c r="F297" s="87"/>
      <c r="G297" s="88">
        <f t="shared" si="178"/>
        <v>0</v>
      </c>
      <c r="H297" s="89">
        <f t="shared" si="179"/>
        <v>0</v>
      </c>
      <c r="I297" s="1394"/>
      <c r="J297" s="90"/>
      <c r="K297" s="1394"/>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5"/>
      <c r="AG297" s="91"/>
      <c r="AH297" s="91"/>
      <c r="AI297" s="91"/>
      <c r="AJ297" s="91"/>
      <c r="AK297" s="91"/>
      <c r="AL297" s="91"/>
      <c r="AM297" s="91"/>
      <c r="AN297" s="1362"/>
      <c r="AO297" s="91"/>
      <c r="AP297" s="91"/>
      <c r="AQ297" s="91"/>
      <c r="AR297" s="91"/>
      <c r="AS297" s="91"/>
      <c r="AT297" s="92"/>
      <c r="AU297" s="93"/>
      <c r="AV297" s="1977">
        <f t="shared" ref="AV297:AV328" si="204">A297</f>
        <v>0</v>
      </c>
      <c r="AW297" s="1977">
        <f t="shared" ref="AW297:AW328" si="205">B297</f>
        <v>0</v>
      </c>
      <c r="AX297" s="1977">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ht="15.6">
      <c r="A298" s="83"/>
      <c r="B298" s="1391"/>
      <c r="C298" s="1392"/>
      <c r="D298" s="79"/>
      <c r="E298" s="86">
        <f t="shared" si="203"/>
        <v>0</v>
      </c>
      <c r="F298" s="87"/>
      <c r="G298" s="88">
        <f t="shared" si="178"/>
        <v>0</v>
      </c>
      <c r="H298" s="89">
        <f t="shared" si="179"/>
        <v>0</v>
      </c>
      <c r="I298" s="1394"/>
      <c r="J298" s="90"/>
      <c r="K298" s="1394"/>
      <c r="L298" s="90"/>
      <c r="M298" s="1362"/>
      <c r="N298" s="90"/>
      <c r="O298" s="90"/>
      <c r="P298" s="90"/>
      <c r="Q298" s="90"/>
      <c r="R298" s="90"/>
      <c r="S298" s="90"/>
      <c r="T298" s="90"/>
      <c r="U298" s="90"/>
      <c r="V298" s="90"/>
      <c r="W298" s="90"/>
      <c r="X298" s="90"/>
      <c r="Y298" s="90"/>
      <c r="Z298" s="90"/>
      <c r="AA298" s="90"/>
      <c r="AB298" s="90"/>
      <c r="AC298" s="86">
        <f t="shared" si="180"/>
        <v>0</v>
      </c>
      <c r="AD298" s="1362"/>
      <c r="AE298" s="91"/>
      <c r="AF298" s="1395"/>
      <c r="AG298" s="91"/>
      <c r="AH298" s="91"/>
      <c r="AI298" s="91"/>
      <c r="AJ298" s="91"/>
      <c r="AK298" s="91"/>
      <c r="AL298" s="1362"/>
      <c r="AM298" s="91"/>
      <c r="AN298" s="1362"/>
      <c r="AO298" s="91"/>
      <c r="AP298" s="91"/>
      <c r="AQ298" s="91"/>
      <c r="AR298" s="91"/>
      <c r="AS298" s="91"/>
      <c r="AT298" s="92"/>
      <c r="AU298" s="93"/>
      <c r="AV298" s="1977">
        <f t="shared" si="204"/>
        <v>0</v>
      </c>
      <c r="AW298" s="1977">
        <f t="shared" si="205"/>
        <v>0</v>
      </c>
      <c r="AX298" s="1977">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ht="15.6">
      <c r="A299" s="83"/>
      <c r="B299" s="1391"/>
      <c r="C299" s="1392"/>
      <c r="D299" s="79"/>
      <c r="E299" s="86">
        <f t="shared" si="203"/>
        <v>0</v>
      </c>
      <c r="F299" s="87"/>
      <c r="G299" s="88">
        <f t="shared" si="178"/>
        <v>0</v>
      </c>
      <c r="H299" s="89">
        <f t="shared" si="179"/>
        <v>0</v>
      </c>
      <c r="I299" s="1394"/>
      <c r="J299" s="90"/>
      <c r="K299" s="1394"/>
      <c r="L299" s="90"/>
      <c r="M299" s="1362"/>
      <c r="N299" s="90"/>
      <c r="O299" s="90"/>
      <c r="P299" s="90"/>
      <c r="Q299" s="90"/>
      <c r="R299" s="90"/>
      <c r="S299" s="90"/>
      <c r="T299" s="90"/>
      <c r="U299" s="90"/>
      <c r="V299" s="90"/>
      <c r="W299" s="90"/>
      <c r="X299" s="90"/>
      <c r="Y299" s="90"/>
      <c r="Z299" s="90"/>
      <c r="AA299" s="90"/>
      <c r="AB299" s="90"/>
      <c r="AC299" s="86">
        <f t="shared" si="180"/>
        <v>0</v>
      </c>
      <c r="AD299" s="91"/>
      <c r="AE299" s="91"/>
      <c r="AF299" s="1395"/>
      <c r="AG299" s="91"/>
      <c r="AH299" s="91"/>
      <c r="AI299" s="91"/>
      <c r="AJ299" s="91"/>
      <c r="AK299" s="91"/>
      <c r="AL299" s="1362"/>
      <c r="AM299" s="91"/>
      <c r="AN299" s="1362"/>
      <c r="AO299" s="91"/>
      <c r="AP299" s="91"/>
      <c r="AQ299" s="91"/>
      <c r="AR299" s="91"/>
      <c r="AS299" s="91"/>
      <c r="AT299" s="92"/>
      <c r="AU299" s="93"/>
      <c r="AV299" s="1977">
        <f t="shared" si="204"/>
        <v>0</v>
      </c>
      <c r="AW299" s="1977">
        <f t="shared" si="205"/>
        <v>0</v>
      </c>
      <c r="AX299" s="1977">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ht="15.6">
      <c r="A300" s="83"/>
      <c r="B300" s="1391"/>
      <c r="C300" s="1392"/>
      <c r="D300" s="79"/>
      <c r="E300" s="86">
        <f t="shared" si="203"/>
        <v>0</v>
      </c>
      <c r="F300" s="87"/>
      <c r="G300" s="88">
        <f t="shared" si="178"/>
        <v>0</v>
      </c>
      <c r="H300" s="89">
        <f t="shared" si="179"/>
        <v>0</v>
      </c>
      <c r="I300" s="1394"/>
      <c r="J300" s="90"/>
      <c r="K300" s="1394"/>
      <c r="L300" s="90"/>
      <c r="M300" s="90"/>
      <c r="N300" s="90"/>
      <c r="O300" s="1362"/>
      <c r="P300" s="90"/>
      <c r="Q300" s="90"/>
      <c r="R300" s="90"/>
      <c r="S300" s="90"/>
      <c r="T300" s="90"/>
      <c r="U300" s="90"/>
      <c r="V300" s="90"/>
      <c r="W300" s="90"/>
      <c r="X300" s="90"/>
      <c r="Y300" s="90"/>
      <c r="Z300" s="90"/>
      <c r="AA300" s="90"/>
      <c r="AB300" s="90"/>
      <c r="AC300" s="86">
        <f t="shared" si="180"/>
        <v>0</v>
      </c>
      <c r="AD300" s="91"/>
      <c r="AE300" s="91"/>
      <c r="AF300" s="1395"/>
      <c r="AG300" s="91"/>
      <c r="AH300" s="91"/>
      <c r="AI300" s="91"/>
      <c r="AJ300" s="91"/>
      <c r="AK300" s="91"/>
      <c r="AL300" s="91"/>
      <c r="AM300" s="91"/>
      <c r="AN300" s="1362"/>
      <c r="AO300" s="91"/>
      <c r="AP300" s="91"/>
      <c r="AQ300" s="91"/>
      <c r="AR300" s="91"/>
      <c r="AS300" s="91"/>
      <c r="AT300" s="92"/>
      <c r="AU300" s="93"/>
      <c r="AV300" s="1977">
        <f t="shared" si="204"/>
        <v>0</v>
      </c>
      <c r="AW300" s="1977">
        <f t="shared" si="205"/>
        <v>0</v>
      </c>
      <c r="AX300" s="1977">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ht="15.6">
      <c r="A301" s="83"/>
      <c r="B301" s="1391"/>
      <c r="C301" s="1392"/>
      <c r="D301" s="79"/>
      <c r="E301" s="86">
        <f t="shared" si="203"/>
        <v>0</v>
      </c>
      <c r="F301" s="87"/>
      <c r="G301" s="88">
        <f t="shared" si="178"/>
        <v>0</v>
      </c>
      <c r="H301" s="89">
        <f t="shared" si="179"/>
        <v>0</v>
      </c>
      <c r="I301" s="1394"/>
      <c r="J301" s="90"/>
      <c r="K301" s="1394"/>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5"/>
      <c r="AG301" s="91"/>
      <c r="AH301" s="91"/>
      <c r="AI301" s="91"/>
      <c r="AJ301" s="91"/>
      <c r="AK301" s="91"/>
      <c r="AL301" s="91"/>
      <c r="AM301" s="91"/>
      <c r="AN301" s="91"/>
      <c r="AO301" s="91"/>
      <c r="AP301" s="91"/>
      <c r="AQ301" s="91"/>
      <c r="AR301" s="91"/>
      <c r="AS301" s="91"/>
      <c r="AT301" s="92"/>
      <c r="AU301" s="93"/>
      <c r="AV301" s="1977">
        <f t="shared" si="204"/>
        <v>0</v>
      </c>
      <c r="AW301" s="1977">
        <f t="shared" si="205"/>
        <v>0</v>
      </c>
      <c r="AX301" s="1977">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ht="15.6">
      <c r="A302" s="83"/>
      <c r="B302" s="1391"/>
      <c r="C302" s="1392"/>
      <c r="D302" s="79"/>
      <c r="E302" s="86">
        <f t="shared" si="203"/>
        <v>0</v>
      </c>
      <c r="F302" s="87"/>
      <c r="G302" s="88">
        <f t="shared" si="178"/>
        <v>0</v>
      </c>
      <c r="H302" s="89">
        <f t="shared" si="179"/>
        <v>0</v>
      </c>
      <c r="I302" s="1394"/>
      <c r="J302" s="90"/>
      <c r="K302" s="1394"/>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5"/>
      <c r="AG302" s="91"/>
      <c r="AH302" s="91"/>
      <c r="AI302" s="91"/>
      <c r="AJ302" s="91"/>
      <c r="AK302" s="91"/>
      <c r="AL302" s="91"/>
      <c r="AM302" s="91"/>
      <c r="AN302" s="91"/>
      <c r="AO302" s="91"/>
      <c r="AP302" s="91"/>
      <c r="AQ302" s="91"/>
      <c r="AR302" s="91"/>
      <c r="AS302" s="91"/>
      <c r="AT302" s="92"/>
      <c r="AU302" s="93"/>
      <c r="AV302" s="1977">
        <f t="shared" si="204"/>
        <v>0</v>
      </c>
      <c r="AW302" s="1977">
        <f t="shared" si="205"/>
        <v>0</v>
      </c>
      <c r="AX302" s="1977">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ht="15.6">
      <c r="A303" s="83"/>
      <c r="B303" s="1391"/>
      <c r="C303" s="1392"/>
      <c r="D303" s="79"/>
      <c r="E303" s="86">
        <f t="shared" si="203"/>
        <v>0</v>
      </c>
      <c r="F303" s="87"/>
      <c r="G303" s="88">
        <f t="shared" si="178"/>
        <v>0</v>
      </c>
      <c r="H303" s="89">
        <f t="shared" si="179"/>
        <v>0</v>
      </c>
      <c r="I303" s="1394"/>
      <c r="J303" s="90"/>
      <c r="K303" s="1394"/>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5"/>
      <c r="AG303" s="91"/>
      <c r="AH303" s="91"/>
      <c r="AI303" s="91"/>
      <c r="AJ303" s="91"/>
      <c r="AK303" s="91"/>
      <c r="AL303" s="91"/>
      <c r="AM303" s="91"/>
      <c r="AN303" s="91"/>
      <c r="AO303" s="91"/>
      <c r="AP303" s="91"/>
      <c r="AQ303" s="91"/>
      <c r="AR303" s="91"/>
      <c r="AS303" s="91"/>
      <c r="AT303" s="92"/>
      <c r="AU303" s="93"/>
      <c r="AV303" s="1977">
        <f t="shared" si="204"/>
        <v>0</v>
      </c>
      <c r="AW303" s="1977">
        <f t="shared" si="205"/>
        <v>0</v>
      </c>
      <c r="AX303" s="1977">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ht="15.6">
      <c r="A304" s="83"/>
      <c r="B304" s="1391"/>
      <c r="C304" s="1392"/>
      <c r="D304" s="79"/>
      <c r="E304" s="86">
        <f t="shared" si="203"/>
        <v>0</v>
      </c>
      <c r="F304" s="87"/>
      <c r="G304" s="88">
        <f t="shared" si="178"/>
        <v>0</v>
      </c>
      <c r="H304" s="89">
        <f t="shared" si="179"/>
        <v>0</v>
      </c>
      <c r="I304" s="1394"/>
      <c r="J304" s="90"/>
      <c r="K304" s="1394"/>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4"/>
      <c r="AG304" s="91"/>
      <c r="AH304" s="91"/>
      <c r="AI304" s="91"/>
      <c r="AJ304" s="91"/>
      <c r="AK304" s="91"/>
      <c r="AL304" s="91"/>
      <c r="AM304" s="91"/>
      <c r="AN304" s="91"/>
      <c r="AO304" s="91"/>
      <c r="AP304" s="91"/>
      <c r="AQ304" s="91"/>
      <c r="AR304" s="91"/>
      <c r="AS304" s="91"/>
      <c r="AT304" s="92"/>
      <c r="AU304" s="93"/>
      <c r="AV304" s="1977">
        <f t="shared" si="204"/>
        <v>0</v>
      </c>
      <c r="AW304" s="1977">
        <f t="shared" si="205"/>
        <v>0</v>
      </c>
      <c r="AX304" s="1977">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ht="15.6">
      <c r="A305" s="83"/>
      <c r="B305" s="1393"/>
      <c r="C305" s="1394"/>
      <c r="D305" s="79"/>
      <c r="E305" s="86">
        <f t="shared" si="203"/>
        <v>0</v>
      </c>
      <c r="F305" s="87"/>
      <c r="G305" s="88">
        <f t="shared" si="178"/>
        <v>0</v>
      </c>
      <c r="H305" s="89">
        <f t="shared" si="179"/>
        <v>0</v>
      </c>
      <c r="I305" s="1394"/>
      <c r="J305" s="90"/>
      <c r="K305" s="1394"/>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4"/>
      <c r="AG305" s="91"/>
      <c r="AH305" s="91"/>
      <c r="AI305" s="91"/>
      <c r="AJ305" s="91"/>
      <c r="AK305" s="91"/>
      <c r="AL305" s="91"/>
      <c r="AM305" s="91"/>
      <c r="AN305" s="91"/>
      <c r="AO305" s="91"/>
      <c r="AP305" s="91"/>
      <c r="AQ305" s="91"/>
      <c r="AR305" s="91"/>
      <c r="AS305" s="91"/>
      <c r="AT305" s="92"/>
      <c r="AU305" s="93"/>
      <c r="AV305" s="1977">
        <f t="shared" si="204"/>
        <v>0</v>
      </c>
      <c r="AW305" s="1977">
        <f t="shared" si="205"/>
        <v>0</v>
      </c>
      <c r="AX305" s="1977">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ht="15.6">
      <c r="A306" s="83"/>
      <c r="B306" s="1391"/>
      <c r="C306" s="1392"/>
      <c r="D306" s="79"/>
      <c r="E306" s="86">
        <f t="shared" si="203"/>
        <v>0</v>
      </c>
      <c r="F306" s="87"/>
      <c r="G306" s="88">
        <f t="shared" si="178"/>
        <v>0</v>
      </c>
      <c r="H306" s="89">
        <f t="shared" si="179"/>
        <v>0</v>
      </c>
      <c r="I306" s="1394"/>
      <c r="J306" s="90"/>
      <c r="K306" s="1394"/>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4"/>
      <c r="AG306" s="91"/>
      <c r="AH306" s="91"/>
      <c r="AI306" s="91"/>
      <c r="AJ306" s="91"/>
      <c r="AK306" s="91"/>
      <c r="AL306" s="91"/>
      <c r="AM306" s="91"/>
      <c r="AN306" s="91"/>
      <c r="AO306" s="91"/>
      <c r="AP306" s="91"/>
      <c r="AQ306" s="91"/>
      <c r="AR306" s="91"/>
      <c r="AS306" s="91"/>
      <c r="AT306" s="92"/>
      <c r="AU306" s="93"/>
      <c r="AV306" s="1977">
        <f t="shared" si="204"/>
        <v>0</v>
      </c>
      <c r="AW306" s="1977">
        <f t="shared" si="205"/>
        <v>0</v>
      </c>
      <c r="AX306" s="1977">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ht="15.6">
      <c r="A307" s="83"/>
      <c r="B307" s="1391"/>
      <c r="C307" s="1392"/>
      <c r="D307" s="79"/>
      <c r="E307" s="86">
        <f t="shared" si="203"/>
        <v>0</v>
      </c>
      <c r="F307" s="87"/>
      <c r="G307" s="88">
        <f t="shared" si="178"/>
        <v>0</v>
      </c>
      <c r="H307" s="89">
        <f t="shared" si="179"/>
        <v>0</v>
      </c>
      <c r="I307" s="1394"/>
      <c r="J307" s="90"/>
      <c r="K307" s="1394"/>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4"/>
      <c r="AG307" s="91"/>
      <c r="AH307" s="91"/>
      <c r="AI307" s="91"/>
      <c r="AJ307" s="91"/>
      <c r="AK307" s="91"/>
      <c r="AL307" s="91"/>
      <c r="AM307" s="91"/>
      <c r="AN307" s="91"/>
      <c r="AO307" s="91"/>
      <c r="AP307" s="91"/>
      <c r="AQ307" s="91"/>
      <c r="AR307" s="91"/>
      <c r="AS307" s="91"/>
      <c r="AT307" s="92"/>
      <c r="AU307" s="93"/>
      <c r="AV307" s="1977">
        <f t="shared" si="204"/>
        <v>0</v>
      </c>
      <c r="AW307" s="1977">
        <f t="shared" si="205"/>
        <v>0</v>
      </c>
      <c r="AX307" s="1977">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ht="15.6">
      <c r="A308" s="83"/>
      <c r="B308" s="1391"/>
      <c r="C308" s="1392"/>
      <c r="D308" s="79"/>
      <c r="E308" s="86">
        <f t="shared" si="203"/>
        <v>0</v>
      </c>
      <c r="F308" s="87"/>
      <c r="G308" s="88">
        <f t="shared" si="178"/>
        <v>0</v>
      </c>
      <c r="H308" s="89">
        <f t="shared" si="179"/>
        <v>0</v>
      </c>
      <c r="I308" s="1394"/>
      <c r="J308" s="90"/>
      <c r="K308" s="1394"/>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4"/>
      <c r="AG308" s="91"/>
      <c r="AH308" s="91"/>
      <c r="AI308" s="91"/>
      <c r="AJ308" s="91"/>
      <c r="AK308" s="91"/>
      <c r="AL308" s="91"/>
      <c r="AM308" s="91"/>
      <c r="AN308" s="91"/>
      <c r="AO308" s="91"/>
      <c r="AP308" s="91"/>
      <c r="AQ308" s="91"/>
      <c r="AR308" s="91"/>
      <c r="AS308" s="91"/>
      <c r="AT308" s="92"/>
      <c r="AU308" s="93"/>
      <c r="AV308" s="1977">
        <f t="shared" si="204"/>
        <v>0</v>
      </c>
      <c r="AW308" s="1977">
        <f t="shared" si="205"/>
        <v>0</v>
      </c>
      <c r="AX308" s="1977">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ht="15.6">
      <c r="A309" s="83"/>
      <c r="B309" s="1391"/>
      <c r="C309" s="1392"/>
      <c r="D309" s="79"/>
      <c r="E309" s="86">
        <f t="shared" si="203"/>
        <v>0</v>
      </c>
      <c r="F309" s="87"/>
      <c r="G309" s="88">
        <f t="shared" si="178"/>
        <v>0</v>
      </c>
      <c r="H309" s="89">
        <f t="shared" si="179"/>
        <v>0</v>
      </c>
      <c r="I309" s="1394"/>
      <c r="J309" s="90"/>
      <c r="K309" s="1394"/>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4"/>
      <c r="AG309" s="91"/>
      <c r="AH309" s="91"/>
      <c r="AI309" s="91"/>
      <c r="AJ309" s="91"/>
      <c r="AK309" s="91"/>
      <c r="AL309" s="91"/>
      <c r="AM309" s="91"/>
      <c r="AN309" s="91"/>
      <c r="AO309" s="91"/>
      <c r="AP309" s="91"/>
      <c r="AQ309" s="91"/>
      <c r="AR309" s="91"/>
      <c r="AS309" s="91"/>
      <c r="AT309" s="92"/>
      <c r="AU309" s="93"/>
      <c r="AV309" s="1977">
        <f t="shared" si="204"/>
        <v>0</v>
      </c>
      <c r="AW309" s="1977">
        <f t="shared" si="205"/>
        <v>0</v>
      </c>
      <c r="AX309" s="1977">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ht="15.6">
      <c r="A310" s="83"/>
      <c r="B310" s="1391"/>
      <c r="C310" s="1392"/>
      <c r="D310" s="79"/>
      <c r="E310" s="86">
        <f t="shared" si="203"/>
        <v>0</v>
      </c>
      <c r="F310" s="87"/>
      <c r="G310" s="88">
        <f t="shared" si="178"/>
        <v>0</v>
      </c>
      <c r="H310" s="89">
        <f t="shared" si="179"/>
        <v>0</v>
      </c>
      <c r="I310" s="1394"/>
      <c r="J310" s="90"/>
      <c r="K310" s="1394"/>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4"/>
      <c r="AG310" s="91"/>
      <c r="AH310" s="91"/>
      <c r="AI310" s="91"/>
      <c r="AJ310" s="91"/>
      <c r="AK310" s="91"/>
      <c r="AL310" s="91"/>
      <c r="AM310" s="91"/>
      <c r="AN310" s="91"/>
      <c r="AO310" s="91"/>
      <c r="AP310" s="91"/>
      <c r="AQ310" s="91"/>
      <c r="AR310" s="91"/>
      <c r="AS310" s="91"/>
      <c r="AT310" s="92"/>
      <c r="AU310" s="93"/>
      <c r="AV310" s="1977">
        <f t="shared" si="204"/>
        <v>0</v>
      </c>
      <c r="AW310" s="1977">
        <f t="shared" si="205"/>
        <v>0</v>
      </c>
      <c r="AX310" s="1977">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ht="15.6">
      <c r="A311" s="83"/>
      <c r="B311" s="1391"/>
      <c r="C311" s="1392"/>
      <c r="D311" s="79"/>
      <c r="E311" s="86">
        <f t="shared" si="203"/>
        <v>0</v>
      </c>
      <c r="F311" s="87"/>
      <c r="G311" s="88">
        <f t="shared" si="178"/>
        <v>0</v>
      </c>
      <c r="H311" s="89">
        <f t="shared" si="179"/>
        <v>0</v>
      </c>
      <c r="I311" s="1394"/>
      <c r="J311" s="90"/>
      <c r="K311" s="1394"/>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4"/>
      <c r="AG311" s="91"/>
      <c r="AH311" s="91"/>
      <c r="AI311" s="91"/>
      <c r="AJ311" s="91"/>
      <c r="AK311" s="91"/>
      <c r="AL311" s="91"/>
      <c r="AM311" s="91"/>
      <c r="AN311" s="91"/>
      <c r="AO311" s="91"/>
      <c r="AP311" s="91"/>
      <c r="AQ311" s="91"/>
      <c r="AR311" s="91"/>
      <c r="AS311" s="91"/>
      <c r="AT311" s="92"/>
      <c r="AU311" s="93"/>
      <c r="AV311" s="1977">
        <f t="shared" si="204"/>
        <v>0</v>
      </c>
      <c r="AW311" s="1977">
        <f t="shared" si="205"/>
        <v>0</v>
      </c>
      <c r="AX311" s="1977">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ht="15.6">
      <c r="A312" s="83"/>
      <c r="B312" s="1391"/>
      <c r="C312" s="1392"/>
      <c r="D312" s="79"/>
      <c r="E312" s="86">
        <f t="shared" si="203"/>
        <v>0</v>
      </c>
      <c r="F312" s="87"/>
      <c r="G312" s="88">
        <f t="shared" si="178"/>
        <v>0</v>
      </c>
      <c r="H312" s="89">
        <f t="shared" si="179"/>
        <v>0</v>
      </c>
      <c r="I312" s="1394"/>
      <c r="J312" s="90"/>
      <c r="K312" s="1394"/>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4"/>
      <c r="AG312" s="91"/>
      <c r="AH312" s="91"/>
      <c r="AI312" s="91"/>
      <c r="AJ312" s="91"/>
      <c r="AK312" s="91"/>
      <c r="AL312" s="91"/>
      <c r="AM312" s="91"/>
      <c r="AN312" s="91"/>
      <c r="AO312" s="91"/>
      <c r="AP312" s="91"/>
      <c r="AQ312" s="91"/>
      <c r="AR312" s="91"/>
      <c r="AS312" s="91"/>
      <c r="AT312" s="92"/>
      <c r="AU312" s="93"/>
      <c r="AV312" s="1977">
        <f t="shared" si="204"/>
        <v>0</v>
      </c>
      <c r="AW312" s="1977">
        <f t="shared" si="205"/>
        <v>0</v>
      </c>
      <c r="AX312" s="1977">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ht="15.6">
      <c r="A313" s="83"/>
      <c r="B313" s="1391"/>
      <c r="C313" s="1392"/>
      <c r="D313" s="79"/>
      <c r="E313" s="86">
        <f t="shared" si="203"/>
        <v>0</v>
      </c>
      <c r="F313" s="87"/>
      <c r="G313" s="88">
        <f t="shared" si="178"/>
        <v>0</v>
      </c>
      <c r="H313" s="89">
        <f t="shared" si="179"/>
        <v>0</v>
      </c>
      <c r="I313" s="1394"/>
      <c r="J313" s="90"/>
      <c r="K313" s="1394"/>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4"/>
      <c r="AG313" s="91"/>
      <c r="AH313" s="91"/>
      <c r="AI313" s="91"/>
      <c r="AJ313" s="91"/>
      <c r="AK313" s="91"/>
      <c r="AL313" s="91"/>
      <c r="AM313" s="91"/>
      <c r="AN313" s="91"/>
      <c r="AO313" s="91"/>
      <c r="AP313" s="91"/>
      <c r="AQ313" s="91"/>
      <c r="AR313" s="91"/>
      <c r="AS313" s="91"/>
      <c r="AT313" s="92"/>
      <c r="AU313" s="93"/>
      <c r="AV313" s="1977">
        <f t="shared" si="204"/>
        <v>0</v>
      </c>
      <c r="AW313" s="1977">
        <f t="shared" si="205"/>
        <v>0</v>
      </c>
      <c r="AX313" s="1977">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ht="15.6">
      <c r="A314" s="83"/>
      <c r="B314" s="1391"/>
      <c r="C314" s="1392"/>
      <c r="D314" s="79"/>
      <c r="E314" s="86">
        <f t="shared" si="203"/>
        <v>0</v>
      </c>
      <c r="F314" s="87"/>
      <c r="G314" s="88">
        <f t="shared" si="178"/>
        <v>0</v>
      </c>
      <c r="H314" s="89">
        <f t="shared" si="179"/>
        <v>0</v>
      </c>
      <c r="I314" s="1394"/>
      <c r="J314" s="90"/>
      <c r="K314" s="1394"/>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4"/>
      <c r="AG314" s="91"/>
      <c r="AH314" s="91"/>
      <c r="AI314" s="91"/>
      <c r="AJ314" s="91"/>
      <c r="AK314" s="91"/>
      <c r="AL314" s="91"/>
      <c r="AM314" s="91"/>
      <c r="AN314" s="91"/>
      <c r="AO314" s="91"/>
      <c r="AP314" s="91"/>
      <c r="AQ314" s="91"/>
      <c r="AR314" s="91"/>
      <c r="AS314" s="91"/>
      <c r="AT314" s="92"/>
      <c r="AU314" s="93"/>
      <c r="AV314" s="1977">
        <f t="shared" si="204"/>
        <v>0</v>
      </c>
      <c r="AW314" s="1977">
        <f t="shared" si="205"/>
        <v>0</v>
      </c>
      <c r="AX314" s="1977">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ht="15.6">
      <c r="A315" s="83"/>
      <c r="B315" s="1391"/>
      <c r="C315" s="1392"/>
      <c r="D315" s="79"/>
      <c r="E315" s="86">
        <f t="shared" si="203"/>
        <v>0</v>
      </c>
      <c r="F315" s="87"/>
      <c r="G315" s="88">
        <f t="shared" si="178"/>
        <v>0</v>
      </c>
      <c r="H315" s="89">
        <f t="shared" si="179"/>
        <v>0</v>
      </c>
      <c r="I315" s="1394"/>
      <c r="J315" s="90"/>
      <c r="K315" s="1394"/>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4"/>
      <c r="AG315" s="91"/>
      <c r="AH315" s="91"/>
      <c r="AI315" s="91"/>
      <c r="AJ315" s="91"/>
      <c r="AK315" s="91"/>
      <c r="AL315" s="91"/>
      <c r="AM315" s="91"/>
      <c r="AN315" s="91"/>
      <c r="AO315" s="91"/>
      <c r="AP315" s="91"/>
      <c r="AQ315" s="91"/>
      <c r="AR315" s="91"/>
      <c r="AS315" s="91"/>
      <c r="AT315" s="92"/>
      <c r="AU315" s="93"/>
      <c r="AV315" s="1977">
        <f t="shared" si="204"/>
        <v>0</v>
      </c>
      <c r="AW315" s="1977">
        <f t="shared" si="205"/>
        <v>0</v>
      </c>
      <c r="AX315" s="1977">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ht="15.6">
      <c r="A316" s="83"/>
      <c r="B316" s="1391"/>
      <c r="C316" s="1392"/>
      <c r="D316" s="79"/>
      <c r="E316" s="86">
        <f t="shared" si="203"/>
        <v>0</v>
      </c>
      <c r="F316" s="87"/>
      <c r="G316" s="88">
        <f t="shared" si="178"/>
        <v>0</v>
      </c>
      <c r="H316" s="89">
        <f t="shared" si="179"/>
        <v>0</v>
      </c>
      <c r="I316" s="1394"/>
      <c r="J316" s="90"/>
      <c r="K316" s="1394"/>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4"/>
      <c r="AG316" s="91"/>
      <c r="AH316" s="91"/>
      <c r="AI316" s="91"/>
      <c r="AJ316" s="91"/>
      <c r="AK316" s="91"/>
      <c r="AL316" s="91"/>
      <c r="AM316" s="91"/>
      <c r="AN316" s="91"/>
      <c r="AO316" s="91"/>
      <c r="AP316" s="91"/>
      <c r="AQ316" s="91"/>
      <c r="AR316" s="91"/>
      <c r="AS316" s="91"/>
      <c r="AT316" s="92"/>
      <c r="AU316" s="93"/>
      <c r="AV316" s="1977">
        <f t="shared" si="204"/>
        <v>0</v>
      </c>
      <c r="AW316" s="1977">
        <f t="shared" si="205"/>
        <v>0</v>
      </c>
      <c r="AX316" s="1977">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ht="15.6">
      <c r="A317" s="83"/>
      <c r="B317" s="1391"/>
      <c r="C317" s="1392"/>
      <c r="D317" s="79"/>
      <c r="E317" s="86">
        <f t="shared" si="203"/>
        <v>0</v>
      </c>
      <c r="F317" s="87"/>
      <c r="G317" s="88">
        <f t="shared" si="178"/>
        <v>0</v>
      </c>
      <c r="H317" s="89">
        <f t="shared" si="179"/>
        <v>0</v>
      </c>
      <c r="I317" s="1394"/>
      <c r="J317" s="90"/>
      <c r="K317" s="1394"/>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4"/>
      <c r="AG317" s="91"/>
      <c r="AH317" s="91"/>
      <c r="AI317" s="91"/>
      <c r="AJ317" s="91"/>
      <c r="AK317" s="91"/>
      <c r="AL317" s="91"/>
      <c r="AM317" s="91"/>
      <c r="AN317" s="91"/>
      <c r="AO317" s="91"/>
      <c r="AP317" s="91"/>
      <c r="AQ317" s="91"/>
      <c r="AR317" s="91"/>
      <c r="AS317" s="91"/>
      <c r="AT317" s="92"/>
      <c r="AU317" s="93"/>
      <c r="AV317" s="1977">
        <f t="shared" si="204"/>
        <v>0</v>
      </c>
      <c r="AW317" s="1977">
        <f t="shared" si="205"/>
        <v>0</v>
      </c>
      <c r="AX317" s="1977">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ht="15.6">
      <c r="A318" s="83"/>
      <c r="B318" s="1391"/>
      <c r="C318" s="1392"/>
      <c r="D318" s="79"/>
      <c r="E318" s="86">
        <f t="shared" si="203"/>
        <v>0</v>
      </c>
      <c r="F318" s="87"/>
      <c r="G318" s="88">
        <f t="shared" si="178"/>
        <v>0</v>
      </c>
      <c r="H318" s="89">
        <f t="shared" si="179"/>
        <v>0</v>
      </c>
      <c r="I318" s="1394"/>
      <c r="J318" s="90"/>
      <c r="K318" s="1394"/>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4"/>
      <c r="AG318" s="91"/>
      <c r="AH318" s="91"/>
      <c r="AI318" s="91"/>
      <c r="AJ318" s="91"/>
      <c r="AK318" s="91"/>
      <c r="AL318" s="91"/>
      <c r="AM318" s="91"/>
      <c r="AN318" s="91"/>
      <c r="AO318" s="91"/>
      <c r="AP318" s="91"/>
      <c r="AQ318" s="91"/>
      <c r="AR318" s="91"/>
      <c r="AS318" s="91"/>
      <c r="AT318" s="92"/>
      <c r="AU318" s="93"/>
      <c r="AV318" s="1977">
        <f t="shared" si="204"/>
        <v>0</v>
      </c>
      <c r="AW318" s="1977">
        <f t="shared" si="205"/>
        <v>0</v>
      </c>
      <c r="AX318" s="1977">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ht="15.6">
      <c r="A319" s="83"/>
      <c r="B319" s="1391"/>
      <c r="C319" s="1392"/>
      <c r="D319" s="79"/>
      <c r="E319" s="86">
        <f t="shared" si="203"/>
        <v>0</v>
      </c>
      <c r="F319" s="87"/>
      <c r="G319" s="88">
        <f t="shared" si="178"/>
        <v>0</v>
      </c>
      <c r="H319" s="89">
        <f t="shared" si="179"/>
        <v>0</v>
      </c>
      <c r="I319" s="1394"/>
      <c r="J319" s="90"/>
      <c r="K319" s="1394"/>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4"/>
      <c r="AG319" s="91"/>
      <c r="AH319" s="91"/>
      <c r="AI319" s="91"/>
      <c r="AJ319" s="91"/>
      <c r="AK319" s="91"/>
      <c r="AL319" s="91"/>
      <c r="AM319" s="91"/>
      <c r="AN319" s="91"/>
      <c r="AO319" s="91"/>
      <c r="AP319" s="91"/>
      <c r="AQ319" s="91"/>
      <c r="AR319" s="91"/>
      <c r="AS319" s="91"/>
      <c r="AT319" s="92"/>
      <c r="AU319" s="93"/>
      <c r="AV319" s="1977">
        <f t="shared" si="204"/>
        <v>0</v>
      </c>
      <c r="AW319" s="1977">
        <f t="shared" si="205"/>
        <v>0</v>
      </c>
      <c r="AX319" s="1977">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ht="15.6">
      <c r="A320" s="83"/>
      <c r="B320" s="1391"/>
      <c r="C320" s="1392"/>
      <c r="D320" s="79"/>
      <c r="E320" s="86">
        <f t="shared" si="203"/>
        <v>0</v>
      </c>
      <c r="F320" s="87"/>
      <c r="G320" s="88">
        <f t="shared" si="178"/>
        <v>0</v>
      </c>
      <c r="H320" s="89">
        <f t="shared" si="179"/>
        <v>0</v>
      </c>
      <c r="I320" s="1394"/>
      <c r="J320" s="90"/>
      <c r="K320" s="1394"/>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4"/>
      <c r="AG320" s="91"/>
      <c r="AH320" s="91"/>
      <c r="AI320" s="91"/>
      <c r="AJ320" s="91"/>
      <c r="AK320" s="91"/>
      <c r="AL320" s="91"/>
      <c r="AM320" s="91"/>
      <c r="AN320" s="91"/>
      <c r="AO320" s="91"/>
      <c r="AP320" s="91"/>
      <c r="AQ320" s="91"/>
      <c r="AR320" s="91"/>
      <c r="AS320" s="91"/>
      <c r="AT320" s="92"/>
      <c r="AU320" s="93"/>
      <c r="AV320" s="1977">
        <f t="shared" si="204"/>
        <v>0</v>
      </c>
      <c r="AW320" s="1977">
        <f t="shared" si="205"/>
        <v>0</v>
      </c>
      <c r="AX320" s="1977">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ht="15.6">
      <c r="A321" s="83"/>
      <c r="B321" s="1391"/>
      <c r="C321" s="1392"/>
      <c r="D321" s="79"/>
      <c r="E321" s="86">
        <f t="shared" si="203"/>
        <v>0</v>
      </c>
      <c r="F321" s="87"/>
      <c r="G321" s="88">
        <f t="shared" si="178"/>
        <v>0</v>
      </c>
      <c r="H321" s="89">
        <f t="shared" si="179"/>
        <v>0</v>
      </c>
      <c r="I321" s="1394"/>
      <c r="J321" s="90"/>
      <c r="K321" s="1394"/>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4"/>
      <c r="AG321" s="91"/>
      <c r="AH321" s="91"/>
      <c r="AI321" s="91"/>
      <c r="AJ321" s="91"/>
      <c r="AK321" s="91"/>
      <c r="AL321" s="91"/>
      <c r="AM321" s="91"/>
      <c r="AN321" s="91"/>
      <c r="AO321" s="91"/>
      <c r="AP321" s="91"/>
      <c r="AQ321" s="91"/>
      <c r="AR321" s="91"/>
      <c r="AS321" s="91"/>
      <c r="AT321" s="92"/>
      <c r="AU321" s="93"/>
      <c r="AV321" s="1977">
        <f t="shared" si="204"/>
        <v>0</v>
      </c>
      <c r="AW321" s="1977">
        <f t="shared" si="205"/>
        <v>0</v>
      </c>
      <c r="AX321" s="1977">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ht="15.6">
      <c r="A322" s="83"/>
      <c r="B322" s="1391"/>
      <c r="C322" s="1392"/>
      <c r="D322" s="79"/>
      <c r="E322" s="86">
        <f t="shared" si="203"/>
        <v>0</v>
      </c>
      <c r="F322" s="87"/>
      <c r="G322" s="88">
        <f t="shared" si="178"/>
        <v>0</v>
      </c>
      <c r="H322" s="89">
        <f t="shared" si="179"/>
        <v>0</v>
      </c>
      <c r="I322" s="1394"/>
      <c r="J322" s="90"/>
      <c r="K322" s="1394"/>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4"/>
      <c r="AG322" s="91"/>
      <c r="AH322" s="91"/>
      <c r="AI322" s="91"/>
      <c r="AJ322" s="91"/>
      <c r="AK322" s="91"/>
      <c r="AL322" s="91"/>
      <c r="AM322" s="91"/>
      <c r="AN322" s="91"/>
      <c r="AO322" s="91"/>
      <c r="AP322" s="91"/>
      <c r="AQ322" s="91"/>
      <c r="AR322" s="91"/>
      <c r="AS322" s="91"/>
      <c r="AT322" s="92"/>
      <c r="AU322" s="93"/>
      <c r="AV322" s="1977">
        <f t="shared" si="204"/>
        <v>0</v>
      </c>
      <c r="AW322" s="1977">
        <f t="shared" si="205"/>
        <v>0</v>
      </c>
      <c r="AX322" s="1977">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ht="15.6">
      <c r="A323" s="83"/>
      <c r="B323" s="1391"/>
      <c r="C323" s="1392"/>
      <c r="D323" s="79"/>
      <c r="E323" s="86">
        <f t="shared" si="203"/>
        <v>0</v>
      </c>
      <c r="F323" s="87"/>
      <c r="G323" s="88">
        <f t="shared" si="178"/>
        <v>0</v>
      </c>
      <c r="H323" s="89">
        <f t="shared" si="179"/>
        <v>0</v>
      </c>
      <c r="I323" s="1394"/>
      <c r="J323" s="90"/>
      <c r="K323" s="1394"/>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2"/>
      <c r="AG323" s="91"/>
      <c r="AH323" s="91"/>
      <c r="AI323" s="91"/>
      <c r="AJ323" s="91"/>
      <c r="AK323" s="91"/>
      <c r="AL323" s="91"/>
      <c r="AM323" s="91"/>
      <c r="AN323" s="91"/>
      <c r="AO323" s="91"/>
      <c r="AP323" s="91"/>
      <c r="AQ323" s="91"/>
      <c r="AR323" s="91"/>
      <c r="AS323" s="91"/>
      <c r="AT323" s="92"/>
      <c r="AU323" s="93"/>
      <c r="AV323" s="1977">
        <f t="shared" si="204"/>
        <v>0</v>
      </c>
      <c r="AW323" s="1977">
        <f t="shared" si="205"/>
        <v>0</v>
      </c>
      <c r="AX323" s="1977">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ht="15.6">
      <c r="A324" s="83"/>
      <c r="B324" s="1391"/>
      <c r="C324" s="1392"/>
      <c r="D324" s="79"/>
      <c r="E324" s="86">
        <f t="shared" si="203"/>
        <v>0</v>
      </c>
      <c r="F324" s="87"/>
      <c r="G324" s="88">
        <f t="shared" si="178"/>
        <v>0</v>
      </c>
      <c r="H324" s="89">
        <f t="shared" si="179"/>
        <v>0</v>
      </c>
      <c r="I324" s="1392"/>
      <c r="J324" s="90"/>
      <c r="K324" s="1392"/>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2"/>
      <c r="AG324" s="91"/>
      <c r="AH324" s="91"/>
      <c r="AI324" s="91"/>
      <c r="AJ324" s="91"/>
      <c r="AK324" s="91"/>
      <c r="AL324" s="91"/>
      <c r="AM324" s="91"/>
      <c r="AN324" s="91"/>
      <c r="AO324" s="91"/>
      <c r="AP324" s="91"/>
      <c r="AQ324" s="91"/>
      <c r="AR324" s="91"/>
      <c r="AS324" s="91"/>
      <c r="AT324" s="92"/>
      <c r="AU324" s="93"/>
      <c r="AV324" s="1977">
        <f t="shared" si="204"/>
        <v>0</v>
      </c>
      <c r="AW324" s="1977">
        <f t="shared" si="205"/>
        <v>0</v>
      </c>
      <c r="AX324" s="1977">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ht="15.6">
      <c r="A325" s="83"/>
      <c r="B325" s="1391"/>
      <c r="C325" s="1392"/>
      <c r="D325" s="79"/>
      <c r="E325" s="86">
        <f t="shared" si="203"/>
        <v>0</v>
      </c>
      <c r="F325" s="87"/>
      <c r="G325" s="88">
        <f t="shared" si="178"/>
        <v>0</v>
      </c>
      <c r="H325" s="89">
        <f t="shared" si="179"/>
        <v>0</v>
      </c>
      <c r="I325" s="1392"/>
      <c r="J325" s="90"/>
      <c r="K325" s="1392"/>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2"/>
      <c r="AG325" s="91"/>
      <c r="AH325" s="91"/>
      <c r="AI325" s="91"/>
      <c r="AJ325" s="91"/>
      <c r="AK325" s="91"/>
      <c r="AL325" s="91"/>
      <c r="AM325" s="91"/>
      <c r="AN325" s="91"/>
      <c r="AO325" s="91"/>
      <c r="AP325" s="91"/>
      <c r="AQ325" s="91"/>
      <c r="AR325" s="91"/>
      <c r="AS325" s="91"/>
      <c r="AT325" s="92"/>
      <c r="AU325" s="93"/>
      <c r="AV325" s="1977">
        <f t="shared" si="204"/>
        <v>0</v>
      </c>
      <c r="AW325" s="1977">
        <f t="shared" si="205"/>
        <v>0</v>
      </c>
      <c r="AX325" s="1977">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ht="15.6">
      <c r="A326" s="83"/>
      <c r="B326" s="1391"/>
      <c r="C326" s="1392"/>
      <c r="D326" s="79"/>
      <c r="E326" s="86">
        <f t="shared" si="203"/>
        <v>0</v>
      </c>
      <c r="F326" s="87"/>
      <c r="G326" s="88">
        <f t="shared" ref="G326:G357" si="207">H326+AC326+AT326</f>
        <v>0</v>
      </c>
      <c r="H326" s="89">
        <f t="shared" ref="H326:H357" si="208">SUMIF(I$12:AB$12,"总值",I326:AB326)</f>
        <v>0</v>
      </c>
      <c r="I326" s="1392"/>
      <c r="J326" s="90"/>
      <c r="K326" s="1392"/>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2"/>
      <c r="AG326" s="91"/>
      <c r="AH326" s="91"/>
      <c r="AI326" s="91"/>
      <c r="AJ326" s="91"/>
      <c r="AK326" s="91"/>
      <c r="AL326" s="91"/>
      <c r="AM326" s="91"/>
      <c r="AN326" s="91"/>
      <c r="AO326" s="91"/>
      <c r="AP326" s="91"/>
      <c r="AQ326" s="91"/>
      <c r="AR326" s="91"/>
      <c r="AS326" s="91"/>
      <c r="AT326" s="92"/>
      <c r="AU326" s="93"/>
      <c r="AV326" s="1977">
        <f t="shared" si="204"/>
        <v>0</v>
      </c>
      <c r="AW326" s="1977">
        <f t="shared" si="205"/>
        <v>0</v>
      </c>
      <c r="AX326" s="1977">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ht="15.6">
      <c r="A327" s="83"/>
      <c r="B327" s="1391"/>
      <c r="C327" s="1392"/>
      <c r="D327" s="79"/>
      <c r="E327" s="86">
        <f t="shared" si="203"/>
        <v>0</v>
      </c>
      <c r="F327" s="87"/>
      <c r="G327" s="88">
        <f t="shared" si="207"/>
        <v>0</v>
      </c>
      <c r="H327" s="89">
        <f t="shared" si="208"/>
        <v>0</v>
      </c>
      <c r="I327" s="1392"/>
      <c r="J327" s="90"/>
      <c r="K327" s="1392"/>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2"/>
      <c r="AG327" s="91"/>
      <c r="AH327" s="91"/>
      <c r="AI327" s="91"/>
      <c r="AJ327" s="91"/>
      <c r="AK327" s="91"/>
      <c r="AL327" s="91"/>
      <c r="AM327" s="91"/>
      <c r="AN327" s="91"/>
      <c r="AO327" s="91"/>
      <c r="AP327" s="91"/>
      <c r="AQ327" s="91"/>
      <c r="AR327" s="91"/>
      <c r="AS327" s="91"/>
      <c r="AT327" s="92"/>
      <c r="AU327" s="93"/>
      <c r="AV327" s="1977">
        <f t="shared" si="204"/>
        <v>0</v>
      </c>
      <c r="AW327" s="1977">
        <f t="shared" si="205"/>
        <v>0</v>
      </c>
      <c r="AX327" s="1977">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ht="15.6">
      <c r="A328" s="83"/>
      <c r="B328" s="1391"/>
      <c r="C328" s="1392"/>
      <c r="D328" s="79"/>
      <c r="E328" s="86">
        <f t="shared" si="203"/>
        <v>0</v>
      </c>
      <c r="F328" s="87"/>
      <c r="G328" s="88">
        <f t="shared" si="207"/>
        <v>0</v>
      </c>
      <c r="H328" s="89">
        <f t="shared" si="208"/>
        <v>0</v>
      </c>
      <c r="I328" s="1392"/>
      <c r="J328" s="90"/>
      <c r="K328" s="1392"/>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2"/>
      <c r="AG328" s="91"/>
      <c r="AH328" s="91"/>
      <c r="AI328" s="91"/>
      <c r="AJ328" s="91"/>
      <c r="AK328" s="91"/>
      <c r="AL328" s="91"/>
      <c r="AM328" s="91"/>
      <c r="AN328" s="91"/>
      <c r="AO328" s="91"/>
      <c r="AP328" s="91"/>
      <c r="AQ328" s="91"/>
      <c r="AR328" s="91"/>
      <c r="AS328" s="91"/>
      <c r="AT328" s="92"/>
      <c r="AU328" s="93"/>
      <c r="AV328" s="1977">
        <f t="shared" si="204"/>
        <v>0</v>
      </c>
      <c r="AW328" s="1977">
        <f t="shared" si="205"/>
        <v>0</v>
      </c>
      <c r="AX328" s="1977">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ht="15.6">
      <c r="A329" s="83"/>
      <c r="B329" s="1391"/>
      <c r="C329" s="1392"/>
      <c r="D329" s="79"/>
      <c r="E329" s="86">
        <f t="shared" ref="E329:E360" si="232">IF($C$3="是",ROUND($A$3*G329/$B$3,2),ROUND($A$3*(G329-AT329)/$B$3,2))</f>
        <v>0</v>
      </c>
      <c r="F329" s="87"/>
      <c r="G329" s="88">
        <f t="shared" si="207"/>
        <v>0</v>
      </c>
      <c r="H329" s="89">
        <f t="shared" si="208"/>
        <v>0</v>
      </c>
      <c r="I329" s="1392"/>
      <c r="J329" s="90"/>
      <c r="K329" s="1392"/>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2"/>
      <c r="AG329" s="91"/>
      <c r="AH329" s="91"/>
      <c r="AI329" s="91"/>
      <c r="AJ329" s="91"/>
      <c r="AK329" s="91"/>
      <c r="AL329" s="91"/>
      <c r="AM329" s="91"/>
      <c r="AN329" s="91"/>
      <c r="AO329" s="91"/>
      <c r="AP329" s="91"/>
      <c r="AQ329" s="91"/>
      <c r="AR329" s="91"/>
      <c r="AS329" s="91"/>
      <c r="AT329" s="92"/>
      <c r="AU329" s="93"/>
      <c r="AV329" s="1977">
        <f t="shared" ref="AV329:AV360" si="233">A329</f>
        <v>0</v>
      </c>
      <c r="AW329" s="1977">
        <f t="shared" ref="AW329:AW360" si="234">B329</f>
        <v>0</v>
      </c>
      <c r="AX329" s="1977">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ht="15.6">
      <c r="A330" s="83"/>
      <c r="B330" s="1391"/>
      <c r="C330" s="1392"/>
      <c r="D330" s="79"/>
      <c r="E330" s="86">
        <f t="shared" si="232"/>
        <v>0</v>
      </c>
      <c r="F330" s="87"/>
      <c r="G330" s="88">
        <f t="shared" si="207"/>
        <v>0</v>
      </c>
      <c r="H330" s="89">
        <f t="shared" si="208"/>
        <v>0</v>
      </c>
      <c r="I330" s="1392"/>
      <c r="J330" s="90"/>
      <c r="K330" s="1392"/>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2"/>
      <c r="AG330" s="91"/>
      <c r="AH330" s="91"/>
      <c r="AI330" s="91"/>
      <c r="AJ330" s="91"/>
      <c r="AK330" s="91"/>
      <c r="AL330" s="91"/>
      <c r="AM330" s="91"/>
      <c r="AN330" s="91"/>
      <c r="AO330" s="91"/>
      <c r="AP330" s="91"/>
      <c r="AQ330" s="91"/>
      <c r="AR330" s="91"/>
      <c r="AS330" s="91"/>
      <c r="AT330" s="92"/>
      <c r="AU330" s="93"/>
      <c r="AV330" s="1977">
        <f t="shared" si="233"/>
        <v>0</v>
      </c>
      <c r="AW330" s="1977">
        <f t="shared" si="234"/>
        <v>0</v>
      </c>
      <c r="AX330" s="1977">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ht="15.6">
      <c r="A331" s="83"/>
      <c r="B331" s="1393"/>
      <c r="C331" s="1394"/>
      <c r="D331" s="79"/>
      <c r="E331" s="86">
        <f t="shared" si="232"/>
        <v>0</v>
      </c>
      <c r="F331" s="87"/>
      <c r="G331" s="88">
        <f t="shared" si="207"/>
        <v>0</v>
      </c>
      <c r="H331" s="89">
        <f t="shared" si="208"/>
        <v>0</v>
      </c>
      <c r="I331" s="1392"/>
      <c r="J331" s="90"/>
      <c r="K331" s="1392"/>
      <c r="L331" s="90"/>
      <c r="M331" s="1392"/>
      <c r="N331" s="90"/>
      <c r="O331" s="90"/>
      <c r="P331" s="90"/>
      <c r="Q331" s="90"/>
      <c r="R331" s="90"/>
      <c r="S331" s="90"/>
      <c r="T331" s="90"/>
      <c r="U331" s="90"/>
      <c r="V331" s="90"/>
      <c r="W331" s="90"/>
      <c r="X331" s="90"/>
      <c r="Y331" s="90"/>
      <c r="Z331" s="90"/>
      <c r="AA331" s="90"/>
      <c r="AB331" s="90"/>
      <c r="AC331" s="86">
        <f t="shared" si="209"/>
        <v>0</v>
      </c>
      <c r="AD331" s="91"/>
      <c r="AE331" s="91"/>
      <c r="AF331" s="1392"/>
      <c r="AG331" s="91"/>
      <c r="AH331" s="91"/>
      <c r="AI331" s="91"/>
      <c r="AJ331" s="91"/>
      <c r="AK331" s="91"/>
      <c r="AL331" s="91"/>
      <c r="AM331" s="91"/>
      <c r="AN331" s="91"/>
      <c r="AO331" s="91"/>
      <c r="AP331" s="91"/>
      <c r="AQ331" s="91"/>
      <c r="AR331" s="91"/>
      <c r="AS331" s="91"/>
      <c r="AT331" s="92"/>
      <c r="AU331" s="93"/>
      <c r="AV331" s="1977">
        <f t="shared" si="233"/>
        <v>0</v>
      </c>
      <c r="AW331" s="1977">
        <f t="shared" si="234"/>
        <v>0</v>
      </c>
      <c r="AX331" s="1977">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7">
        <f t="shared" si="233"/>
        <v>0</v>
      </c>
      <c r="AW332" s="1977">
        <f t="shared" si="234"/>
        <v>0</v>
      </c>
      <c r="AX332" s="1977">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7">
        <f t="shared" si="233"/>
        <v>0</v>
      </c>
      <c r="AW333" s="1977">
        <f t="shared" si="234"/>
        <v>0</v>
      </c>
      <c r="AX333" s="1977">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7">
        <f t="shared" si="233"/>
        <v>0</v>
      </c>
      <c r="AW334" s="1977">
        <f t="shared" si="234"/>
        <v>0</v>
      </c>
      <c r="AX334" s="1977">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7">
        <f t="shared" si="233"/>
        <v>0</v>
      </c>
      <c r="AW335" s="1977">
        <f t="shared" si="234"/>
        <v>0</v>
      </c>
      <c r="AX335" s="1977">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7">
        <f t="shared" si="233"/>
        <v>0</v>
      </c>
      <c r="AW336" s="1977">
        <f t="shared" si="234"/>
        <v>0</v>
      </c>
      <c r="AX336" s="1977">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7">
        <f t="shared" si="233"/>
        <v>0</v>
      </c>
      <c r="AW337" s="1977">
        <f t="shared" si="234"/>
        <v>0</v>
      </c>
      <c r="AX337" s="1977">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7">
        <f t="shared" si="233"/>
        <v>0</v>
      </c>
      <c r="AW338" s="1977">
        <f t="shared" si="234"/>
        <v>0</v>
      </c>
      <c r="AX338" s="1977">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7">
        <f t="shared" si="233"/>
        <v>0</v>
      </c>
      <c r="AW339" s="1977">
        <f t="shared" si="234"/>
        <v>0</v>
      </c>
      <c r="AX339" s="1977">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7">
        <f t="shared" si="233"/>
        <v>0</v>
      </c>
      <c r="AW340" s="1977">
        <f t="shared" si="234"/>
        <v>0</v>
      </c>
      <c r="AX340" s="1977">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7">
        <f t="shared" si="233"/>
        <v>0</v>
      </c>
      <c r="AW341" s="1977">
        <f t="shared" si="234"/>
        <v>0</v>
      </c>
      <c r="AX341" s="1977">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7">
        <f t="shared" si="233"/>
        <v>0</v>
      </c>
      <c r="AW342" s="1977">
        <f t="shared" si="234"/>
        <v>0</v>
      </c>
      <c r="AX342" s="1977">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7">
        <f t="shared" si="233"/>
        <v>0</v>
      </c>
      <c r="AW343" s="1977">
        <f t="shared" si="234"/>
        <v>0</v>
      </c>
      <c r="AX343" s="1977">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7">
        <f t="shared" si="233"/>
        <v>0</v>
      </c>
      <c r="AW344" s="1977">
        <f t="shared" si="234"/>
        <v>0</v>
      </c>
      <c r="AX344" s="1977">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7">
        <f t="shared" si="233"/>
        <v>0</v>
      </c>
      <c r="AW345" s="1977">
        <f t="shared" si="234"/>
        <v>0</v>
      </c>
      <c r="AX345" s="1977">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7">
        <f t="shared" si="233"/>
        <v>0</v>
      </c>
      <c r="AW346" s="1977">
        <f t="shared" si="234"/>
        <v>0</v>
      </c>
      <c r="AX346" s="1977">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7">
        <f t="shared" si="233"/>
        <v>0</v>
      </c>
      <c r="AW347" s="1977">
        <f t="shared" si="234"/>
        <v>0</v>
      </c>
      <c r="AX347" s="1977">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7">
        <f t="shared" si="233"/>
        <v>0</v>
      </c>
      <c r="AW348" s="1977">
        <f t="shared" si="234"/>
        <v>0</v>
      </c>
      <c r="AX348" s="1977">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7">
        <f t="shared" si="233"/>
        <v>0</v>
      </c>
      <c r="AW349" s="1977">
        <f t="shared" si="234"/>
        <v>0</v>
      </c>
      <c r="AX349" s="1977">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7">
        <f t="shared" si="233"/>
        <v>0</v>
      </c>
      <c r="AW350" s="1977">
        <f t="shared" si="234"/>
        <v>0</v>
      </c>
      <c r="AX350" s="1977">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7">
        <f t="shared" si="233"/>
        <v>0</v>
      </c>
      <c r="AW351" s="1977">
        <f t="shared" si="234"/>
        <v>0</v>
      </c>
      <c r="AX351" s="1977">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7">
        <f t="shared" si="233"/>
        <v>0</v>
      </c>
      <c r="AW352" s="1977">
        <f t="shared" si="234"/>
        <v>0</v>
      </c>
      <c r="AX352" s="1977">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7">
        <f t="shared" si="233"/>
        <v>0</v>
      </c>
      <c r="AW353" s="1977">
        <f t="shared" si="234"/>
        <v>0</v>
      </c>
      <c r="AX353" s="1977">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7">
        <f t="shared" si="233"/>
        <v>0</v>
      </c>
      <c r="AW354" s="1977">
        <f t="shared" si="234"/>
        <v>0</v>
      </c>
      <c r="AX354" s="1977">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7">
        <f t="shared" si="233"/>
        <v>0</v>
      </c>
      <c r="AW355" s="1977">
        <f t="shared" si="234"/>
        <v>0</v>
      </c>
      <c r="AX355" s="1977">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7">
        <f t="shared" si="233"/>
        <v>0</v>
      </c>
      <c r="AW356" s="1977">
        <f t="shared" si="234"/>
        <v>0</v>
      </c>
      <c r="AX356" s="1977">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7">
        <f t="shared" si="233"/>
        <v>0</v>
      </c>
      <c r="AW357" s="1977">
        <f t="shared" si="234"/>
        <v>0</v>
      </c>
      <c r="AX357" s="1977">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7">
        <f t="shared" si="233"/>
        <v>0</v>
      </c>
      <c r="AW358" s="1977">
        <f t="shared" si="234"/>
        <v>0</v>
      </c>
      <c r="AX358" s="1977">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7">
        <f t="shared" si="233"/>
        <v>0</v>
      </c>
      <c r="AW359" s="1977">
        <f t="shared" si="234"/>
        <v>0</v>
      </c>
      <c r="AX359" s="1977">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7">
        <f t="shared" si="233"/>
        <v>0</v>
      </c>
      <c r="AW360" s="1977">
        <f t="shared" si="234"/>
        <v>0</v>
      </c>
      <c r="AX360" s="1977">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7">
        <f t="shared" ref="AV361:AV388" si="262">A361</f>
        <v>0</v>
      </c>
      <c r="AW361" s="1977">
        <f t="shared" ref="AW361:AW388" si="263">B361</f>
        <v>0</v>
      </c>
      <c r="AX361" s="1977">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7">
        <f t="shared" si="262"/>
        <v>0</v>
      </c>
      <c r="AW362" s="1977">
        <f t="shared" si="263"/>
        <v>0</v>
      </c>
      <c r="AX362" s="1977">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7">
        <f t="shared" si="262"/>
        <v>0</v>
      </c>
      <c r="AW363" s="1977">
        <f t="shared" si="263"/>
        <v>0</v>
      </c>
      <c r="AX363" s="1977">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7">
        <f t="shared" si="262"/>
        <v>0</v>
      </c>
      <c r="AW364" s="1977">
        <f t="shared" si="263"/>
        <v>0</v>
      </c>
      <c r="AX364" s="1977">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7">
        <f t="shared" si="262"/>
        <v>0</v>
      </c>
      <c r="AW365" s="1977">
        <f t="shared" si="263"/>
        <v>0</v>
      </c>
      <c r="AX365" s="1977">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7">
        <f t="shared" si="262"/>
        <v>0</v>
      </c>
      <c r="AW366" s="1977">
        <f t="shared" si="263"/>
        <v>0</v>
      </c>
      <c r="AX366" s="1977">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7">
        <f t="shared" si="262"/>
        <v>0</v>
      </c>
      <c r="AW367" s="1977">
        <f t="shared" si="263"/>
        <v>0</v>
      </c>
      <c r="AX367" s="1977">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7">
        <f t="shared" si="262"/>
        <v>0</v>
      </c>
      <c r="AW368" s="1977">
        <f t="shared" si="263"/>
        <v>0</v>
      </c>
      <c r="AX368" s="1977">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7">
        <f t="shared" si="262"/>
        <v>0</v>
      </c>
      <c r="AW369" s="1977">
        <f t="shared" si="263"/>
        <v>0</v>
      </c>
      <c r="AX369" s="1977">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7">
        <f t="shared" si="262"/>
        <v>0</v>
      </c>
      <c r="AW370" s="1977">
        <f t="shared" si="263"/>
        <v>0</v>
      </c>
      <c r="AX370" s="1977">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7">
        <f t="shared" si="262"/>
        <v>0</v>
      </c>
      <c r="AW371" s="1977">
        <f t="shared" si="263"/>
        <v>0</v>
      </c>
      <c r="AX371" s="1977">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7">
        <f t="shared" si="262"/>
        <v>0</v>
      </c>
      <c r="AW372" s="1977">
        <f t="shared" si="263"/>
        <v>0</v>
      </c>
      <c r="AX372" s="1977">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7">
        <f t="shared" si="262"/>
        <v>0</v>
      </c>
      <c r="AW373" s="1977">
        <f t="shared" si="263"/>
        <v>0</v>
      </c>
      <c r="AX373" s="1977">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7">
        <f t="shared" si="262"/>
        <v>0</v>
      </c>
      <c r="AW374" s="1977">
        <f t="shared" si="263"/>
        <v>0</v>
      </c>
      <c r="AX374" s="1977">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7">
        <f t="shared" si="262"/>
        <v>0</v>
      </c>
      <c r="AW375" s="1977">
        <f t="shared" si="263"/>
        <v>0</v>
      </c>
      <c r="AX375" s="1977">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7">
        <f t="shared" si="262"/>
        <v>0</v>
      </c>
      <c r="AW376" s="1977">
        <f t="shared" si="263"/>
        <v>0</v>
      </c>
      <c r="AX376" s="1977">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7">
        <f t="shared" si="262"/>
        <v>0</v>
      </c>
      <c r="AW377" s="1977">
        <f t="shared" si="263"/>
        <v>0</v>
      </c>
      <c r="AX377" s="1977">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7">
        <f t="shared" si="262"/>
        <v>0</v>
      </c>
      <c r="AW378" s="1977">
        <f t="shared" si="263"/>
        <v>0</v>
      </c>
      <c r="AX378" s="1977">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7">
        <f t="shared" si="262"/>
        <v>0</v>
      </c>
      <c r="AW379" s="1977">
        <f t="shared" si="263"/>
        <v>0</v>
      </c>
      <c r="AX379" s="1977">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7">
        <f t="shared" si="262"/>
        <v>0</v>
      </c>
      <c r="AW380" s="1977">
        <f t="shared" si="263"/>
        <v>0</v>
      </c>
      <c r="AX380" s="1977">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7">
        <f t="shared" si="262"/>
        <v>0</v>
      </c>
      <c r="AW381" s="1977">
        <f t="shared" si="263"/>
        <v>0</v>
      </c>
      <c r="AX381" s="1977">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7">
        <f t="shared" si="262"/>
        <v>0</v>
      </c>
      <c r="AW382" s="1977">
        <f t="shared" si="263"/>
        <v>0</v>
      </c>
      <c r="AX382" s="1977">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7">
        <f t="shared" si="262"/>
        <v>0</v>
      </c>
      <c r="AW383" s="1977">
        <f t="shared" si="263"/>
        <v>0</v>
      </c>
      <c r="AX383" s="1977">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7">
        <f t="shared" si="262"/>
        <v>0</v>
      </c>
      <c r="AW384" s="1977">
        <f t="shared" si="263"/>
        <v>0</v>
      </c>
      <c r="AX384" s="1977">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7">
        <f t="shared" si="262"/>
        <v>0</v>
      </c>
      <c r="AW385" s="1977">
        <f t="shared" si="263"/>
        <v>0</v>
      </c>
      <c r="AX385" s="1977">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7">
        <f t="shared" si="262"/>
        <v>0</v>
      </c>
      <c r="AW386" s="1977">
        <f t="shared" si="263"/>
        <v>0</v>
      </c>
      <c r="AX386" s="1977">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7">
        <f t="shared" si="262"/>
        <v>0</v>
      </c>
      <c r="AW387" s="1977">
        <f t="shared" si="263"/>
        <v>0</v>
      </c>
      <c r="AX387" s="1977">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7">
        <f t="shared" si="262"/>
        <v>0</v>
      </c>
      <c r="AW388" s="1977">
        <f t="shared" si="263"/>
        <v>0</v>
      </c>
      <c r="AX388" s="1977">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ht="15.6">
      <c r="A389" s="83"/>
      <c r="B389" s="1391"/>
      <c r="C389" s="1392"/>
      <c r="D389" s="79"/>
      <c r="E389" s="86">
        <f t="shared" ref="E389:E480" si="265">IF($C$3="是",ROUND($A$3*G389/$B$3,2),ROUND($A$3*(G389-AT389)/$B$3,2))</f>
        <v>0</v>
      </c>
      <c r="F389" s="87"/>
      <c r="G389" s="88">
        <f t="shared" ref="G389:G477" si="266">H389+AC389+AT389</f>
        <v>0</v>
      </c>
      <c r="H389" s="89">
        <f t="shared" ref="H389:H477" si="267">SUMIF(I$12:AB$12,"总值",I389:AB389)</f>
        <v>0</v>
      </c>
      <c r="I389" s="1394"/>
      <c r="J389" s="90"/>
      <c r="K389" s="1394"/>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5"/>
      <c r="AG389" s="91"/>
      <c r="AH389" s="91"/>
      <c r="AI389" s="91"/>
      <c r="AJ389" s="91"/>
      <c r="AK389" s="91"/>
      <c r="AL389" s="91"/>
      <c r="AM389" s="91"/>
      <c r="AN389" s="1362"/>
      <c r="AO389" s="91"/>
      <c r="AP389" s="91"/>
      <c r="AQ389" s="91"/>
      <c r="AR389" s="91"/>
      <c r="AS389" s="91"/>
      <c r="AT389" s="92"/>
      <c r="AU389" s="93"/>
      <c r="AV389" s="1977">
        <f t="shared" ref="AV389:AV480" si="269">A389</f>
        <v>0</v>
      </c>
      <c r="AW389" s="1977">
        <f t="shared" ref="AW389:AW480" si="270">B389</f>
        <v>0</v>
      </c>
      <c r="AX389" s="1977">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ht="15.6">
      <c r="A390" s="83"/>
      <c r="B390" s="1391"/>
      <c r="C390" s="1392"/>
      <c r="D390" s="79"/>
      <c r="E390" s="86">
        <f t="shared" si="265"/>
        <v>0</v>
      </c>
      <c r="F390" s="87"/>
      <c r="G390" s="88">
        <f t="shared" si="266"/>
        <v>0</v>
      </c>
      <c r="H390" s="89">
        <f t="shared" si="267"/>
        <v>0</v>
      </c>
      <c r="I390" s="1394"/>
      <c r="J390" s="90"/>
      <c r="K390" s="1394"/>
      <c r="L390" s="90"/>
      <c r="M390" s="1362"/>
      <c r="N390" s="90"/>
      <c r="O390" s="90"/>
      <c r="P390" s="90"/>
      <c r="Q390" s="90"/>
      <c r="R390" s="90"/>
      <c r="S390" s="90"/>
      <c r="T390" s="90"/>
      <c r="U390" s="90"/>
      <c r="V390" s="90"/>
      <c r="W390" s="90"/>
      <c r="X390" s="90"/>
      <c r="Y390" s="90"/>
      <c r="Z390" s="90"/>
      <c r="AA390" s="90"/>
      <c r="AB390" s="90"/>
      <c r="AC390" s="86">
        <f t="shared" si="268"/>
        <v>0</v>
      </c>
      <c r="AD390" s="1362"/>
      <c r="AE390" s="91"/>
      <c r="AF390" s="1395"/>
      <c r="AG390" s="91"/>
      <c r="AH390" s="91"/>
      <c r="AI390" s="91"/>
      <c r="AJ390" s="91"/>
      <c r="AK390" s="91"/>
      <c r="AL390" s="1362"/>
      <c r="AM390" s="91"/>
      <c r="AN390" s="1362"/>
      <c r="AO390" s="91"/>
      <c r="AP390" s="91"/>
      <c r="AQ390" s="91"/>
      <c r="AR390" s="91"/>
      <c r="AS390" s="91"/>
      <c r="AT390" s="92"/>
      <c r="AU390" s="93"/>
      <c r="AV390" s="1977">
        <f t="shared" si="269"/>
        <v>0</v>
      </c>
      <c r="AW390" s="1977">
        <f t="shared" si="270"/>
        <v>0</v>
      </c>
      <c r="AX390" s="1977">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ht="15.6">
      <c r="A391" s="83"/>
      <c r="B391" s="1391"/>
      <c r="C391" s="1392"/>
      <c r="D391" s="79"/>
      <c r="E391" s="86">
        <f t="shared" si="265"/>
        <v>0</v>
      </c>
      <c r="F391" s="87"/>
      <c r="G391" s="88">
        <f t="shared" si="266"/>
        <v>0</v>
      </c>
      <c r="H391" s="89">
        <f t="shared" si="267"/>
        <v>0</v>
      </c>
      <c r="I391" s="1394"/>
      <c r="J391" s="90"/>
      <c r="K391" s="1394"/>
      <c r="L391" s="90"/>
      <c r="M391" s="1362"/>
      <c r="N391" s="90"/>
      <c r="O391" s="90"/>
      <c r="P391" s="90"/>
      <c r="Q391" s="90"/>
      <c r="R391" s="90"/>
      <c r="S391" s="90"/>
      <c r="T391" s="90"/>
      <c r="U391" s="90"/>
      <c r="V391" s="90"/>
      <c r="W391" s="90"/>
      <c r="X391" s="90"/>
      <c r="Y391" s="90"/>
      <c r="Z391" s="90"/>
      <c r="AA391" s="90"/>
      <c r="AB391" s="90"/>
      <c r="AC391" s="86">
        <f t="shared" si="268"/>
        <v>0</v>
      </c>
      <c r="AD391" s="91"/>
      <c r="AE391" s="91"/>
      <c r="AF391" s="1395"/>
      <c r="AG391" s="91"/>
      <c r="AH391" s="91"/>
      <c r="AI391" s="91"/>
      <c r="AJ391" s="91"/>
      <c r="AK391" s="91"/>
      <c r="AL391" s="1362"/>
      <c r="AM391" s="91"/>
      <c r="AN391" s="1362"/>
      <c r="AO391" s="91"/>
      <c r="AP391" s="91"/>
      <c r="AQ391" s="91"/>
      <c r="AR391" s="91"/>
      <c r="AS391" s="91"/>
      <c r="AT391" s="92"/>
      <c r="AU391" s="93"/>
      <c r="AV391" s="1977">
        <f t="shared" si="269"/>
        <v>0</v>
      </c>
      <c r="AW391" s="1977">
        <f t="shared" si="270"/>
        <v>0</v>
      </c>
      <c r="AX391" s="1977">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ht="15.6">
      <c r="A392" s="83"/>
      <c r="B392" s="1391"/>
      <c r="C392" s="1392"/>
      <c r="D392" s="79"/>
      <c r="E392" s="86">
        <f t="shared" si="265"/>
        <v>0</v>
      </c>
      <c r="F392" s="87"/>
      <c r="G392" s="88">
        <f t="shared" si="266"/>
        <v>0</v>
      </c>
      <c r="H392" s="89">
        <f t="shared" si="267"/>
        <v>0</v>
      </c>
      <c r="I392" s="1394"/>
      <c r="J392" s="90"/>
      <c r="K392" s="1394"/>
      <c r="L392" s="90"/>
      <c r="M392" s="90"/>
      <c r="N392" s="90"/>
      <c r="O392" s="1362"/>
      <c r="P392" s="90"/>
      <c r="Q392" s="90"/>
      <c r="R392" s="90"/>
      <c r="S392" s="90"/>
      <c r="T392" s="90"/>
      <c r="U392" s="90"/>
      <c r="V392" s="90"/>
      <c r="W392" s="90"/>
      <c r="X392" s="90"/>
      <c r="Y392" s="90"/>
      <c r="Z392" s="90"/>
      <c r="AA392" s="90"/>
      <c r="AB392" s="90"/>
      <c r="AC392" s="86">
        <f t="shared" si="268"/>
        <v>0</v>
      </c>
      <c r="AD392" s="91"/>
      <c r="AE392" s="91"/>
      <c r="AF392" s="1395"/>
      <c r="AG392" s="91"/>
      <c r="AH392" s="91"/>
      <c r="AI392" s="91"/>
      <c r="AJ392" s="91"/>
      <c r="AK392" s="91"/>
      <c r="AL392" s="91"/>
      <c r="AM392" s="91"/>
      <c r="AN392" s="1362"/>
      <c r="AO392" s="91"/>
      <c r="AP392" s="91"/>
      <c r="AQ392" s="91"/>
      <c r="AR392" s="91"/>
      <c r="AS392" s="91"/>
      <c r="AT392" s="92"/>
      <c r="AU392" s="93"/>
      <c r="AV392" s="1977">
        <f t="shared" si="269"/>
        <v>0</v>
      </c>
      <c r="AW392" s="1977">
        <f t="shared" si="270"/>
        <v>0</v>
      </c>
      <c r="AX392" s="1977">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ht="15.6">
      <c r="A393" s="83"/>
      <c r="B393" s="1391"/>
      <c r="C393" s="1392"/>
      <c r="D393" s="79"/>
      <c r="E393" s="86">
        <f t="shared" si="265"/>
        <v>0</v>
      </c>
      <c r="F393" s="87"/>
      <c r="G393" s="88">
        <f t="shared" si="266"/>
        <v>0</v>
      </c>
      <c r="H393" s="89">
        <f t="shared" si="267"/>
        <v>0</v>
      </c>
      <c r="I393" s="1394"/>
      <c r="J393" s="90"/>
      <c r="K393" s="1394"/>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5"/>
      <c r="AG393" s="91"/>
      <c r="AH393" s="91"/>
      <c r="AI393" s="91"/>
      <c r="AJ393" s="91"/>
      <c r="AK393" s="91"/>
      <c r="AL393" s="91"/>
      <c r="AM393" s="91"/>
      <c r="AN393" s="91"/>
      <c r="AO393" s="91"/>
      <c r="AP393" s="91"/>
      <c r="AQ393" s="91"/>
      <c r="AR393" s="91"/>
      <c r="AS393" s="91"/>
      <c r="AT393" s="92"/>
      <c r="AU393" s="93"/>
      <c r="AV393" s="1977">
        <f t="shared" si="269"/>
        <v>0</v>
      </c>
      <c r="AW393" s="1977">
        <f t="shared" si="270"/>
        <v>0</v>
      </c>
      <c r="AX393" s="1977">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ht="15.6">
      <c r="A394" s="83"/>
      <c r="B394" s="1391"/>
      <c r="C394" s="1392"/>
      <c r="D394" s="79"/>
      <c r="E394" s="86">
        <f t="shared" si="265"/>
        <v>0</v>
      </c>
      <c r="F394" s="87"/>
      <c r="G394" s="88">
        <f t="shared" si="266"/>
        <v>0</v>
      </c>
      <c r="H394" s="89">
        <f t="shared" si="267"/>
        <v>0</v>
      </c>
      <c r="I394" s="1394"/>
      <c r="J394" s="90"/>
      <c r="K394" s="1394"/>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5"/>
      <c r="AG394" s="91"/>
      <c r="AH394" s="91"/>
      <c r="AI394" s="91"/>
      <c r="AJ394" s="91"/>
      <c r="AK394" s="91"/>
      <c r="AL394" s="91"/>
      <c r="AM394" s="91"/>
      <c r="AN394" s="91"/>
      <c r="AO394" s="91"/>
      <c r="AP394" s="91"/>
      <c r="AQ394" s="91"/>
      <c r="AR394" s="91"/>
      <c r="AS394" s="91"/>
      <c r="AT394" s="92"/>
      <c r="AU394" s="93"/>
      <c r="AV394" s="1977">
        <f t="shared" si="269"/>
        <v>0</v>
      </c>
      <c r="AW394" s="1977">
        <f t="shared" si="270"/>
        <v>0</v>
      </c>
      <c r="AX394" s="1977">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ht="15.6">
      <c r="A395" s="83"/>
      <c r="B395" s="1391"/>
      <c r="C395" s="1392"/>
      <c r="D395" s="79"/>
      <c r="E395" s="86">
        <f t="shared" si="265"/>
        <v>0</v>
      </c>
      <c r="F395" s="87"/>
      <c r="G395" s="88">
        <f t="shared" si="266"/>
        <v>0</v>
      </c>
      <c r="H395" s="89">
        <f t="shared" si="267"/>
        <v>0</v>
      </c>
      <c r="I395" s="1394"/>
      <c r="J395" s="90"/>
      <c r="K395" s="1394"/>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5"/>
      <c r="AG395" s="91"/>
      <c r="AH395" s="91"/>
      <c r="AI395" s="91"/>
      <c r="AJ395" s="91"/>
      <c r="AK395" s="91"/>
      <c r="AL395" s="91"/>
      <c r="AM395" s="91"/>
      <c r="AN395" s="91"/>
      <c r="AO395" s="91"/>
      <c r="AP395" s="91"/>
      <c r="AQ395" s="91"/>
      <c r="AR395" s="91"/>
      <c r="AS395" s="91"/>
      <c r="AT395" s="92"/>
      <c r="AU395" s="93"/>
      <c r="AV395" s="1977">
        <f t="shared" si="269"/>
        <v>0</v>
      </c>
      <c r="AW395" s="1977">
        <f t="shared" si="270"/>
        <v>0</v>
      </c>
      <c r="AX395" s="1977">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ht="15.6">
      <c r="A396" s="83"/>
      <c r="B396" s="1391"/>
      <c r="C396" s="1392"/>
      <c r="D396" s="79"/>
      <c r="E396" s="86">
        <f t="shared" si="265"/>
        <v>0</v>
      </c>
      <c r="F396" s="87"/>
      <c r="G396" s="88">
        <f t="shared" si="266"/>
        <v>0</v>
      </c>
      <c r="H396" s="89">
        <f t="shared" si="267"/>
        <v>0</v>
      </c>
      <c r="I396" s="1394"/>
      <c r="J396" s="90"/>
      <c r="K396" s="1394"/>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4"/>
      <c r="AG396" s="91"/>
      <c r="AH396" s="91"/>
      <c r="AI396" s="91"/>
      <c r="AJ396" s="91"/>
      <c r="AK396" s="91"/>
      <c r="AL396" s="91"/>
      <c r="AM396" s="91"/>
      <c r="AN396" s="91"/>
      <c r="AO396" s="91"/>
      <c r="AP396" s="91"/>
      <c r="AQ396" s="91"/>
      <c r="AR396" s="91"/>
      <c r="AS396" s="91"/>
      <c r="AT396" s="92"/>
      <c r="AU396" s="93"/>
      <c r="AV396" s="1977">
        <f t="shared" si="269"/>
        <v>0</v>
      </c>
      <c r="AW396" s="1977">
        <f t="shared" si="270"/>
        <v>0</v>
      </c>
      <c r="AX396" s="1977">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ht="15.6">
      <c r="A397" s="83"/>
      <c r="B397" s="1393"/>
      <c r="C397" s="1394"/>
      <c r="D397" s="79"/>
      <c r="E397" s="86">
        <f t="shared" si="265"/>
        <v>0</v>
      </c>
      <c r="F397" s="87"/>
      <c r="G397" s="88">
        <f t="shared" si="266"/>
        <v>0</v>
      </c>
      <c r="H397" s="89">
        <f t="shared" si="267"/>
        <v>0</v>
      </c>
      <c r="I397" s="1394"/>
      <c r="J397" s="90"/>
      <c r="K397" s="1394"/>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4"/>
      <c r="AG397" s="91"/>
      <c r="AH397" s="91"/>
      <c r="AI397" s="91"/>
      <c r="AJ397" s="91"/>
      <c r="AK397" s="91"/>
      <c r="AL397" s="91"/>
      <c r="AM397" s="91"/>
      <c r="AN397" s="91"/>
      <c r="AO397" s="91"/>
      <c r="AP397" s="91"/>
      <c r="AQ397" s="91"/>
      <c r="AR397" s="91"/>
      <c r="AS397" s="91"/>
      <c r="AT397" s="92"/>
      <c r="AU397" s="93"/>
      <c r="AV397" s="1977">
        <f t="shared" si="269"/>
        <v>0</v>
      </c>
      <c r="AW397" s="1977">
        <f t="shared" si="270"/>
        <v>0</v>
      </c>
      <c r="AX397" s="1977">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ht="15.6">
      <c r="A398" s="83"/>
      <c r="B398" s="1391"/>
      <c r="C398" s="1392"/>
      <c r="D398" s="79"/>
      <c r="E398" s="86">
        <f t="shared" si="265"/>
        <v>0</v>
      </c>
      <c r="F398" s="87"/>
      <c r="G398" s="88">
        <f t="shared" si="266"/>
        <v>0</v>
      </c>
      <c r="H398" s="89">
        <f t="shared" si="267"/>
        <v>0</v>
      </c>
      <c r="I398" s="1394"/>
      <c r="J398" s="90"/>
      <c r="K398" s="1394"/>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4"/>
      <c r="AG398" s="91"/>
      <c r="AH398" s="91"/>
      <c r="AI398" s="91"/>
      <c r="AJ398" s="91"/>
      <c r="AK398" s="91"/>
      <c r="AL398" s="91"/>
      <c r="AM398" s="91"/>
      <c r="AN398" s="91"/>
      <c r="AO398" s="91"/>
      <c r="AP398" s="91"/>
      <c r="AQ398" s="91"/>
      <c r="AR398" s="91"/>
      <c r="AS398" s="91"/>
      <c r="AT398" s="92"/>
      <c r="AU398" s="93"/>
      <c r="AV398" s="1977">
        <f t="shared" si="269"/>
        <v>0</v>
      </c>
      <c r="AW398" s="1977">
        <f t="shared" si="270"/>
        <v>0</v>
      </c>
      <c r="AX398" s="1977">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ht="15.6">
      <c r="A399" s="83"/>
      <c r="B399" s="1391"/>
      <c r="C399" s="1392"/>
      <c r="D399" s="79"/>
      <c r="E399" s="86">
        <f t="shared" si="265"/>
        <v>0</v>
      </c>
      <c r="F399" s="87"/>
      <c r="G399" s="88">
        <f t="shared" si="266"/>
        <v>0</v>
      </c>
      <c r="H399" s="89">
        <f t="shared" si="267"/>
        <v>0</v>
      </c>
      <c r="I399" s="1394"/>
      <c r="J399" s="90"/>
      <c r="K399" s="1394"/>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4"/>
      <c r="AG399" s="91"/>
      <c r="AH399" s="91"/>
      <c r="AI399" s="91"/>
      <c r="AJ399" s="91"/>
      <c r="AK399" s="91"/>
      <c r="AL399" s="91"/>
      <c r="AM399" s="91"/>
      <c r="AN399" s="91"/>
      <c r="AO399" s="91"/>
      <c r="AP399" s="91"/>
      <c r="AQ399" s="91"/>
      <c r="AR399" s="91"/>
      <c r="AS399" s="91"/>
      <c r="AT399" s="92"/>
      <c r="AU399" s="93"/>
      <c r="AV399" s="1977">
        <f t="shared" si="269"/>
        <v>0</v>
      </c>
      <c r="AW399" s="1977">
        <f t="shared" si="270"/>
        <v>0</v>
      </c>
      <c r="AX399" s="1977">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ht="15.6">
      <c r="A400" s="83"/>
      <c r="B400" s="1391"/>
      <c r="C400" s="1392"/>
      <c r="D400" s="79"/>
      <c r="E400" s="86">
        <f t="shared" si="265"/>
        <v>0</v>
      </c>
      <c r="F400" s="87"/>
      <c r="G400" s="88">
        <f t="shared" si="266"/>
        <v>0</v>
      </c>
      <c r="H400" s="89">
        <f t="shared" si="267"/>
        <v>0</v>
      </c>
      <c r="I400" s="1394"/>
      <c r="J400" s="90"/>
      <c r="K400" s="1394"/>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4"/>
      <c r="AG400" s="91"/>
      <c r="AH400" s="91"/>
      <c r="AI400" s="91"/>
      <c r="AJ400" s="91"/>
      <c r="AK400" s="91"/>
      <c r="AL400" s="91"/>
      <c r="AM400" s="91"/>
      <c r="AN400" s="91"/>
      <c r="AO400" s="91"/>
      <c r="AP400" s="91"/>
      <c r="AQ400" s="91"/>
      <c r="AR400" s="91"/>
      <c r="AS400" s="91"/>
      <c r="AT400" s="92"/>
      <c r="AU400" s="93"/>
      <c r="AV400" s="1977">
        <f t="shared" si="269"/>
        <v>0</v>
      </c>
      <c r="AW400" s="1977">
        <f t="shared" si="270"/>
        <v>0</v>
      </c>
      <c r="AX400" s="1977">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ht="15.6">
      <c r="A401" s="83"/>
      <c r="B401" s="1391"/>
      <c r="C401" s="1392"/>
      <c r="D401" s="79"/>
      <c r="E401" s="86">
        <f t="shared" si="265"/>
        <v>0</v>
      </c>
      <c r="F401" s="87"/>
      <c r="G401" s="88">
        <f t="shared" si="266"/>
        <v>0</v>
      </c>
      <c r="H401" s="89">
        <f t="shared" si="267"/>
        <v>0</v>
      </c>
      <c r="I401" s="1394"/>
      <c r="J401" s="90"/>
      <c r="K401" s="1394"/>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4"/>
      <c r="AG401" s="91"/>
      <c r="AH401" s="91"/>
      <c r="AI401" s="91"/>
      <c r="AJ401" s="91"/>
      <c r="AK401" s="91"/>
      <c r="AL401" s="91"/>
      <c r="AM401" s="91"/>
      <c r="AN401" s="91"/>
      <c r="AO401" s="91"/>
      <c r="AP401" s="91"/>
      <c r="AQ401" s="91"/>
      <c r="AR401" s="91"/>
      <c r="AS401" s="91"/>
      <c r="AT401" s="92"/>
      <c r="AU401" s="93"/>
      <c r="AV401" s="1977">
        <f t="shared" si="269"/>
        <v>0</v>
      </c>
      <c r="AW401" s="1977">
        <f t="shared" si="270"/>
        <v>0</v>
      </c>
      <c r="AX401" s="1977">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ht="15.6">
      <c r="A402" s="83"/>
      <c r="B402" s="1391"/>
      <c r="C402" s="1392"/>
      <c r="D402" s="79"/>
      <c r="E402" s="86">
        <f t="shared" si="265"/>
        <v>0</v>
      </c>
      <c r="F402" s="87"/>
      <c r="G402" s="88">
        <f t="shared" si="266"/>
        <v>0</v>
      </c>
      <c r="H402" s="89">
        <f t="shared" si="267"/>
        <v>0</v>
      </c>
      <c r="I402" s="1394"/>
      <c r="J402" s="90"/>
      <c r="K402" s="1394"/>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4"/>
      <c r="AG402" s="91"/>
      <c r="AH402" s="91"/>
      <c r="AI402" s="91"/>
      <c r="AJ402" s="91"/>
      <c r="AK402" s="91"/>
      <c r="AL402" s="91"/>
      <c r="AM402" s="91"/>
      <c r="AN402" s="91"/>
      <c r="AO402" s="91"/>
      <c r="AP402" s="91"/>
      <c r="AQ402" s="91"/>
      <c r="AR402" s="91"/>
      <c r="AS402" s="91"/>
      <c r="AT402" s="92"/>
      <c r="AU402" s="93"/>
      <c r="AV402" s="1977">
        <f t="shared" si="269"/>
        <v>0</v>
      </c>
      <c r="AW402" s="1977">
        <f t="shared" si="270"/>
        <v>0</v>
      </c>
      <c r="AX402" s="1977">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ht="15.6">
      <c r="A403" s="83"/>
      <c r="B403" s="1391"/>
      <c r="C403" s="1392"/>
      <c r="D403" s="79"/>
      <c r="E403" s="86">
        <f t="shared" si="265"/>
        <v>0</v>
      </c>
      <c r="F403" s="87"/>
      <c r="G403" s="88">
        <f t="shared" si="266"/>
        <v>0</v>
      </c>
      <c r="H403" s="89">
        <f t="shared" si="267"/>
        <v>0</v>
      </c>
      <c r="I403" s="1394"/>
      <c r="J403" s="90"/>
      <c r="K403" s="1394"/>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4"/>
      <c r="AG403" s="91"/>
      <c r="AH403" s="91"/>
      <c r="AI403" s="91"/>
      <c r="AJ403" s="91"/>
      <c r="AK403" s="91"/>
      <c r="AL403" s="91"/>
      <c r="AM403" s="91"/>
      <c r="AN403" s="91"/>
      <c r="AO403" s="91"/>
      <c r="AP403" s="91"/>
      <c r="AQ403" s="91"/>
      <c r="AR403" s="91"/>
      <c r="AS403" s="91"/>
      <c r="AT403" s="92"/>
      <c r="AU403" s="93"/>
      <c r="AV403" s="1977">
        <f t="shared" si="269"/>
        <v>0</v>
      </c>
      <c r="AW403" s="1977">
        <f t="shared" si="270"/>
        <v>0</v>
      </c>
      <c r="AX403" s="1977">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ht="15.6">
      <c r="A404" s="83"/>
      <c r="B404" s="1391"/>
      <c r="C404" s="1392"/>
      <c r="D404" s="79"/>
      <c r="E404" s="86">
        <f t="shared" si="265"/>
        <v>0</v>
      </c>
      <c r="F404" s="87"/>
      <c r="G404" s="88">
        <f t="shared" si="266"/>
        <v>0</v>
      </c>
      <c r="H404" s="89">
        <f t="shared" si="267"/>
        <v>0</v>
      </c>
      <c r="I404" s="1394"/>
      <c r="J404" s="90"/>
      <c r="K404" s="1394"/>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4"/>
      <c r="AG404" s="91"/>
      <c r="AH404" s="91"/>
      <c r="AI404" s="91"/>
      <c r="AJ404" s="91"/>
      <c r="AK404" s="91"/>
      <c r="AL404" s="91"/>
      <c r="AM404" s="91"/>
      <c r="AN404" s="91"/>
      <c r="AO404" s="91"/>
      <c r="AP404" s="91"/>
      <c r="AQ404" s="91"/>
      <c r="AR404" s="91"/>
      <c r="AS404" s="91"/>
      <c r="AT404" s="92"/>
      <c r="AU404" s="93"/>
      <c r="AV404" s="1977">
        <f t="shared" si="269"/>
        <v>0</v>
      </c>
      <c r="AW404" s="1977">
        <f t="shared" si="270"/>
        <v>0</v>
      </c>
      <c r="AX404" s="1977">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ht="15.6">
      <c r="A405" s="83"/>
      <c r="B405" s="1391"/>
      <c r="C405" s="1392"/>
      <c r="D405" s="79"/>
      <c r="E405" s="86">
        <f t="shared" si="265"/>
        <v>0</v>
      </c>
      <c r="F405" s="87"/>
      <c r="G405" s="88">
        <f t="shared" si="266"/>
        <v>0</v>
      </c>
      <c r="H405" s="89">
        <f t="shared" si="267"/>
        <v>0</v>
      </c>
      <c r="I405" s="1394"/>
      <c r="J405" s="90"/>
      <c r="K405" s="1394"/>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4"/>
      <c r="AG405" s="91"/>
      <c r="AH405" s="91"/>
      <c r="AI405" s="91"/>
      <c r="AJ405" s="91"/>
      <c r="AK405" s="91"/>
      <c r="AL405" s="91"/>
      <c r="AM405" s="91"/>
      <c r="AN405" s="91"/>
      <c r="AO405" s="91"/>
      <c r="AP405" s="91"/>
      <c r="AQ405" s="91"/>
      <c r="AR405" s="91"/>
      <c r="AS405" s="91"/>
      <c r="AT405" s="92"/>
      <c r="AU405" s="93"/>
      <c r="AV405" s="1977">
        <f t="shared" si="269"/>
        <v>0</v>
      </c>
      <c r="AW405" s="1977">
        <f t="shared" si="270"/>
        <v>0</v>
      </c>
      <c r="AX405" s="1977">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ht="15.6">
      <c r="A406" s="83"/>
      <c r="B406" s="1391"/>
      <c r="C406" s="1392"/>
      <c r="D406" s="79"/>
      <c r="E406" s="86">
        <f t="shared" si="265"/>
        <v>0</v>
      </c>
      <c r="F406" s="87"/>
      <c r="G406" s="88">
        <f t="shared" si="266"/>
        <v>0</v>
      </c>
      <c r="H406" s="89">
        <f t="shared" si="267"/>
        <v>0</v>
      </c>
      <c r="I406" s="1394"/>
      <c r="J406" s="90"/>
      <c r="K406" s="1394"/>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4"/>
      <c r="AG406" s="91"/>
      <c r="AH406" s="91"/>
      <c r="AI406" s="91"/>
      <c r="AJ406" s="91"/>
      <c r="AK406" s="91"/>
      <c r="AL406" s="91"/>
      <c r="AM406" s="91"/>
      <c r="AN406" s="91"/>
      <c r="AO406" s="91"/>
      <c r="AP406" s="91"/>
      <c r="AQ406" s="91"/>
      <c r="AR406" s="91"/>
      <c r="AS406" s="91"/>
      <c r="AT406" s="92"/>
      <c r="AU406" s="93"/>
      <c r="AV406" s="1977">
        <f t="shared" si="269"/>
        <v>0</v>
      </c>
      <c r="AW406" s="1977">
        <f t="shared" si="270"/>
        <v>0</v>
      </c>
      <c r="AX406" s="1977">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ht="15.6">
      <c r="A407" s="83"/>
      <c r="B407" s="1391"/>
      <c r="C407" s="1392"/>
      <c r="D407" s="79"/>
      <c r="E407" s="86">
        <f t="shared" si="265"/>
        <v>0</v>
      </c>
      <c r="F407" s="87"/>
      <c r="G407" s="88">
        <f t="shared" si="266"/>
        <v>0</v>
      </c>
      <c r="H407" s="89">
        <f t="shared" si="267"/>
        <v>0</v>
      </c>
      <c r="I407" s="1394"/>
      <c r="J407" s="90"/>
      <c r="K407" s="1394"/>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4"/>
      <c r="AG407" s="91"/>
      <c r="AH407" s="91"/>
      <c r="AI407" s="91"/>
      <c r="AJ407" s="91"/>
      <c r="AK407" s="91"/>
      <c r="AL407" s="91"/>
      <c r="AM407" s="91"/>
      <c r="AN407" s="91"/>
      <c r="AO407" s="91"/>
      <c r="AP407" s="91"/>
      <c r="AQ407" s="91"/>
      <c r="AR407" s="91"/>
      <c r="AS407" s="91"/>
      <c r="AT407" s="92"/>
      <c r="AU407" s="93"/>
      <c r="AV407" s="1977">
        <f t="shared" si="269"/>
        <v>0</v>
      </c>
      <c r="AW407" s="1977">
        <f t="shared" si="270"/>
        <v>0</v>
      </c>
      <c r="AX407" s="1977">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ht="15.6">
      <c r="A408" s="83"/>
      <c r="B408" s="1391"/>
      <c r="C408" s="1392"/>
      <c r="D408" s="79"/>
      <c r="E408" s="86">
        <f t="shared" si="265"/>
        <v>0</v>
      </c>
      <c r="F408" s="87"/>
      <c r="G408" s="88">
        <f t="shared" si="266"/>
        <v>0</v>
      </c>
      <c r="H408" s="89">
        <f t="shared" si="267"/>
        <v>0</v>
      </c>
      <c r="I408" s="1394"/>
      <c r="J408" s="90"/>
      <c r="K408" s="1394"/>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4"/>
      <c r="AG408" s="91"/>
      <c r="AH408" s="91"/>
      <c r="AI408" s="91"/>
      <c r="AJ408" s="91"/>
      <c r="AK408" s="91"/>
      <c r="AL408" s="91"/>
      <c r="AM408" s="91"/>
      <c r="AN408" s="91"/>
      <c r="AO408" s="91"/>
      <c r="AP408" s="91"/>
      <c r="AQ408" s="91"/>
      <c r="AR408" s="91"/>
      <c r="AS408" s="91"/>
      <c r="AT408" s="92"/>
      <c r="AU408" s="93"/>
      <c r="AV408" s="1977">
        <f t="shared" si="269"/>
        <v>0</v>
      </c>
      <c r="AW408" s="1977">
        <f t="shared" si="270"/>
        <v>0</v>
      </c>
      <c r="AX408" s="1977">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ht="15.6">
      <c r="A409" s="83"/>
      <c r="B409" s="1391"/>
      <c r="C409" s="1392"/>
      <c r="D409" s="79"/>
      <c r="E409" s="86">
        <f t="shared" si="265"/>
        <v>0</v>
      </c>
      <c r="F409" s="87"/>
      <c r="G409" s="88">
        <f t="shared" si="266"/>
        <v>0</v>
      </c>
      <c r="H409" s="89">
        <f t="shared" si="267"/>
        <v>0</v>
      </c>
      <c r="I409" s="1394"/>
      <c r="J409" s="90"/>
      <c r="K409" s="1394"/>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4"/>
      <c r="AG409" s="91"/>
      <c r="AH409" s="91"/>
      <c r="AI409" s="91"/>
      <c r="AJ409" s="91"/>
      <c r="AK409" s="91"/>
      <c r="AL409" s="91"/>
      <c r="AM409" s="91"/>
      <c r="AN409" s="91"/>
      <c r="AO409" s="91"/>
      <c r="AP409" s="91"/>
      <c r="AQ409" s="91"/>
      <c r="AR409" s="91"/>
      <c r="AS409" s="91"/>
      <c r="AT409" s="92"/>
      <c r="AU409" s="93"/>
      <c r="AV409" s="1977">
        <f t="shared" si="269"/>
        <v>0</v>
      </c>
      <c r="AW409" s="1977">
        <f t="shared" si="270"/>
        <v>0</v>
      </c>
      <c r="AX409" s="1977">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ht="15.6">
      <c r="A410" s="83"/>
      <c r="B410" s="1391"/>
      <c r="C410" s="1392"/>
      <c r="D410" s="79"/>
      <c r="E410" s="86">
        <f t="shared" si="265"/>
        <v>0</v>
      </c>
      <c r="F410" s="87"/>
      <c r="G410" s="88">
        <f t="shared" si="266"/>
        <v>0</v>
      </c>
      <c r="H410" s="89">
        <f t="shared" si="267"/>
        <v>0</v>
      </c>
      <c r="I410" s="1394"/>
      <c r="J410" s="90"/>
      <c r="K410" s="1394"/>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4"/>
      <c r="AG410" s="91"/>
      <c r="AH410" s="91"/>
      <c r="AI410" s="91"/>
      <c r="AJ410" s="91"/>
      <c r="AK410" s="91"/>
      <c r="AL410" s="91"/>
      <c r="AM410" s="91"/>
      <c r="AN410" s="91"/>
      <c r="AO410" s="91"/>
      <c r="AP410" s="91"/>
      <c r="AQ410" s="91"/>
      <c r="AR410" s="91"/>
      <c r="AS410" s="91"/>
      <c r="AT410" s="92"/>
      <c r="AU410" s="93"/>
      <c r="AV410" s="1977">
        <f t="shared" si="269"/>
        <v>0</v>
      </c>
      <c r="AW410" s="1977">
        <f t="shared" si="270"/>
        <v>0</v>
      </c>
      <c r="AX410" s="1977">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ht="15.6">
      <c r="A411" s="83"/>
      <c r="B411" s="1391"/>
      <c r="C411" s="1392"/>
      <c r="D411" s="79"/>
      <c r="E411" s="86">
        <f t="shared" si="265"/>
        <v>0</v>
      </c>
      <c r="F411" s="87"/>
      <c r="G411" s="88">
        <f t="shared" si="266"/>
        <v>0</v>
      </c>
      <c r="H411" s="89">
        <f t="shared" si="267"/>
        <v>0</v>
      </c>
      <c r="I411" s="1394"/>
      <c r="J411" s="90"/>
      <c r="K411" s="1394"/>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4"/>
      <c r="AG411" s="91"/>
      <c r="AH411" s="91"/>
      <c r="AI411" s="91"/>
      <c r="AJ411" s="91"/>
      <c r="AK411" s="91"/>
      <c r="AL411" s="91"/>
      <c r="AM411" s="91"/>
      <c r="AN411" s="91"/>
      <c r="AO411" s="91"/>
      <c r="AP411" s="91"/>
      <c r="AQ411" s="91"/>
      <c r="AR411" s="91"/>
      <c r="AS411" s="91"/>
      <c r="AT411" s="92"/>
      <c r="AU411" s="93"/>
      <c r="AV411" s="1977">
        <f t="shared" si="269"/>
        <v>0</v>
      </c>
      <c r="AW411" s="1977">
        <f t="shared" si="270"/>
        <v>0</v>
      </c>
      <c r="AX411" s="1977">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ht="15.6">
      <c r="A412" s="83"/>
      <c r="B412" s="1391"/>
      <c r="C412" s="1392"/>
      <c r="D412" s="79"/>
      <c r="E412" s="86">
        <f t="shared" si="265"/>
        <v>0</v>
      </c>
      <c r="F412" s="87"/>
      <c r="G412" s="88">
        <f t="shared" si="266"/>
        <v>0</v>
      </c>
      <c r="H412" s="89">
        <f t="shared" si="267"/>
        <v>0</v>
      </c>
      <c r="I412" s="1394"/>
      <c r="J412" s="90"/>
      <c r="K412" s="1394"/>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4"/>
      <c r="AG412" s="91"/>
      <c r="AH412" s="91"/>
      <c r="AI412" s="91"/>
      <c r="AJ412" s="91"/>
      <c r="AK412" s="91"/>
      <c r="AL412" s="91"/>
      <c r="AM412" s="91"/>
      <c r="AN412" s="91"/>
      <c r="AO412" s="91"/>
      <c r="AP412" s="91"/>
      <c r="AQ412" s="91"/>
      <c r="AR412" s="91"/>
      <c r="AS412" s="91"/>
      <c r="AT412" s="92"/>
      <c r="AU412" s="93"/>
      <c r="AV412" s="1977">
        <f t="shared" si="269"/>
        <v>0</v>
      </c>
      <c r="AW412" s="1977">
        <f t="shared" si="270"/>
        <v>0</v>
      </c>
      <c r="AX412" s="1977">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ht="15.6">
      <c r="A413" s="83"/>
      <c r="B413" s="1391"/>
      <c r="C413" s="1392"/>
      <c r="D413" s="79"/>
      <c r="E413" s="86">
        <f t="shared" si="265"/>
        <v>0</v>
      </c>
      <c r="F413" s="87"/>
      <c r="G413" s="88">
        <f t="shared" si="266"/>
        <v>0</v>
      </c>
      <c r="H413" s="89">
        <f t="shared" si="267"/>
        <v>0</v>
      </c>
      <c r="I413" s="1394"/>
      <c r="J413" s="90"/>
      <c r="K413" s="1394"/>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4"/>
      <c r="AG413" s="91"/>
      <c r="AH413" s="91"/>
      <c r="AI413" s="91"/>
      <c r="AJ413" s="91"/>
      <c r="AK413" s="91"/>
      <c r="AL413" s="91"/>
      <c r="AM413" s="91"/>
      <c r="AN413" s="91"/>
      <c r="AO413" s="91"/>
      <c r="AP413" s="91"/>
      <c r="AQ413" s="91"/>
      <c r="AR413" s="91"/>
      <c r="AS413" s="91"/>
      <c r="AT413" s="92"/>
      <c r="AU413" s="93"/>
      <c r="AV413" s="1977">
        <f t="shared" si="269"/>
        <v>0</v>
      </c>
      <c r="AW413" s="1977">
        <f t="shared" si="270"/>
        <v>0</v>
      </c>
      <c r="AX413" s="1977">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ht="15.6">
      <c r="A414" s="83"/>
      <c r="B414" s="1391"/>
      <c r="C414" s="1392"/>
      <c r="D414" s="79"/>
      <c r="E414" s="86">
        <f t="shared" si="265"/>
        <v>0</v>
      </c>
      <c r="F414" s="87"/>
      <c r="G414" s="88">
        <f t="shared" si="266"/>
        <v>0</v>
      </c>
      <c r="H414" s="89">
        <f t="shared" si="267"/>
        <v>0</v>
      </c>
      <c r="I414" s="1394"/>
      <c r="J414" s="90"/>
      <c r="K414" s="1394"/>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4"/>
      <c r="AG414" s="91"/>
      <c r="AH414" s="91"/>
      <c r="AI414" s="91"/>
      <c r="AJ414" s="91"/>
      <c r="AK414" s="91"/>
      <c r="AL414" s="91"/>
      <c r="AM414" s="91"/>
      <c r="AN414" s="91"/>
      <c r="AO414" s="91"/>
      <c r="AP414" s="91"/>
      <c r="AQ414" s="91"/>
      <c r="AR414" s="91"/>
      <c r="AS414" s="91"/>
      <c r="AT414" s="92"/>
      <c r="AU414" s="93"/>
      <c r="AV414" s="1977">
        <f t="shared" si="269"/>
        <v>0</v>
      </c>
      <c r="AW414" s="1977">
        <f t="shared" si="270"/>
        <v>0</v>
      </c>
      <c r="AX414" s="1977">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ht="15.6">
      <c r="A415" s="83"/>
      <c r="B415" s="1391"/>
      <c r="C415" s="1392"/>
      <c r="D415" s="79"/>
      <c r="E415" s="86">
        <f t="shared" si="265"/>
        <v>0</v>
      </c>
      <c r="F415" s="87"/>
      <c r="G415" s="88">
        <f t="shared" si="266"/>
        <v>0</v>
      </c>
      <c r="H415" s="89">
        <f t="shared" si="267"/>
        <v>0</v>
      </c>
      <c r="I415" s="1394"/>
      <c r="J415" s="90"/>
      <c r="K415" s="1394"/>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2"/>
      <c r="AG415" s="91"/>
      <c r="AH415" s="91"/>
      <c r="AI415" s="91"/>
      <c r="AJ415" s="91"/>
      <c r="AK415" s="91"/>
      <c r="AL415" s="91"/>
      <c r="AM415" s="91"/>
      <c r="AN415" s="91"/>
      <c r="AO415" s="91"/>
      <c r="AP415" s="91"/>
      <c r="AQ415" s="91"/>
      <c r="AR415" s="91"/>
      <c r="AS415" s="91"/>
      <c r="AT415" s="92"/>
      <c r="AU415" s="93"/>
      <c r="AV415" s="1977">
        <f t="shared" si="269"/>
        <v>0</v>
      </c>
      <c r="AW415" s="1977">
        <f t="shared" si="270"/>
        <v>0</v>
      </c>
      <c r="AX415" s="1977">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ht="15.6">
      <c r="A416" s="83"/>
      <c r="B416" s="1391"/>
      <c r="C416" s="1392"/>
      <c r="D416" s="79"/>
      <c r="E416" s="86">
        <f t="shared" si="265"/>
        <v>0</v>
      </c>
      <c r="F416" s="87"/>
      <c r="G416" s="88">
        <f t="shared" si="266"/>
        <v>0</v>
      </c>
      <c r="H416" s="89">
        <f t="shared" si="267"/>
        <v>0</v>
      </c>
      <c r="I416" s="1392"/>
      <c r="J416" s="90"/>
      <c r="K416" s="1392"/>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2"/>
      <c r="AG416" s="91"/>
      <c r="AH416" s="91"/>
      <c r="AI416" s="91"/>
      <c r="AJ416" s="91"/>
      <c r="AK416" s="91"/>
      <c r="AL416" s="91"/>
      <c r="AM416" s="91"/>
      <c r="AN416" s="91"/>
      <c r="AO416" s="91"/>
      <c r="AP416" s="91"/>
      <c r="AQ416" s="91"/>
      <c r="AR416" s="91"/>
      <c r="AS416" s="91"/>
      <c r="AT416" s="92"/>
      <c r="AU416" s="93"/>
      <c r="AV416" s="1977">
        <f t="shared" si="269"/>
        <v>0</v>
      </c>
      <c r="AW416" s="1977">
        <f t="shared" si="270"/>
        <v>0</v>
      </c>
      <c r="AX416" s="1977">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ht="15.6">
      <c r="A417" s="83"/>
      <c r="B417" s="1391"/>
      <c r="C417" s="1392"/>
      <c r="D417" s="79"/>
      <c r="E417" s="86">
        <f t="shared" si="265"/>
        <v>0</v>
      </c>
      <c r="F417" s="87"/>
      <c r="G417" s="88">
        <f t="shared" si="266"/>
        <v>0</v>
      </c>
      <c r="H417" s="89">
        <f t="shared" si="267"/>
        <v>0</v>
      </c>
      <c r="I417" s="1392"/>
      <c r="J417" s="90"/>
      <c r="K417" s="1392"/>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2"/>
      <c r="AG417" s="91"/>
      <c r="AH417" s="91"/>
      <c r="AI417" s="91"/>
      <c r="AJ417" s="91"/>
      <c r="AK417" s="91"/>
      <c r="AL417" s="91"/>
      <c r="AM417" s="91"/>
      <c r="AN417" s="91"/>
      <c r="AO417" s="91"/>
      <c r="AP417" s="91"/>
      <c r="AQ417" s="91"/>
      <c r="AR417" s="91"/>
      <c r="AS417" s="91"/>
      <c r="AT417" s="92"/>
      <c r="AU417" s="93"/>
      <c r="AV417" s="1977">
        <f t="shared" si="269"/>
        <v>0</v>
      </c>
      <c r="AW417" s="1977">
        <f t="shared" si="270"/>
        <v>0</v>
      </c>
      <c r="AX417" s="1977">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ht="15.6">
      <c r="A418" s="83"/>
      <c r="B418" s="1391"/>
      <c r="C418" s="1392"/>
      <c r="D418" s="79"/>
      <c r="E418" s="86">
        <f t="shared" si="265"/>
        <v>0</v>
      </c>
      <c r="F418" s="87"/>
      <c r="G418" s="88">
        <f t="shared" si="266"/>
        <v>0</v>
      </c>
      <c r="H418" s="89">
        <f t="shared" si="267"/>
        <v>0</v>
      </c>
      <c r="I418" s="1392"/>
      <c r="J418" s="90"/>
      <c r="K418" s="1392"/>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2"/>
      <c r="AG418" s="91"/>
      <c r="AH418" s="91"/>
      <c r="AI418" s="91"/>
      <c r="AJ418" s="91"/>
      <c r="AK418" s="91"/>
      <c r="AL418" s="91"/>
      <c r="AM418" s="91"/>
      <c r="AN418" s="91"/>
      <c r="AO418" s="91"/>
      <c r="AP418" s="91"/>
      <c r="AQ418" s="91"/>
      <c r="AR418" s="91"/>
      <c r="AS418" s="91"/>
      <c r="AT418" s="92"/>
      <c r="AU418" s="93"/>
      <c r="AV418" s="1977">
        <f t="shared" si="269"/>
        <v>0</v>
      </c>
      <c r="AW418" s="1977">
        <f t="shared" si="270"/>
        <v>0</v>
      </c>
      <c r="AX418" s="1977">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ht="15.6">
      <c r="A419" s="83"/>
      <c r="B419" s="1391"/>
      <c r="C419" s="1392"/>
      <c r="D419" s="79"/>
      <c r="E419" s="86">
        <f t="shared" si="265"/>
        <v>0</v>
      </c>
      <c r="F419" s="87"/>
      <c r="G419" s="88">
        <f t="shared" si="266"/>
        <v>0</v>
      </c>
      <c r="H419" s="89">
        <f t="shared" si="267"/>
        <v>0</v>
      </c>
      <c r="I419" s="1392"/>
      <c r="J419" s="90"/>
      <c r="K419" s="1392"/>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2"/>
      <c r="AG419" s="91"/>
      <c r="AH419" s="91"/>
      <c r="AI419" s="91"/>
      <c r="AJ419" s="91"/>
      <c r="AK419" s="91"/>
      <c r="AL419" s="91"/>
      <c r="AM419" s="91"/>
      <c r="AN419" s="91"/>
      <c r="AO419" s="91"/>
      <c r="AP419" s="91"/>
      <c r="AQ419" s="91"/>
      <c r="AR419" s="91"/>
      <c r="AS419" s="91"/>
      <c r="AT419" s="92"/>
      <c r="AU419" s="93"/>
      <c r="AV419" s="1977">
        <f t="shared" si="269"/>
        <v>0</v>
      </c>
      <c r="AW419" s="1977">
        <f t="shared" si="270"/>
        <v>0</v>
      </c>
      <c r="AX419" s="1977">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ht="15.6">
      <c r="A420" s="83"/>
      <c r="B420" s="1391"/>
      <c r="C420" s="1392"/>
      <c r="D420" s="79"/>
      <c r="E420" s="86">
        <f t="shared" si="265"/>
        <v>0</v>
      </c>
      <c r="F420" s="87"/>
      <c r="G420" s="88">
        <f t="shared" si="266"/>
        <v>0</v>
      </c>
      <c r="H420" s="89">
        <f t="shared" si="267"/>
        <v>0</v>
      </c>
      <c r="I420" s="1392"/>
      <c r="J420" s="90"/>
      <c r="K420" s="1392"/>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2"/>
      <c r="AG420" s="91"/>
      <c r="AH420" s="91"/>
      <c r="AI420" s="91"/>
      <c r="AJ420" s="91"/>
      <c r="AK420" s="91"/>
      <c r="AL420" s="91"/>
      <c r="AM420" s="91"/>
      <c r="AN420" s="91"/>
      <c r="AO420" s="91"/>
      <c r="AP420" s="91"/>
      <c r="AQ420" s="91"/>
      <c r="AR420" s="91"/>
      <c r="AS420" s="91"/>
      <c r="AT420" s="92"/>
      <c r="AU420" s="93"/>
      <c r="AV420" s="1977">
        <f t="shared" si="269"/>
        <v>0</v>
      </c>
      <c r="AW420" s="1977">
        <f t="shared" si="270"/>
        <v>0</v>
      </c>
      <c r="AX420" s="1977">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ht="15.6">
      <c r="A421" s="83"/>
      <c r="B421" s="1391"/>
      <c r="C421" s="1392"/>
      <c r="D421" s="79"/>
      <c r="E421" s="86">
        <f t="shared" si="265"/>
        <v>0</v>
      </c>
      <c r="F421" s="87"/>
      <c r="G421" s="88">
        <f t="shared" si="266"/>
        <v>0</v>
      </c>
      <c r="H421" s="89">
        <f t="shared" si="267"/>
        <v>0</v>
      </c>
      <c r="I421" s="1392"/>
      <c r="J421" s="90"/>
      <c r="K421" s="1392"/>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2"/>
      <c r="AG421" s="91"/>
      <c r="AH421" s="91"/>
      <c r="AI421" s="91"/>
      <c r="AJ421" s="91"/>
      <c r="AK421" s="91"/>
      <c r="AL421" s="91"/>
      <c r="AM421" s="91"/>
      <c r="AN421" s="91"/>
      <c r="AO421" s="91"/>
      <c r="AP421" s="91"/>
      <c r="AQ421" s="91"/>
      <c r="AR421" s="91"/>
      <c r="AS421" s="91"/>
      <c r="AT421" s="92"/>
      <c r="AU421" s="93"/>
      <c r="AV421" s="1977">
        <f t="shared" si="269"/>
        <v>0</v>
      </c>
      <c r="AW421" s="1977">
        <f t="shared" si="270"/>
        <v>0</v>
      </c>
      <c r="AX421" s="1977">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ht="15.6">
      <c r="A422" s="83"/>
      <c r="B422" s="1391"/>
      <c r="C422" s="1392"/>
      <c r="D422" s="79"/>
      <c r="E422" s="86">
        <f t="shared" si="265"/>
        <v>0</v>
      </c>
      <c r="F422" s="87"/>
      <c r="G422" s="88">
        <f t="shared" si="266"/>
        <v>0</v>
      </c>
      <c r="H422" s="89">
        <f t="shared" si="267"/>
        <v>0</v>
      </c>
      <c r="I422" s="1392"/>
      <c r="J422" s="90"/>
      <c r="K422" s="1392"/>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2"/>
      <c r="AG422" s="91"/>
      <c r="AH422" s="91"/>
      <c r="AI422" s="91"/>
      <c r="AJ422" s="91"/>
      <c r="AK422" s="91"/>
      <c r="AL422" s="91"/>
      <c r="AM422" s="91"/>
      <c r="AN422" s="91"/>
      <c r="AO422" s="91"/>
      <c r="AP422" s="91"/>
      <c r="AQ422" s="91"/>
      <c r="AR422" s="91"/>
      <c r="AS422" s="91"/>
      <c r="AT422" s="92"/>
      <c r="AU422" s="93"/>
      <c r="AV422" s="1977">
        <f t="shared" si="269"/>
        <v>0</v>
      </c>
      <c r="AW422" s="1977">
        <f t="shared" si="270"/>
        <v>0</v>
      </c>
      <c r="AX422" s="1977">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ht="15.6">
      <c r="A423" s="83"/>
      <c r="B423" s="1393"/>
      <c r="C423" s="1394"/>
      <c r="D423" s="79"/>
      <c r="E423" s="86">
        <f t="shared" si="265"/>
        <v>0</v>
      </c>
      <c r="F423" s="87"/>
      <c r="G423" s="88">
        <f t="shared" si="266"/>
        <v>0</v>
      </c>
      <c r="H423" s="89">
        <f t="shared" si="267"/>
        <v>0</v>
      </c>
      <c r="I423" s="1392"/>
      <c r="J423" s="90"/>
      <c r="K423" s="1392"/>
      <c r="L423" s="90"/>
      <c r="M423" s="1392"/>
      <c r="N423" s="90"/>
      <c r="O423" s="90"/>
      <c r="P423" s="90"/>
      <c r="Q423" s="90"/>
      <c r="R423" s="90"/>
      <c r="S423" s="90"/>
      <c r="T423" s="90"/>
      <c r="U423" s="90"/>
      <c r="V423" s="90"/>
      <c r="W423" s="90"/>
      <c r="X423" s="90"/>
      <c r="Y423" s="90"/>
      <c r="Z423" s="90"/>
      <c r="AA423" s="90"/>
      <c r="AB423" s="90"/>
      <c r="AC423" s="86">
        <f t="shared" si="268"/>
        <v>0</v>
      </c>
      <c r="AD423" s="91"/>
      <c r="AE423" s="91"/>
      <c r="AF423" s="1392"/>
      <c r="AG423" s="91"/>
      <c r="AH423" s="91"/>
      <c r="AI423" s="91"/>
      <c r="AJ423" s="91"/>
      <c r="AK423" s="91"/>
      <c r="AL423" s="91"/>
      <c r="AM423" s="91"/>
      <c r="AN423" s="91"/>
      <c r="AO423" s="91"/>
      <c r="AP423" s="91"/>
      <c r="AQ423" s="91"/>
      <c r="AR423" s="91"/>
      <c r="AS423" s="91"/>
      <c r="AT423" s="92"/>
      <c r="AU423" s="93"/>
      <c r="AV423" s="1977">
        <f t="shared" si="269"/>
        <v>0</v>
      </c>
      <c r="AW423" s="1977">
        <f t="shared" si="270"/>
        <v>0</v>
      </c>
      <c r="AX423" s="1977">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7">
        <f t="shared" si="269"/>
        <v>0</v>
      </c>
      <c r="AW424" s="1977">
        <f t="shared" si="270"/>
        <v>0</v>
      </c>
      <c r="AX424" s="1977">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7">
        <f t="shared" si="269"/>
        <v>0</v>
      </c>
      <c r="AW425" s="1977">
        <f t="shared" si="270"/>
        <v>0</v>
      </c>
      <c r="AX425" s="1977">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7">
        <f t="shared" si="269"/>
        <v>0</v>
      </c>
      <c r="AW426" s="1977">
        <f t="shared" si="270"/>
        <v>0</v>
      </c>
      <c r="AX426" s="1977">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7">
        <f t="shared" si="269"/>
        <v>0</v>
      </c>
      <c r="AW427" s="1977">
        <f t="shared" si="270"/>
        <v>0</v>
      </c>
      <c r="AX427" s="1977">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7">
        <f t="shared" si="269"/>
        <v>0</v>
      </c>
      <c r="AW428" s="1977">
        <f t="shared" si="270"/>
        <v>0</v>
      </c>
      <c r="AX428" s="1977">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7">
        <f t="shared" si="269"/>
        <v>0</v>
      </c>
      <c r="AW429" s="1977">
        <f t="shared" si="270"/>
        <v>0</v>
      </c>
      <c r="AX429" s="1977">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7">
        <f t="shared" si="269"/>
        <v>0</v>
      </c>
      <c r="AW430" s="1977">
        <f t="shared" si="270"/>
        <v>0</v>
      </c>
      <c r="AX430" s="1977">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7">
        <f t="shared" si="269"/>
        <v>0</v>
      </c>
      <c r="AW431" s="1977">
        <f t="shared" si="270"/>
        <v>0</v>
      </c>
      <c r="AX431" s="1977">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7">
        <f t="shared" si="269"/>
        <v>0</v>
      </c>
      <c r="AW432" s="1977">
        <f t="shared" si="270"/>
        <v>0</v>
      </c>
      <c r="AX432" s="1977">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7">
        <f t="shared" si="269"/>
        <v>0</v>
      </c>
      <c r="AW433" s="1977">
        <f t="shared" si="270"/>
        <v>0</v>
      </c>
      <c r="AX433" s="1977">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7">
        <f t="shared" si="269"/>
        <v>0</v>
      </c>
      <c r="AW434" s="1977">
        <f t="shared" si="270"/>
        <v>0</v>
      </c>
      <c r="AX434" s="1977">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7">
        <f t="shared" si="269"/>
        <v>0</v>
      </c>
      <c r="AW435" s="1977">
        <f t="shared" si="270"/>
        <v>0</v>
      </c>
      <c r="AX435" s="1977">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7">
        <f t="shared" si="269"/>
        <v>0</v>
      </c>
      <c r="AW436" s="1977">
        <f t="shared" si="270"/>
        <v>0</v>
      </c>
      <c r="AX436" s="1977">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7">
        <f t="shared" si="269"/>
        <v>0</v>
      </c>
      <c r="AW437" s="1977">
        <f t="shared" si="270"/>
        <v>0</v>
      </c>
      <c r="AX437" s="1977">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7">
        <f t="shared" si="269"/>
        <v>0</v>
      </c>
      <c r="AW438" s="1977">
        <f t="shared" si="270"/>
        <v>0</v>
      </c>
      <c r="AX438" s="1977">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7">
        <f t="shared" si="269"/>
        <v>0</v>
      </c>
      <c r="AW439" s="1977">
        <f t="shared" si="270"/>
        <v>0</v>
      </c>
      <c r="AX439" s="1977">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7">
        <f t="shared" si="269"/>
        <v>0</v>
      </c>
      <c r="AW440" s="1977">
        <f t="shared" si="270"/>
        <v>0</v>
      </c>
      <c r="AX440" s="1977">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7">
        <f t="shared" si="269"/>
        <v>0</v>
      </c>
      <c r="AW441" s="1977">
        <f t="shared" si="270"/>
        <v>0</v>
      </c>
      <c r="AX441" s="1977">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7">
        <f t="shared" si="269"/>
        <v>0</v>
      </c>
      <c r="AW442" s="1977">
        <f t="shared" si="270"/>
        <v>0</v>
      </c>
      <c r="AX442" s="1977">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7">
        <f t="shared" si="269"/>
        <v>0</v>
      </c>
      <c r="AW443" s="1977">
        <f t="shared" si="270"/>
        <v>0</v>
      </c>
      <c r="AX443" s="1977">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7">
        <f t="shared" si="269"/>
        <v>0</v>
      </c>
      <c r="AW444" s="1977">
        <f t="shared" si="270"/>
        <v>0</v>
      </c>
      <c r="AX444" s="1977">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7">
        <f t="shared" si="269"/>
        <v>0</v>
      </c>
      <c r="AW445" s="1977">
        <f t="shared" si="270"/>
        <v>0</v>
      </c>
      <c r="AX445" s="1977">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7">
        <f t="shared" si="269"/>
        <v>0</v>
      </c>
      <c r="AW446" s="1977">
        <f t="shared" si="270"/>
        <v>0</v>
      </c>
      <c r="AX446" s="1977">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7">
        <f t="shared" si="269"/>
        <v>0</v>
      </c>
      <c r="AW447" s="1977">
        <f t="shared" si="270"/>
        <v>0</v>
      </c>
      <c r="AX447" s="1977">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7">
        <f t="shared" si="269"/>
        <v>0</v>
      </c>
      <c r="AW448" s="1977">
        <f t="shared" si="270"/>
        <v>0</v>
      </c>
      <c r="AX448" s="1977">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7">
        <f t="shared" si="269"/>
        <v>0</v>
      </c>
      <c r="AW449" s="1977">
        <f t="shared" si="270"/>
        <v>0</v>
      </c>
      <c r="AX449" s="1977">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7">
        <f t="shared" si="269"/>
        <v>0</v>
      </c>
      <c r="AW450" s="1977">
        <f t="shared" si="270"/>
        <v>0</v>
      </c>
      <c r="AX450" s="1977">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7">
        <f t="shared" si="269"/>
        <v>0</v>
      </c>
      <c r="AW451" s="1977">
        <f t="shared" si="270"/>
        <v>0</v>
      </c>
      <c r="AX451" s="1977">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7">
        <f t="shared" si="269"/>
        <v>0</v>
      </c>
      <c r="AW452" s="1977">
        <f t="shared" si="270"/>
        <v>0</v>
      </c>
      <c r="AX452" s="1977">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7">
        <f t="shared" si="269"/>
        <v>0</v>
      </c>
      <c r="AW453" s="1977">
        <f t="shared" si="270"/>
        <v>0</v>
      </c>
      <c r="AX453" s="1977">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7">
        <f t="shared" si="269"/>
        <v>0</v>
      </c>
      <c r="AW454" s="1977">
        <f t="shared" si="270"/>
        <v>0</v>
      </c>
      <c r="AX454" s="1977">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7">
        <f t="shared" si="269"/>
        <v>0</v>
      </c>
      <c r="AW455" s="1977">
        <f t="shared" si="270"/>
        <v>0</v>
      </c>
      <c r="AX455" s="1977">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7">
        <f t="shared" si="269"/>
        <v>0</v>
      </c>
      <c r="AW456" s="1977">
        <f t="shared" si="270"/>
        <v>0</v>
      </c>
      <c r="AX456" s="1977">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7">
        <f t="shared" si="269"/>
        <v>0</v>
      </c>
      <c r="AW457" s="1977">
        <f t="shared" si="270"/>
        <v>0</v>
      </c>
      <c r="AX457" s="1977">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7">
        <f t="shared" si="269"/>
        <v>0</v>
      </c>
      <c r="AW458" s="1977">
        <f t="shared" si="270"/>
        <v>0</v>
      </c>
      <c r="AX458" s="1977">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7">
        <f t="shared" si="269"/>
        <v>0</v>
      </c>
      <c r="AW459" s="1977">
        <f t="shared" si="270"/>
        <v>0</v>
      </c>
      <c r="AX459" s="1977">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7">
        <f t="shared" si="269"/>
        <v>0</v>
      </c>
      <c r="AW460" s="1977">
        <f t="shared" si="270"/>
        <v>0</v>
      </c>
      <c r="AX460" s="1977">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7">
        <f t="shared" si="269"/>
        <v>0</v>
      </c>
      <c r="AW461" s="1977">
        <f t="shared" si="270"/>
        <v>0</v>
      </c>
      <c r="AX461" s="1977">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7">
        <f t="shared" si="269"/>
        <v>0</v>
      </c>
      <c r="AW462" s="1977">
        <f t="shared" si="270"/>
        <v>0</v>
      </c>
      <c r="AX462" s="1977">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7">
        <f t="shared" si="269"/>
        <v>0</v>
      </c>
      <c r="AW463" s="1977">
        <f t="shared" si="270"/>
        <v>0</v>
      </c>
      <c r="AX463" s="1977">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7">
        <f t="shared" si="269"/>
        <v>0</v>
      </c>
      <c r="AW464" s="1977">
        <f t="shared" si="270"/>
        <v>0</v>
      </c>
      <c r="AX464" s="1977">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7">
        <f t="shared" si="269"/>
        <v>0</v>
      </c>
      <c r="AW465" s="1977">
        <f t="shared" si="270"/>
        <v>0</v>
      </c>
      <c r="AX465" s="1977">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7">
        <f t="shared" si="269"/>
        <v>0</v>
      </c>
      <c r="AW466" s="1977">
        <f t="shared" si="270"/>
        <v>0</v>
      </c>
      <c r="AX466" s="1977">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7">
        <f t="shared" si="269"/>
        <v>0</v>
      </c>
      <c r="AW467" s="1977">
        <f t="shared" si="270"/>
        <v>0</v>
      </c>
      <c r="AX467" s="1977">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7">
        <f t="shared" si="269"/>
        <v>0</v>
      </c>
      <c r="AW468" s="1977">
        <f t="shared" si="270"/>
        <v>0</v>
      </c>
      <c r="AX468" s="1977">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7">
        <f t="shared" si="269"/>
        <v>0</v>
      </c>
      <c r="AW469" s="1977">
        <f t="shared" si="270"/>
        <v>0</v>
      </c>
      <c r="AX469" s="1977">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7">
        <f t="shared" si="269"/>
        <v>0</v>
      </c>
      <c r="AW470" s="1977">
        <f t="shared" si="270"/>
        <v>0</v>
      </c>
      <c r="AX470" s="1977">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7">
        <f t="shared" si="269"/>
        <v>0</v>
      </c>
      <c r="AW471" s="1977">
        <f t="shared" si="270"/>
        <v>0</v>
      </c>
      <c r="AX471" s="1977">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7">
        <f t="shared" si="269"/>
        <v>0</v>
      </c>
      <c r="AW472" s="1977">
        <f t="shared" si="270"/>
        <v>0</v>
      </c>
      <c r="AX472" s="1977">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7">
        <f t="shared" si="269"/>
        <v>0</v>
      </c>
      <c r="AW473" s="1977">
        <f t="shared" si="270"/>
        <v>0</v>
      </c>
      <c r="AX473" s="1977">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7">
        <f t="shared" si="269"/>
        <v>0</v>
      </c>
      <c r="AW474" s="1977">
        <f t="shared" si="270"/>
        <v>0</v>
      </c>
      <c r="AX474" s="1977">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7">
        <f t="shared" si="269"/>
        <v>0</v>
      </c>
      <c r="AW475" s="1977">
        <f t="shared" si="270"/>
        <v>0</v>
      </c>
      <c r="AX475" s="1977">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7">
        <f t="shared" si="269"/>
        <v>0</v>
      </c>
      <c r="AW476" s="1977">
        <f t="shared" si="270"/>
        <v>0</v>
      </c>
      <c r="AX476" s="1977">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7">
        <f t="shared" si="269"/>
        <v>0</v>
      </c>
      <c r="AW477" s="1977">
        <f t="shared" si="270"/>
        <v>0</v>
      </c>
      <c r="AX477" s="1977">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7">
        <f t="shared" si="269"/>
        <v>0</v>
      </c>
      <c r="AW478" s="1977">
        <f t="shared" si="270"/>
        <v>0</v>
      </c>
      <c r="AX478" s="1977">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7">
        <f t="shared" si="269"/>
        <v>0</v>
      </c>
      <c r="AW479" s="1977">
        <f t="shared" si="270"/>
        <v>0</v>
      </c>
      <c r="AX479" s="1977">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7">
        <f t="shared" si="269"/>
        <v>0</v>
      </c>
      <c r="AW480" s="1977">
        <f t="shared" si="270"/>
        <v>0</v>
      </c>
      <c r="AX480" s="1977">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ht="15.6">
      <c r="A481" s="83"/>
      <c r="B481" s="1391"/>
      <c r="C481" s="1392"/>
      <c r="D481" s="79"/>
      <c r="E481" s="86">
        <f t="shared" ref="E481:E504" si="319">IF($C$3="是",ROUND($A$3*G481/$B$3,2),ROUND($A$3*(G481-AT481)/$B$3,2))</f>
        <v>0</v>
      </c>
      <c r="F481" s="87"/>
      <c r="G481" s="88">
        <f t="shared" si="294"/>
        <v>0</v>
      </c>
      <c r="H481" s="89">
        <f t="shared" si="295"/>
        <v>0</v>
      </c>
      <c r="I481" s="1394"/>
      <c r="J481" s="90"/>
      <c r="K481" s="1394"/>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5"/>
      <c r="AG481" s="91"/>
      <c r="AH481" s="91"/>
      <c r="AI481" s="91"/>
      <c r="AJ481" s="91"/>
      <c r="AK481" s="91"/>
      <c r="AL481" s="91"/>
      <c r="AM481" s="91"/>
      <c r="AN481" s="1362"/>
      <c r="AO481" s="91"/>
      <c r="AP481" s="91"/>
      <c r="AQ481" s="91"/>
      <c r="AR481" s="91"/>
      <c r="AS481" s="91"/>
      <c r="AT481" s="92"/>
      <c r="AU481" s="93"/>
      <c r="AV481" s="990">
        <f t="shared" ref="AV481:AV505" si="320">A481</f>
        <v>0</v>
      </c>
      <c r="AW481" s="990">
        <f t="shared" ref="AW481:AW505" si="321">B481</f>
        <v>0</v>
      </c>
      <c r="AX481" s="9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ht="15.6">
      <c r="A482" s="83"/>
      <c r="B482" s="1391"/>
      <c r="C482" s="1392"/>
      <c r="D482" s="79"/>
      <c r="E482" s="86">
        <f t="shared" si="319"/>
        <v>0</v>
      </c>
      <c r="F482" s="87"/>
      <c r="G482" s="88">
        <f t="shared" si="294"/>
        <v>0</v>
      </c>
      <c r="H482" s="89">
        <f t="shared" si="295"/>
        <v>0</v>
      </c>
      <c r="I482" s="1394"/>
      <c r="J482" s="90"/>
      <c r="K482" s="1394"/>
      <c r="L482" s="90"/>
      <c r="M482" s="1362"/>
      <c r="N482" s="90"/>
      <c r="O482" s="90"/>
      <c r="P482" s="90"/>
      <c r="Q482" s="90"/>
      <c r="R482" s="90"/>
      <c r="S482" s="90"/>
      <c r="T482" s="90"/>
      <c r="U482" s="90"/>
      <c r="V482" s="90"/>
      <c r="W482" s="90"/>
      <c r="X482" s="90"/>
      <c r="Y482" s="90"/>
      <c r="Z482" s="90"/>
      <c r="AA482" s="90"/>
      <c r="AB482" s="90"/>
      <c r="AC482" s="86">
        <f t="shared" si="296"/>
        <v>0</v>
      </c>
      <c r="AD482" s="1362"/>
      <c r="AE482" s="91"/>
      <c r="AF482" s="1395"/>
      <c r="AG482" s="91"/>
      <c r="AH482" s="91"/>
      <c r="AI482" s="91"/>
      <c r="AJ482" s="91"/>
      <c r="AK482" s="91"/>
      <c r="AL482" s="1362"/>
      <c r="AM482" s="91"/>
      <c r="AN482" s="1362"/>
      <c r="AO482" s="91"/>
      <c r="AP482" s="91"/>
      <c r="AQ482" s="91"/>
      <c r="AR482" s="91"/>
      <c r="AS482" s="91"/>
      <c r="AT482" s="92"/>
      <c r="AU482" s="93"/>
      <c r="AV482" s="990">
        <f t="shared" si="320"/>
        <v>0</v>
      </c>
      <c r="AW482" s="990">
        <f t="shared" si="321"/>
        <v>0</v>
      </c>
      <c r="AX482" s="9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ht="15.6">
      <c r="A483" s="83"/>
      <c r="B483" s="1391"/>
      <c r="C483" s="1392"/>
      <c r="D483" s="79"/>
      <c r="E483" s="86">
        <f t="shared" si="319"/>
        <v>0</v>
      </c>
      <c r="F483" s="87"/>
      <c r="G483" s="88">
        <f t="shared" si="294"/>
        <v>0</v>
      </c>
      <c r="H483" s="89">
        <f t="shared" si="295"/>
        <v>0</v>
      </c>
      <c r="I483" s="1394"/>
      <c r="J483" s="90"/>
      <c r="K483" s="1394"/>
      <c r="L483" s="90"/>
      <c r="M483" s="1362"/>
      <c r="N483" s="90"/>
      <c r="O483" s="90"/>
      <c r="P483" s="90"/>
      <c r="Q483" s="90"/>
      <c r="R483" s="90"/>
      <c r="S483" s="90"/>
      <c r="T483" s="90"/>
      <c r="U483" s="90"/>
      <c r="V483" s="90"/>
      <c r="W483" s="90"/>
      <c r="X483" s="90"/>
      <c r="Y483" s="90"/>
      <c r="Z483" s="90"/>
      <c r="AA483" s="90"/>
      <c r="AB483" s="90"/>
      <c r="AC483" s="86">
        <f t="shared" si="296"/>
        <v>0</v>
      </c>
      <c r="AD483" s="91"/>
      <c r="AE483" s="91"/>
      <c r="AF483" s="1395"/>
      <c r="AG483" s="91"/>
      <c r="AH483" s="91"/>
      <c r="AI483" s="91"/>
      <c r="AJ483" s="91"/>
      <c r="AK483" s="91"/>
      <c r="AL483" s="1362"/>
      <c r="AM483" s="91"/>
      <c r="AN483" s="1362"/>
      <c r="AO483" s="91"/>
      <c r="AP483" s="91"/>
      <c r="AQ483" s="91"/>
      <c r="AR483" s="91"/>
      <c r="AS483" s="91"/>
      <c r="AT483" s="92"/>
      <c r="AU483" s="93"/>
      <c r="AV483" s="990">
        <f t="shared" si="320"/>
        <v>0</v>
      </c>
      <c r="AW483" s="990">
        <f t="shared" si="321"/>
        <v>0</v>
      </c>
      <c r="AX483" s="9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ht="15.6">
      <c r="A484" s="83"/>
      <c r="B484" s="1391"/>
      <c r="C484" s="1392"/>
      <c r="D484" s="79"/>
      <c r="E484" s="86">
        <f t="shared" si="319"/>
        <v>0</v>
      </c>
      <c r="F484" s="87"/>
      <c r="G484" s="88">
        <f t="shared" si="294"/>
        <v>0</v>
      </c>
      <c r="H484" s="89">
        <f t="shared" si="295"/>
        <v>0</v>
      </c>
      <c r="I484" s="1394"/>
      <c r="J484" s="90"/>
      <c r="K484" s="1394"/>
      <c r="L484" s="90"/>
      <c r="M484" s="90"/>
      <c r="N484" s="90"/>
      <c r="O484" s="1362"/>
      <c r="P484" s="90"/>
      <c r="Q484" s="90"/>
      <c r="R484" s="90"/>
      <c r="S484" s="90"/>
      <c r="T484" s="90"/>
      <c r="U484" s="90"/>
      <c r="V484" s="90"/>
      <c r="W484" s="90"/>
      <c r="X484" s="90"/>
      <c r="Y484" s="90"/>
      <c r="Z484" s="90"/>
      <c r="AA484" s="90"/>
      <c r="AB484" s="90"/>
      <c r="AC484" s="86">
        <f t="shared" si="296"/>
        <v>0</v>
      </c>
      <c r="AD484" s="91"/>
      <c r="AE484" s="91"/>
      <c r="AF484" s="1395"/>
      <c r="AG484" s="91"/>
      <c r="AH484" s="91"/>
      <c r="AI484" s="91"/>
      <c r="AJ484" s="91"/>
      <c r="AK484" s="91"/>
      <c r="AL484" s="91"/>
      <c r="AM484" s="91"/>
      <c r="AN484" s="1362"/>
      <c r="AO484" s="91"/>
      <c r="AP484" s="91"/>
      <c r="AQ484" s="91"/>
      <c r="AR484" s="91"/>
      <c r="AS484" s="91"/>
      <c r="AT484" s="92"/>
      <c r="AU484" s="93"/>
      <c r="AV484" s="990">
        <f t="shared" si="320"/>
        <v>0</v>
      </c>
      <c r="AW484" s="990">
        <f t="shared" si="321"/>
        <v>0</v>
      </c>
      <c r="AX484" s="9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ht="15.6">
      <c r="A485" s="83"/>
      <c r="B485" s="1391"/>
      <c r="C485" s="1392"/>
      <c r="D485" s="79"/>
      <c r="E485" s="86">
        <f t="shared" si="319"/>
        <v>0</v>
      </c>
      <c r="F485" s="87"/>
      <c r="G485" s="88">
        <f t="shared" si="294"/>
        <v>0</v>
      </c>
      <c r="H485" s="89">
        <f t="shared" si="295"/>
        <v>0</v>
      </c>
      <c r="I485" s="1394"/>
      <c r="J485" s="90"/>
      <c r="K485" s="1394"/>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5"/>
      <c r="AG485" s="91"/>
      <c r="AH485" s="91"/>
      <c r="AI485" s="91"/>
      <c r="AJ485" s="91"/>
      <c r="AK485" s="91"/>
      <c r="AL485" s="91"/>
      <c r="AM485" s="91"/>
      <c r="AN485" s="91"/>
      <c r="AO485" s="91"/>
      <c r="AP485" s="91"/>
      <c r="AQ485" s="91"/>
      <c r="AR485" s="91"/>
      <c r="AS485" s="91"/>
      <c r="AT485" s="92"/>
      <c r="AU485" s="93"/>
      <c r="AV485" s="990">
        <f t="shared" si="320"/>
        <v>0</v>
      </c>
      <c r="AW485" s="990">
        <f t="shared" si="321"/>
        <v>0</v>
      </c>
      <c r="AX485" s="9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ht="15.6">
      <c r="A486" s="83"/>
      <c r="B486" s="1391"/>
      <c r="C486" s="1392"/>
      <c r="D486" s="79"/>
      <c r="E486" s="86">
        <f t="shared" si="319"/>
        <v>0</v>
      </c>
      <c r="F486" s="87"/>
      <c r="G486" s="88">
        <f t="shared" si="294"/>
        <v>0</v>
      </c>
      <c r="H486" s="89">
        <f t="shared" si="295"/>
        <v>0</v>
      </c>
      <c r="I486" s="1394"/>
      <c r="J486" s="90"/>
      <c r="K486" s="1394"/>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5"/>
      <c r="AG486" s="91"/>
      <c r="AH486" s="91"/>
      <c r="AI486" s="91"/>
      <c r="AJ486" s="91"/>
      <c r="AK486" s="91"/>
      <c r="AL486" s="91"/>
      <c r="AM486" s="91"/>
      <c r="AN486" s="91"/>
      <c r="AO486" s="91"/>
      <c r="AP486" s="91"/>
      <c r="AQ486" s="91"/>
      <c r="AR486" s="91"/>
      <c r="AS486" s="91"/>
      <c r="AT486" s="92"/>
      <c r="AU486" s="93"/>
      <c r="AV486" s="990">
        <f t="shared" si="320"/>
        <v>0</v>
      </c>
      <c r="AW486" s="990">
        <f t="shared" si="321"/>
        <v>0</v>
      </c>
      <c r="AX486" s="9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ht="15.6">
      <c r="A487" s="83"/>
      <c r="B487" s="1391"/>
      <c r="C487" s="1392"/>
      <c r="D487" s="79"/>
      <c r="E487" s="86">
        <f t="shared" si="319"/>
        <v>0</v>
      </c>
      <c r="F487" s="87"/>
      <c r="G487" s="88">
        <f t="shared" si="294"/>
        <v>0</v>
      </c>
      <c r="H487" s="89">
        <f t="shared" si="295"/>
        <v>0</v>
      </c>
      <c r="I487" s="1394"/>
      <c r="J487" s="90"/>
      <c r="K487" s="1394"/>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5"/>
      <c r="AG487" s="91"/>
      <c r="AH487" s="91"/>
      <c r="AI487" s="91"/>
      <c r="AJ487" s="91"/>
      <c r="AK487" s="91"/>
      <c r="AL487" s="91"/>
      <c r="AM487" s="91"/>
      <c r="AN487" s="91"/>
      <c r="AO487" s="91"/>
      <c r="AP487" s="91"/>
      <c r="AQ487" s="91"/>
      <c r="AR487" s="91"/>
      <c r="AS487" s="91"/>
      <c r="AT487" s="92"/>
      <c r="AU487" s="93"/>
      <c r="AV487" s="990">
        <f t="shared" si="320"/>
        <v>0</v>
      </c>
      <c r="AW487" s="990">
        <f t="shared" si="321"/>
        <v>0</v>
      </c>
      <c r="AX487" s="9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ht="15.6">
      <c r="A488" s="83"/>
      <c r="B488" s="1391"/>
      <c r="C488" s="1392"/>
      <c r="D488" s="79"/>
      <c r="E488" s="86">
        <f t="shared" si="319"/>
        <v>0</v>
      </c>
      <c r="F488" s="87"/>
      <c r="G488" s="88">
        <f t="shared" si="294"/>
        <v>0</v>
      </c>
      <c r="H488" s="89">
        <f t="shared" si="295"/>
        <v>0</v>
      </c>
      <c r="I488" s="1394"/>
      <c r="J488" s="90"/>
      <c r="K488" s="1394"/>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4"/>
      <c r="AG488" s="91"/>
      <c r="AH488" s="91"/>
      <c r="AI488" s="91"/>
      <c r="AJ488" s="91"/>
      <c r="AK488" s="91"/>
      <c r="AL488" s="91"/>
      <c r="AM488" s="91"/>
      <c r="AN488" s="91"/>
      <c r="AO488" s="91"/>
      <c r="AP488" s="91"/>
      <c r="AQ488" s="91"/>
      <c r="AR488" s="91"/>
      <c r="AS488" s="91"/>
      <c r="AT488" s="92"/>
      <c r="AU488" s="93"/>
      <c r="AV488" s="990">
        <f t="shared" si="320"/>
        <v>0</v>
      </c>
      <c r="AW488" s="990">
        <f t="shared" si="321"/>
        <v>0</v>
      </c>
      <c r="AX488" s="9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ht="15.6">
      <c r="A489" s="83"/>
      <c r="B489" s="1393"/>
      <c r="C489" s="1394"/>
      <c r="D489" s="79"/>
      <c r="E489" s="86">
        <f t="shared" si="319"/>
        <v>0</v>
      </c>
      <c r="F489" s="87"/>
      <c r="G489" s="88">
        <f t="shared" si="294"/>
        <v>0</v>
      </c>
      <c r="H489" s="89">
        <f t="shared" si="295"/>
        <v>0</v>
      </c>
      <c r="I489" s="1394"/>
      <c r="J489" s="90"/>
      <c r="K489" s="1394"/>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4"/>
      <c r="AG489" s="91"/>
      <c r="AH489" s="91"/>
      <c r="AI489" s="91"/>
      <c r="AJ489" s="91"/>
      <c r="AK489" s="91"/>
      <c r="AL489" s="91"/>
      <c r="AM489" s="91"/>
      <c r="AN489" s="91"/>
      <c r="AO489" s="91"/>
      <c r="AP489" s="91"/>
      <c r="AQ489" s="91"/>
      <c r="AR489" s="91"/>
      <c r="AS489" s="91"/>
      <c r="AT489" s="92"/>
      <c r="AU489" s="93"/>
      <c r="AV489" s="990">
        <f t="shared" si="320"/>
        <v>0</v>
      </c>
      <c r="AW489" s="990">
        <f t="shared" si="321"/>
        <v>0</v>
      </c>
      <c r="AX489" s="9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ht="15.6">
      <c r="A490" s="83"/>
      <c r="B490" s="1391"/>
      <c r="C490" s="1392"/>
      <c r="D490" s="79"/>
      <c r="E490" s="86">
        <f t="shared" si="319"/>
        <v>0</v>
      </c>
      <c r="F490" s="87"/>
      <c r="G490" s="88">
        <f t="shared" si="294"/>
        <v>0</v>
      </c>
      <c r="H490" s="89">
        <f t="shared" si="295"/>
        <v>0</v>
      </c>
      <c r="I490" s="1394"/>
      <c r="J490" s="90"/>
      <c r="K490" s="1394"/>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4"/>
      <c r="AG490" s="91"/>
      <c r="AH490" s="91"/>
      <c r="AI490" s="91"/>
      <c r="AJ490" s="91"/>
      <c r="AK490" s="91"/>
      <c r="AL490" s="91"/>
      <c r="AM490" s="91"/>
      <c r="AN490" s="91"/>
      <c r="AO490" s="91"/>
      <c r="AP490" s="91"/>
      <c r="AQ490" s="91"/>
      <c r="AR490" s="91"/>
      <c r="AS490" s="91"/>
      <c r="AT490" s="92"/>
      <c r="AU490" s="93"/>
      <c r="AV490" s="990">
        <f t="shared" si="320"/>
        <v>0</v>
      </c>
      <c r="AW490" s="990">
        <f t="shared" si="321"/>
        <v>0</v>
      </c>
      <c r="AX490" s="9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ht="15.6">
      <c r="A491" s="83"/>
      <c r="B491" s="1391"/>
      <c r="C491" s="1392"/>
      <c r="D491" s="79"/>
      <c r="E491" s="86">
        <f t="shared" si="319"/>
        <v>0</v>
      </c>
      <c r="F491" s="87"/>
      <c r="G491" s="88">
        <f t="shared" si="294"/>
        <v>0</v>
      </c>
      <c r="H491" s="89">
        <f t="shared" si="295"/>
        <v>0</v>
      </c>
      <c r="I491" s="1394"/>
      <c r="J491" s="90"/>
      <c r="K491" s="1394"/>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4"/>
      <c r="AG491" s="91"/>
      <c r="AH491" s="91"/>
      <c r="AI491" s="91"/>
      <c r="AJ491" s="91"/>
      <c r="AK491" s="91"/>
      <c r="AL491" s="91"/>
      <c r="AM491" s="91"/>
      <c r="AN491" s="91"/>
      <c r="AO491" s="91"/>
      <c r="AP491" s="91"/>
      <c r="AQ491" s="91"/>
      <c r="AR491" s="91"/>
      <c r="AS491" s="91"/>
      <c r="AT491" s="92"/>
      <c r="AU491" s="93"/>
      <c r="AV491" s="990">
        <f t="shared" si="320"/>
        <v>0</v>
      </c>
      <c r="AW491" s="990">
        <f t="shared" si="321"/>
        <v>0</v>
      </c>
      <c r="AX491" s="9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ht="15.6">
      <c r="A492" s="83"/>
      <c r="B492" s="1391"/>
      <c r="C492" s="1392"/>
      <c r="D492" s="79"/>
      <c r="E492" s="86">
        <f t="shared" si="319"/>
        <v>0</v>
      </c>
      <c r="F492" s="87"/>
      <c r="G492" s="88">
        <f t="shared" si="294"/>
        <v>0</v>
      </c>
      <c r="H492" s="89">
        <f t="shared" si="295"/>
        <v>0</v>
      </c>
      <c r="I492" s="1394"/>
      <c r="J492" s="90"/>
      <c r="K492" s="1394"/>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4"/>
      <c r="AG492" s="91"/>
      <c r="AH492" s="91"/>
      <c r="AI492" s="91"/>
      <c r="AJ492" s="91"/>
      <c r="AK492" s="91"/>
      <c r="AL492" s="91"/>
      <c r="AM492" s="91"/>
      <c r="AN492" s="91"/>
      <c r="AO492" s="91"/>
      <c r="AP492" s="91"/>
      <c r="AQ492" s="91"/>
      <c r="AR492" s="91"/>
      <c r="AS492" s="91"/>
      <c r="AT492" s="92"/>
      <c r="AU492" s="93"/>
      <c r="AV492" s="990">
        <f t="shared" si="320"/>
        <v>0</v>
      </c>
      <c r="AW492" s="990">
        <f t="shared" si="321"/>
        <v>0</v>
      </c>
      <c r="AX492" s="9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ht="15.6">
      <c r="A493" s="83"/>
      <c r="B493" s="1391"/>
      <c r="C493" s="1392"/>
      <c r="D493" s="79"/>
      <c r="E493" s="86">
        <f t="shared" si="319"/>
        <v>0</v>
      </c>
      <c r="F493" s="87"/>
      <c r="G493" s="88">
        <f t="shared" si="294"/>
        <v>0</v>
      </c>
      <c r="H493" s="89">
        <f t="shared" si="295"/>
        <v>0</v>
      </c>
      <c r="I493" s="1394"/>
      <c r="J493" s="90"/>
      <c r="K493" s="1394"/>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4"/>
      <c r="AG493" s="91"/>
      <c r="AH493" s="91"/>
      <c r="AI493" s="91"/>
      <c r="AJ493" s="91"/>
      <c r="AK493" s="91"/>
      <c r="AL493" s="91"/>
      <c r="AM493" s="91"/>
      <c r="AN493" s="91"/>
      <c r="AO493" s="91"/>
      <c r="AP493" s="91"/>
      <c r="AQ493" s="91"/>
      <c r="AR493" s="91"/>
      <c r="AS493" s="91"/>
      <c r="AT493" s="92"/>
      <c r="AU493" s="93"/>
      <c r="AV493" s="990">
        <f t="shared" si="320"/>
        <v>0</v>
      </c>
      <c r="AW493" s="990">
        <f t="shared" si="321"/>
        <v>0</v>
      </c>
      <c r="AX493" s="9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ht="15.6">
      <c r="A494" s="83"/>
      <c r="B494" s="1391"/>
      <c r="C494" s="1392"/>
      <c r="D494" s="79"/>
      <c r="E494" s="86">
        <f t="shared" si="319"/>
        <v>0</v>
      </c>
      <c r="F494" s="87"/>
      <c r="G494" s="88">
        <f t="shared" si="294"/>
        <v>0</v>
      </c>
      <c r="H494" s="89">
        <f t="shared" si="295"/>
        <v>0</v>
      </c>
      <c r="I494" s="1394"/>
      <c r="J494" s="90"/>
      <c r="K494" s="1394"/>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4"/>
      <c r="AG494" s="91"/>
      <c r="AH494" s="91"/>
      <c r="AI494" s="91"/>
      <c r="AJ494" s="91"/>
      <c r="AK494" s="91"/>
      <c r="AL494" s="91"/>
      <c r="AM494" s="91"/>
      <c r="AN494" s="91"/>
      <c r="AO494" s="91"/>
      <c r="AP494" s="91"/>
      <c r="AQ494" s="91"/>
      <c r="AR494" s="91"/>
      <c r="AS494" s="91"/>
      <c r="AT494" s="92"/>
      <c r="AU494" s="93"/>
      <c r="AV494" s="990">
        <f t="shared" si="320"/>
        <v>0</v>
      </c>
      <c r="AW494" s="990">
        <f t="shared" si="321"/>
        <v>0</v>
      </c>
      <c r="AX494" s="9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ht="15.6">
      <c r="A495" s="83"/>
      <c r="B495" s="1391"/>
      <c r="C495" s="1392"/>
      <c r="D495" s="79"/>
      <c r="E495" s="86">
        <f t="shared" si="319"/>
        <v>0</v>
      </c>
      <c r="F495" s="87"/>
      <c r="G495" s="88">
        <f t="shared" si="294"/>
        <v>0</v>
      </c>
      <c r="H495" s="89">
        <f t="shared" si="295"/>
        <v>0</v>
      </c>
      <c r="I495" s="1394"/>
      <c r="J495" s="90"/>
      <c r="K495" s="1394"/>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4"/>
      <c r="AG495" s="91"/>
      <c r="AH495" s="91"/>
      <c r="AI495" s="91"/>
      <c r="AJ495" s="91"/>
      <c r="AK495" s="91"/>
      <c r="AL495" s="91"/>
      <c r="AM495" s="91"/>
      <c r="AN495" s="91"/>
      <c r="AO495" s="91"/>
      <c r="AP495" s="91"/>
      <c r="AQ495" s="91"/>
      <c r="AR495" s="91"/>
      <c r="AS495" s="91"/>
      <c r="AT495" s="92"/>
      <c r="AU495" s="93"/>
      <c r="AV495" s="990">
        <f t="shared" si="320"/>
        <v>0</v>
      </c>
      <c r="AW495" s="990">
        <f t="shared" si="321"/>
        <v>0</v>
      </c>
      <c r="AX495" s="9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ht="15.6">
      <c r="A496" s="83"/>
      <c r="B496" s="1391"/>
      <c r="C496" s="1392"/>
      <c r="D496" s="79"/>
      <c r="E496" s="86">
        <f t="shared" si="319"/>
        <v>0</v>
      </c>
      <c r="F496" s="87"/>
      <c r="G496" s="88">
        <f t="shared" si="294"/>
        <v>0</v>
      </c>
      <c r="H496" s="89">
        <f t="shared" si="295"/>
        <v>0</v>
      </c>
      <c r="I496" s="1394"/>
      <c r="J496" s="90"/>
      <c r="K496" s="1394"/>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4"/>
      <c r="AG496" s="91"/>
      <c r="AH496" s="91"/>
      <c r="AI496" s="91"/>
      <c r="AJ496" s="91"/>
      <c r="AK496" s="91"/>
      <c r="AL496" s="91"/>
      <c r="AM496" s="91"/>
      <c r="AN496" s="91"/>
      <c r="AO496" s="91"/>
      <c r="AP496" s="91"/>
      <c r="AQ496" s="91"/>
      <c r="AR496" s="91"/>
      <c r="AS496" s="91"/>
      <c r="AT496" s="92"/>
      <c r="AU496" s="93"/>
      <c r="AV496" s="990">
        <f t="shared" si="320"/>
        <v>0</v>
      </c>
      <c r="AW496" s="990">
        <f t="shared" si="321"/>
        <v>0</v>
      </c>
      <c r="AX496" s="9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ht="15.6">
      <c r="A497" s="83"/>
      <c r="B497" s="1391"/>
      <c r="C497" s="1392"/>
      <c r="D497" s="79"/>
      <c r="E497" s="86">
        <f t="shared" si="319"/>
        <v>0</v>
      </c>
      <c r="F497" s="87"/>
      <c r="G497" s="88">
        <f t="shared" si="294"/>
        <v>0</v>
      </c>
      <c r="H497" s="89">
        <f t="shared" si="295"/>
        <v>0</v>
      </c>
      <c r="I497" s="1394"/>
      <c r="J497" s="90"/>
      <c r="K497" s="1394"/>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4"/>
      <c r="AG497" s="91"/>
      <c r="AH497" s="91"/>
      <c r="AI497" s="91"/>
      <c r="AJ497" s="91"/>
      <c r="AK497" s="91"/>
      <c r="AL497" s="91"/>
      <c r="AM497" s="91"/>
      <c r="AN497" s="91"/>
      <c r="AO497" s="91"/>
      <c r="AP497" s="91"/>
      <c r="AQ497" s="91"/>
      <c r="AR497" s="91"/>
      <c r="AS497" s="91"/>
      <c r="AT497" s="92"/>
      <c r="AU497" s="93"/>
      <c r="AV497" s="990">
        <f t="shared" si="320"/>
        <v>0</v>
      </c>
      <c r="AW497" s="990">
        <f t="shared" si="321"/>
        <v>0</v>
      </c>
      <c r="AX497" s="9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ht="15.6">
      <c r="A498" s="83"/>
      <c r="B498" s="1391"/>
      <c r="C498" s="1392"/>
      <c r="D498" s="79"/>
      <c r="E498" s="86">
        <f t="shared" si="319"/>
        <v>0</v>
      </c>
      <c r="F498" s="87"/>
      <c r="G498" s="88">
        <f t="shared" si="294"/>
        <v>0</v>
      </c>
      <c r="H498" s="89">
        <f t="shared" si="295"/>
        <v>0</v>
      </c>
      <c r="I498" s="1394"/>
      <c r="J498" s="90"/>
      <c r="K498" s="1394"/>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4"/>
      <c r="AG498" s="91"/>
      <c r="AH498" s="91"/>
      <c r="AI498" s="91"/>
      <c r="AJ498" s="91"/>
      <c r="AK498" s="91"/>
      <c r="AL498" s="91"/>
      <c r="AM498" s="91"/>
      <c r="AN498" s="91"/>
      <c r="AO498" s="91"/>
      <c r="AP498" s="91"/>
      <c r="AQ498" s="91"/>
      <c r="AR498" s="91"/>
      <c r="AS498" s="91"/>
      <c r="AT498" s="92"/>
      <c r="AU498" s="93"/>
      <c r="AV498" s="990">
        <f t="shared" si="320"/>
        <v>0</v>
      </c>
      <c r="AW498" s="990">
        <f t="shared" si="321"/>
        <v>0</v>
      </c>
      <c r="AX498" s="9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ht="15.6">
      <c r="A499" s="83"/>
      <c r="B499" s="1391"/>
      <c r="C499" s="1392"/>
      <c r="D499" s="79"/>
      <c r="E499" s="86">
        <f t="shared" si="319"/>
        <v>0</v>
      </c>
      <c r="F499" s="87"/>
      <c r="G499" s="88">
        <f t="shared" si="294"/>
        <v>0</v>
      </c>
      <c r="H499" s="89">
        <f t="shared" si="295"/>
        <v>0</v>
      </c>
      <c r="I499" s="1394"/>
      <c r="J499" s="90"/>
      <c r="K499" s="1394"/>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4"/>
      <c r="AG499" s="91"/>
      <c r="AH499" s="91"/>
      <c r="AI499" s="91"/>
      <c r="AJ499" s="91"/>
      <c r="AK499" s="91"/>
      <c r="AL499" s="91"/>
      <c r="AM499" s="91"/>
      <c r="AN499" s="91"/>
      <c r="AO499" s="91"/>
      <c r="AP499" s="91"/>
      <c r="AQ499" s="91"/>
      <c r="AR499" s="91"/>
      <c r="AS499" s="91"/>
      <c r="AT499" s="92"/>
      <c r="AU499" s="93"/>
      <c r="AV499" s="990">
        <f t="shared" si="320"/>
        <v>0</v>
      </c>
      <c r="AW499" s="990">
        <f t="shared" si="321"/>
        <v>0</v>
      </c>
      <c r="AX499" s="9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ht="15.6">
      <c r="A500" s="83"/>
      <c r="B500" s="1391"/>
      <c r="C500" s="1392"/>
      <c r="D500" s="79"/>
      <c r="E500" s="86">
        <f t="shared" si="319"/>
        <v>0</v>
      </c>
      <c r="F500" s="87"/>
      <c r="G500" s="88">
        <f t="shared" si="294"/>
        <v>0</v>
      </c>
      <c r="H500" s="89">
        <f t="shared" si="295"/>
        <v>0</v>
      </c>
      <c r="I500" s="1394"/>
      <c r="J500" s="90"/>
      <c r="K500" s="1394"/>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4"/>
      <c r="AG500" s="91"/>
      <c r="AH500" s="91"/>
      <c r="AI500" s="91"/>
      <c r="AJ500" s="91"/>
      <c r="AK500" s="91"/>
      <c r="AL500" s="91"/>
      <c r="AM500" s="91"/>
      <c r="AN500" s="91"/>
      <c r="AO500" s="91"/>
      <c r="AP500" s="91"/>
      <c r="AQ500" s="91"/>
      <c r="AR500" s="91"/>
      <c r="AS500" s="91"/>
      <c r="AT500" s="92"/>
      <c r="AU500" s="93"/>
      <c r="AV500" s="990">
        <f t="shared" si="320"/>
        <v>0</v>
      </c>
      <c r="AW500" s="990">
        <f t="shared" si="321"/>
        <v>0</v>
      </c>
      <c r="AX500" s="9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ht="15.6">
      <c r="A501" s="83"/>
      <c r="B501" s="1391"/>
      <c r="C501" s="1392"/>
      <c r="D501" s="79"/>
      <c r="E501" s="86">
        <f t="shared" si="319"/>
        <v>0</v>
      </c>
      <c r="F501" s="87"/>
      <c r="G501" s="88">
        <f t="shared" si="294"/>
        <v>0</v>
      </c>
      <c r="H501" s="89">
        <f t="shared" si="295"/>
        <v>0</v>
      </c>
      <c r="I501" s="1394"/>
      <c r="J501" s="90"/>
      <c r="K501" s="1394"/>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4"/>
      <c r="AG501" s="91"/>
      <c r="AH501" s="91"/>
      <c r="AI501" s="91"/>
      <c r="AJ501" s="91"/>
      <c r="AK501" s="91"/>
      <c r="AL501" s="91"/>
      <c r="AM501" s="91"/>
      <c r="AN501" s="91"/>
      <c r="AO501" s="91"/>
      <c r="AP501" s="91"/>
      <c r="AQ501" s="91"/>
      <c r="AR501" s="91"/>
      <c r="AS501" s="91"/>
      <c r="AT501" s="92"/>
      <c r="AU501" s="93"/>
      <c r="AV501" s="990">
        <f t="shared" si="320"/>
        <v>0</v>
      </c>
      <c r="AW501" s="990">
        <f t="shared" si="321"/>
        <v>0</v>
      </c>
      <c r="AX501" s="9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ht="15.6">
      <c r="A502" s="83"/>
      <c r="B502" s="1391"/>
      <c r="C502" s="1392"/>
      <c r="D502" s="79"/>
      <c r="E502" s="86">
        <f t="shared" si="319"/>
        <v>0</v>
      </c>
      <c r="F502" s="87"/>
      <c r="G502" s="88">
        <f t="shared" si="294"/>
        <v>0</v>
      </c>
      <c r="H502" s="89">
        <f t="shared" si="295"/>
        <v>0</v>
      </c>
      <c r="I502" s="1394"/>
      <c r="J502" s="90"/>
      <c r="K502" s="1394"/>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4"/>
      <c r="AG502" s="91"/>
      <c r="AH502" s="91"/>
      <c r="AI502" s="91"/>
      <c r="AJ502" s="91"/>
      <c r="AK502" s="91"/>
      <c r="AL502" s="91"/>
      <c r="AM502" s="91"/>
      <c r="AN502" s="91"/>
      <c r="AO502" s="91"/>
      <c r="AP502" s="91"/>
      <c r="AQ502" s="91"/>
      <c r="AR502" s="91"/>
      <c r="AS502" s="91"/>
      <c r="AT502" s="92"/>
      <c r="AU502" s="93"/>
      <c r="AV502" s="990">
        <f t="shared" si="320"/>
        <v>0</v>
      </c>
      <c r="AW502" s="990">
        <f t="shared" si="321"/>
        <v>0</v>
      </c>
      <c r="AX502" s="9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ht="15.6">
      <c r="A503" s="83"/>
      <c r="B503" s="1391"/>
      <c r="C503" s="1392"/>
      <c r="D503" s="79"/>
      <c r="E503" s="86">
        <f t="shared" si="319"/>
        <v>0</v>
      </c>
      <c r="F503" s="87"/>
      <c r="G503" s="88">
        <f t="shared" si="294"/>
        <v>0</v>
      </c>
      <c r="H503" s="89">
        <f t="shared" si="295"/>
        <v>0</v>
      </c>
      <c r="I503" s="1394"/>
      <c r="J503" s="90"/>
      <c r="K503" s="1394"/>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4"/>
      <c r="AG503" s="91"/>
      <c r="AH503" s="91"/>
      <c r="AI503" s="91"/>
      <c r="AJ503" s="91"/>
      <c r="AK503" s="91"/>
      <c r="AL503" s="91"/>
      <c r="AM503" s="91"/>
      <c r="AN503" s="91"/>
      <c r="AO503" s="91"/>
      <c r="AP503" s="91"/>
      <c r="AQ503" s="91"/>
      <c r="AR503" s="91"/>
      <c r="AS503" s="91"/>
      <c r="AT503" s="92"/>
      <c r="AU503" s="93"/>
      <c r="AV503" s="990">
        <f t="shared" si="320"/>
        <v>0</v>
      </c>
      <c r="AW503" s="990">
        <f t="shared" si="321"/>
        <v>0</v>
      </c>
      <c r="AX503" s="9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ht="15.6">
      <c r="A504" s="83"/>
      <c r="B504" s="1391"/>
      <c r="C504" s="1392"/>
      <c r="D504" s="79"/>
      <c r="E504" s="86">
        <f t="shared" si="319"/>
        <v>0</v>
      </c>
      <c r="F504" s="87"/>
      <c r="G504" s="88">
        <f t="shared" si="294"/>
        <v>0</v>
      </c>
      <c r="H504" s="89">
        <f t="shared" si="295"/>
        <v>0</v>
      </c>
      <c r="I504" s="1394"/>
      <c r="J504" s="90"/>
      <c r="K504" s="1394"/>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4"/>
      <c r="AG504" s="91"/>
      <c r="AH504" s="91"/>
      <c r="AI504" s="91"/>
      <c r="AJ504" s="91"/>
      <c r="AK504" s="91"/>
      <c r="AL504" s="91"/>
      <c r="AM504" s="91"/>
      <c r="AN504" s="91"/>
      <c r="AO504" s="91"/>
      <c r="AP504" s="91"/>
      <c r="AQ504" s="91"/>
      <c r="AR504" s="91"/>
      <c r="AS504" s="91"/>
      <c r="AT504" s="92"/>
      <c r="AU504" s="93"/>
      <c r="AV504" s="990">
        <f t="shared" si="320"/>
        <v>0</v>
      </c>
      <c r="AW504" s="990">
        <f t="shared" si="321"/>
        <v>0</v>
      </c>
      <c r="AX504" s="9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ht="15.6">
      <c r="A505" s="83"/>
      <c r="B505" s="1391"/>
      <c r="C505" s="1392"/>
      <c r="D505" s="79"/>
      <c r="E505" s="86">
        <f t="shared" ref="E505:E536" si="323">IF($C$3="是",ROUND($A$3*G505/$B$3,2),ROUND($A$3*(G505-AT505)/$B$3,2))</f>
        <v>0</v>
      </c>
      <c r="F505" s="87"/>
      <c r="G505" s="88">
        <f t="shared" si="294"/>
        <v>0</v>
      </c>
      <c r="H505" s="89">
        <f t="shared" si="295"/>
        <v>0</v>
      </c>
      <c r="I505" s="1394"/>
      <c r="J505" s="90"/>
      <c r="K505" s="1394"/>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4"/>
      <c r="AG505" s="91"/>
      <c r="AH505" s="91"/>
      <c r="AI505" s="91"/>
      <c r="AJ505" s="91"/>
      <c r="AK505" s="91"/>
      <c r="AL505" s="91"/>
      <c r="AM505" s="91"/>
      <c r="AN505" s="91"/>
      <c r="AO505" s="91"/>
      <c r="AP505" s="91"/>
      <c r="AQ505" s="91"/>
      <c r="AR505" s="91"/>
      <c r="AS505" s="91"/>
      <c r="AT505" s="92"/>
      <c r="AU505" s="93"/>
      <c r="AV505" s="990">
        <f t="shared" si="320"/>
        <v>0</v>
      </c>
      <c r="AW505" s="990">
        <f t="shared" si="321"/>
        <v>0</v>
      </c>
      <c r="AX505" s="9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ht="15.6">
      <c r="A506" s="83"/>
      <c r="B506" s="1391"/>
      <c r="C506" s="1392"/>
      <c r="D506" s="79"/>
      <c r="E506" s="86">
        <f t="shared" si="323"/>
        <v>0</v>
      </c>
      <c r="F506" s="87"/>
      <c r="G506" s="88">
        <f t="shared" si="294"/>
        <v>0</v>
      </c>
      <c r="H506" s="89">
        <f t="shared" si="295"/>
        <v>0</v>
      </c>
      <c r="I506" s="1394"/>
      <c r="J506" s="90"/>
      <c r="K506" s="1394"/>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4"/>
      <c r="AG506" s="91"/>
      <c r="AH506" s="91"/>
      <c r="AI506" s="91"/>
      <c r="AJ506" s="91"/>
      <c r="AK506" s="91"/>
      <c r="AL506" s="91"/>
      <c r="AM506" s="91"/>
      <c r="AN506" s="91"/>
      <c r="AO506" s="91"/>
      <c r="AP506" s="91"/>
      <c r="AQ506" s="91"/>
      <c r="AR506" s="91"/>
      <c r="AS506" s="91"/>
      <c r="AT506" s="92"/>
      <c r="AU506" s="93"/>
      <c r="AV506" s="990">
        <f t="shared" ref="AV506:AV537" si="324">A506</f>
        <v>0</v>
      </c>
      <c r="AW506" s="990">
        <f t="shared" ref="AW506:AW537" si="325">B506</f>
        <v>0</v>
      </c>
      <c r="AX506" s="9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ht="15.6">
      <c r="A507" s="83"/>
      <c r="B507" s="1391"/>
      <c r="C507" s="1392"/>
      <c r="D507" s="79"/>
      <c r="E507" s="86">
        <f t="shared" si="323"/>
        <v>0</v>
      </c>
      <c r="F507" s="87"/>
      <c r="G507" s="88">
        <f t="shared" si="294"/>
        <v>0</v>
      </c>
      <c r="H507" s="89">
        <f t="shared" si="295"/>
        <v>0</v>
      </c>
      <c r="I507" s="1394"/>
      <c r="J507" s="90"/>
      <c r="K507" s="1394"/>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2"/>
      <c r="AG507" s="91"/>
      <c r="AH507" s="91"/>
      <c r="AI507" s="91"/>
      <c r="AJ507" s="91"/>
      <c r="AK507" s="91"/>
      <c r="AL507" s="91"/>
      <c r="AM507" s="91"/>
      <c r="AN507" s="91"/>
      <c r="AO507" s="91"/>
      <c r="AP507" s="91"/>
      <c r="AQ507" s="91"/>
      <c r="AR507" s="91"/>
      <c r="AS507" s="91"/>
      <c r="AT507" s="92"/>
      <c r="AU507" s="93"/>
      <c r="AV507" s="990">
        <f t="shared" si="324"/>
        <v>0</v>
      </c>
      <c r="AW507" s="990">
        <f t="shared" si="325"/>
        <v>0</v>
      </c>
      <c r="AX507" s="9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ht="15.6">
      <c r="A508" s="83"/>
      <c r="B508" s="1391"/>
      <c r="C508" s="1392"/>
      <c r="D508" s="79"/>
      <c r="E508" s="86">
        <f t="shared" si="323"/>
        <v>0</v>
      </c>
      <c r="F508" s="87"/>
      <c r="G508" s="88">
        <f t="shared" si="294"/>
        <v>0</v>
      </c>
      <c r="H508" s="89">
        <f t="shared" si="295"/>
        <v>0</v>
      </c>
      <c r="I508" s="1392"/>
      <c r="J508" s="90"/>
      <c r="K508" s="1392"/>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2"/>
      <c r="AG508" s="91"/>
      <c r="AH508" s="91"/>
      <c r="AI508" s="91"/>
      <c r="AJ508" s="91"/>
      <c r="AK508" s="91"/>
      <c r="AL508" s="91"/>
      <c r="AM508" s="91"/>
      <c r="AN508" s="91"/>
      <c r="AO508" s="91"/>
      <c r="AP508" s="91"/>
      <c r="AQ508" s="91"/>
      <c r="AR508" s="91"/>
      <c r="AS508" s="91"/>
      <c r="AT508" s="92"/>
      <c r="AU508" s="93"/>
      <c r="AV508" s="990">
        <f t="shared" si="324"/>
        <v>0</v>
      </c>
      <c r="AW508" s="990">
        <f t="shared" si="325"/>
        <v>0</v>
      </c>
      <c r="AX508" s="9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ht="15.6">
      <c r="A509" s="83"/>
      <c r="B509" s="1391"/>
      <c r="C509" s="1392"/>
      <c r="D509" s="79"/>
      <c r="E509" s="86">
        <f t="shared" si="323"/>
        <v>0</v>
      </c>
      <c r="F509" s="87"/>
      <c r="G509" s="88">
        <f t="shared" si="294"/>
        <v>0</v>
      </c>
      <c r="H509" s="89">
        <f t="shared" si="295"/>
        <v>0</v>
      </c>
      <c r="I509" s="1392"/>
      <c r="J509" s="90"/>
      <c r="K509" s="1392"/>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2"/>
      <c r="AG509" s="91"/>
      <c r="AH509" s="91"/>
      <c r="AI509" s="91"/>
      <c r="AJ509" s="91"/>
      <c r="AK509" s="91"/>
      <c r="AL509" s="91"/>
      <c r="AM509" s="91"/>
      <c r="AN509" s="91"/>
      <c r="AO509" s="91"/>
      <c r="AP509" s="91"/>
      <c r="AQ509" s="91"/>
      <c r="AR509" s="91"/>
      <c r="AS509" s="91"/>
      <c r="AT509" s="92"/>
      <c r="AU509" s="93"/>
      <c r="AV509" s="990">
        <f t="shared" si="324"/>
        <v>0</v>
      </c>
      <c r="AW509" s="990">
        <f t="shared" si="325"/>
        <v>0</v>
      </c>
      <c r="AX509" s="9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ht="15.6">
      <c r="A510" s="83"/>
      <c r="B510" s="1391"/>
      <c r="C510" s="1392"/>
      <c r="D510" s="79"/>
      <c r="E510" s="86">
        <f t="shared" si="323"/>
        <v>0</v>
      </c>
      <c r="F510" s="87"/>
      <c r="G510" s="88">
        <f t="shared" ref="G510:G537" si="327">H510+AC510+AT510</f>
        <v>0</v>
      </c>
      <c r="H510" s="89">
        <f t="shared" ref="H510:H537" si="328">SUMIF(I$12:AB$12,"总值",I510:AB510)</f>
        <v>0</v>
      </c>
      <c r="I510" s="1392"/>
      <c r="J510" s="90"/>
      <c r="K510" s="1392"/>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2"/>
      <c r="AG510" s="91"/>
      <c r="AH510" s="91"/>
      <c r="AI510" s="91"/>
      <c r="AJ510" s="91"/>
      <c r="AK510" s="91"/>
      <c r="AL510" s="91"/>
      <c r="AM510" s="91"/>
      <c r="AN510" s="91"/>
      <c r="AO510" s="91"/>
      <c r="AP510" s="91"/>
      <c r="AQ510" s="91"/>
      <c r="AR510" s="91"/>
      <c r="AS510" s="91"/>
      <c r="AT510" s="92"/>
      <c r="AU510" s="93"/>
      <c r="AV510" s="990">
        <f t="shared" si="324"/>
        <v>0</v>
      </c>
      <c r="AW510" s="990">
        <f t="shared" si="325"/>
        <v>0</v>
      </c>
      <c r="AX510" s="9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ht="15.6">
      <c r="A511" s="83"/>
      <c r="B511" s="1391"/>
      <c r="C511" s="1392"/>
      <c r="D511" s="79"/>
      <c r="E511" s="86">
        <f t="shared" si="323"/>
        <v>0</v>
      </c>
      <c r="F511" s="87"/>
      <c r="G511" s="88">
        <f t="shared" si="327"/>
        <v>0</v>
      </c>
      <c r="H511" s="89">
        <f t="shared" si="328"/>
        <v>0</v>
      </c>
      <c r="I511" s="1392"/>
      <c r="J511" s="90"/>
      <c r="K511" s="1392"/>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2"/>
      <c r="AG511" s="91"/>
      <c r="AH511" s="91"/>
      <c r="AI511" s="91"/>
      <c r="AJ511" s="91"/>
      <c r="AK511" s="91"/>
      <c r="AL511" s="91"/>
      <c r="AM511" s="91"/>
      <c r="AN511" s="91"/>
      <c r="AO511" s="91"/>
      <c r="AP511" s="91"/>
      <c r="AQ511" s="91"/>
      <c r="AR511" s="91"/>
      <c r="AS511" s="91"/>
      <c r="AT511" s="92"/>
      <c r="AU511" s="93"/>
      <c r="AV511" s="990">
        <f t="shared" si="324"/>
        <v>0</v>
      </c>
      <c r="AW511" s="990">
        <f t="shared" si="325"/>
        <v>0</v>
      </c>
      <c r="AX511" s="9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ht="15.6">
      <c r="A512" s="83"/>
      <c r="B512" s="1391"/>
      <c r="C512" s="1392"/>
      <c r="D512" s="79"/>
      <c r="E512" s="86">
        <f t="shared" si="323"/>
        <v>0</v>
      </c>
      <c r="F512" s="87"/>
      <c r="G512" s="88">
        <f t="shared" si="327"/>
        <v>0</v>
      </c>
      <c r="H512" s="89">
        <f t="shared" si="328"/>
        <v>0</v>
      </c>
      <c r="I512" s="1392"/>
      <c r="J512" s="90"/>
      <c r="K512" s="1392"/>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2"/>
      <c r="AG512" s="91"/>
      <c r="AH512" s="91"/>
      <c r="AI512" s="91"/>
      <c r="AJ512" s="91"/>
      <c r="AK512" s="91"/>
      <c r="AL512" s="91"/>
      <c r="AM512" s="91"/>
      <c r="AN512" s="91"/>
      <c r="AO512" s="91"/>
      <c r="AP512" s="91"/>
      <c r="AQ512" s="91"/>
      <c r="AR512" s="91"/>
      <c r="AS512" s="91"/>
      <c r="AT512" s="92"/>
      <c r="AU512" s="93"/>
      <c r="AV512" s="990">
        <f t="shared" si="324"/>
        <v>0</v>
      </c>
      <c r="AW512" s="990">
        <f t="shared" si="325"/>
        <v>0</v>
      </c>
      <c r="AX512" s="9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ht="15.6">
      <c r="A513" s="83"/>
      <c r="B513" s="1391"/>
      <c r="C513" s="1392"/>
      <c r="D513" s="79"/>
      <c r="E513" s="86">
        <f t="shared" si="323"/>
        <v>0</v>
      </c>
      <c r="F513" s="87"/>
      <c r="G513" s="88">
        <f t="shared" si="327"/>
        <v>0</v>
      </c>
      <c r="H513" s="89">
        <f t="shared" si="328"/>
        <v>0</v>
      </c>
      <c r="I513" s="1392"/>
      <c r="J513" s="90"/>
      <c r="K513" s="1392"/>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2"/>
      <c r="AG513" s="91"/>
      <c r="AH513" s="91"/>
      <c r="AI513" s="91"/>
      <c r="AJ513" s="91"/>
      <c r="AK513" s="91"/>
      <c r="AL513" s="91"/>
      <c r="AM513" s="91"/>
      <c r="AN513" s="91"/>
      <c r="AO513" s="91"/>
      <c r="AP513" s="91"/>
      <c r="AQ513" s="91"/>
      <c r="AR513" s="91"/>
      <c r="AS513" s="91"/>
      <c r="AT513" s="92"/>
      <c r="AU513" s="93"/>
      <c r="AV513" s="990">
        <f t="shared" si="324"/>
        <v>0</v>
      </c>
      <c r="AW513" s="990">
        <f t="shared" si="325"/>
        <v>0</v>
      </c>
      <c r="AX513" s="9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ht="15.6">
      <c r="A514" s="83"/>
      <c r="B514" s="1391"/>
      <c r="C514" s="1392"/>
      <c r="D514" s="79"/>
      <c r="E514" s="86">
        <f t="shared" si="323"/>
        <v>0</v>
      </c>
      <c r="F514" s="87"/>
      <c r="G514" s="88">
        <f t="shared" si="327"/>
        <v>0</v>
      </c>
      <c r="H514" s="89">
        <f t="shared" si="328"/>
        <v>0</v>
      </c>
      <c r="I514" s="1392"/>
      <c r="J514" s="90"/>
      <c r="K514" s="1392"/>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2"/>
      <c r="AG514" s="91"/>
      <c r="AH514" s="91"/>
      <c r="AI514" s="91"/>
      <c r="AJ514" s="91"/>
      <c r="AK514" s="91"/>
      <c r="AL514" s="91"/>
      <c r="AM514" s="91"/>
      <c r="AN514" s="91"/>
      <c r="AO514" s="91"/>
      <c r="AP514" s="91"/>
      <c r="AQ514" s="91"/>
      <c r="AR514" s="91"/>
      <c r="AS514" s="91"/>
      <c r="AT514" s="92"/>
      <c r="AU514" s="93"/>
      <c r="AV514" s="990">
        <f t="shared" si="324"/>
        <v>0</v>
      </c>
      <c r="AW514" s="990">
        <f t="shared" si="325"/>
        <v>0</v>
      </c>
      <c r="AX514" s="9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ht="15.6">
      <c r="A515" s="83"/>
      <c r="B515" s="1393"/>
      <c r="C515" s="1394"/>
      <c r="D515" s="79"/>
      <c r="E515" s="86">
        <f t="shared" si="323"/>
        <v>0</v>
      </c>
      <c r="F515" s="87"/>
      <c r="G515" s="88">
        <f t="shared" si="327"/>
        <v>0</v>
      </c>
      <c r="H515" s="89">
        <f t="shared" si="328"/>
        <v>0</v>
      </c>
      <c r="I515" s="1392"/>
      <c r="J515" s="90"/>
      <c r="K515" s="1392"/>
      <c r="L515" s="90"/>
      <c r="M515" s="1392"/>
      <c r="N515" s="90"/>
      <c r="O515" s="90"/>
      <c r="P515" s="90"/>
      <c r="Q515" s="90"/>
      <c r="R515" s="90"/>
      <c r="S515" s="90"/>
      <c r="T515" s="90"/>
      <c r="U515" s="90"/>
      <c r="V515" s="90"/>
      <c r="W515" s="90"/>
      <c r="X515" s="90"/>
      <c r="Y515" s="90"/>
      <c r="Z515" s="90"/>
      <c r="AA515" s="90"/>
      <c r="AB515" s="90"/>
      <c r="AC515" s="86">
        <f t="shared" si="329"/>
        <v>0</v>
      </c>
      <c r="AD515" s="91"/>
      <c r="AE515" s="91"/>
      <c r="AF515" s="1392"/>
      <c r="AG515" s="91"/>
      <c r="AH515" s="91"/>
      <c r="AI515" s="91"/>
      <c r="AJ515" s="91"/>
      <c r="AK515" s="91"/>
      <c r="AL515" s="91"/>
      <c r="AM515" s="91"/>
      <c r="AN515" s="91"/>
      <c r="AO515" s="91"/>
      <c r="AP515" s="91"/>
      <c r="AQ515" s="91"/>
      <c r="AR515" s="91"/>
      <c r="AS515" s="91"/>
      <c r="AT515" s="92"/>
      <c r="AU515" s="93"/>
      <c r="AV515" s="990">
        <f t="shared" si="324"/>
        <v>0</v>
      </c>
      <c r="AW515" s="990">
        <f t="shared" si="325"/>
        <v>0</v>
      </c>
      <c r="AX515" s="9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0">
        <f t="shared" si="324"/>
        <v>0</v>
      </c>
      <c r="AW516" s="990">
        <f t="shared" si="325"/>
        <v>0</v>
      </c>
      <c r="AX516" s="9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0">
        <f t="shared" si="324"/>
        <v>0</v>
      </c>
      <c r="AW517" s="990">
        <f t="shared" si="325"/>
        <v>0</v>
      </c>
      <c r="AX517" s="9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0">
        <f t="shared" si="324"/>
        <v>0</v>
      </c>
      <c r="AW518" s="990">
        <f t="shared" si="325"/>
        <v>0</v>
      </c>
      <c r="AX518" s="9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0">
        <f t="shared" si="324"/>
        <v>0</v>
      </c>
      <c r="AW519" s="990">
        <f t="shared" si="325"/>
        <v>0</v>
      </c>
      <c r="AX519" s="9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0">
        <f t="shared" si="324"/>
        <v>0</v>
      </c>
      <c r="AW520" s="990">
        <f t="shared" si="325"/>
        <v>0</v>
      </c>
      <c r="AX520" s="9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0">
        <f t="shared" si="324"/>
        <v>0</v>
      </c>
      <c r="AW521" s="990">
        <f t="shared" si="325"/>
        <v>0</v>
      </c>
      <c r="AX521" s="9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0">
        <f t="shared" si="324"/>
        <v>0</v>
      </c>
      <c r="AW522" s="990">
        <f t="shared" si="325"/>
        <v>0</v>
      </c>
      <c r="AX522" s="9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0">
        <f t="shared" si="324"/>
        <v>0</v>
      </c>
      <c r="AW523" s="990">
        <f t="shared" si="325"/>
        <v>0</v>
      </c>
      <c r="AX523" s="9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0">
        <f t="shared" si="324"/>
        <v>0</v>
      </c>
      <c r="AW524" s="990">
        <f t="shared" si="325"/>
        <v>0</v>
      </c>
      <c r="AX524" s="9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0">
        <f t="shared" si="324"/>
        <v>0</v>
      </c>
      <c r="AW525" s="990">
        <f t="shared" si="325"/>
        <v>0</v>
      </c>
      <c r="AX525" s="9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0">
        <f t="shared" si="324"/>
        <v>0</v>
      </c>
      <c r="AW526" s="990">
        <f t="shared" si="325"/>
        <v>0</v>
      </c>
      <c r="AX526" s="9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0">
        <f t="shared" si="324"/>
        <v>0</v>
      </c>
      <c r="AW527" s="990">
        <f t="shared" si="325"/>
        <v>0</v>
      </c>
      <c r="AX527" s="9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0">
        <f t="shared" si="324"/>
        <v>0</v>
      </c>
      <c r="AW528" s="990">
        <f t="shared" si="325"/>
        <v>0</v>
      </c>
      <c r="AX528" s="9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0">
        <f t="shared" si="324"/>
        <v>0</v>
      </c>
      <c r="AW529" s="990">
        <f t="shared" si="325"/>
        <v>0</v>
      </c>
      <c r="AX529" s="9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0">
        <f t="shared" si="324"/>
        <v>0</v>
      </c>
      <c r="AW530" s="990">
        <f t="shared" si="325"/>
        <v>0</v>
      </c>
      <c r="AX530" s="9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0">
        <f t="shared" si="324"/>
        <v>0</v>
      </c>
      <c r="AW531" s="990">
        <f t="shared" si="325"/>
        <v>0</v>
      </c>
      <c r="AX531" s="9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0">
        <f t="shared" si="324"/>
        <v>0</v>
      </c>
      <c r="AW532" s="990">
        <f t="shared" si="325"/>
        <v>0</v>
      </c>
      <c r="AX532" s="9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0">
        <f t="shared" si="324"/>
        <v>0</v>
      </c>
      <c r="AW533" s="990">
        <f t="shared" si="325"/>
        <v>0</v>
      </c>
      <c r="AX533" s="9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0">
        <f t="shared" si="324"/>
        <v>0</v>
      </c>
      <c r="AW534" s="990">
        <f t="shared" si="325"/>
        <v>0</v>
      </c>
      <c r="AX534" s="9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0">
        <f t="shared" si="324"/>
        <v>0</v>
      </c>
      <c r="AW535" s="990">
        <f t="shared" si="325"/>
        <v>0</v>
      </c>
      <c r="AX535" s="9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0">
        <f t="shared" si="324"/>
        <v>0</v>
      </c>
      <c r="AW536" s="990">
        <f t="shared" si="325"/>
        <v>0</v>
      </c>
      <c r="AX536" s="9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0">
        <f t="shared" si="324"/>
        <v>0</v>
      </c>
      <c r="AW537" s="990">
        <f t="shared" si="325"/>
        <v>0</v>
      </c>
      <c r="AX537" s="9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0">
        <f t="shared" ref="AV538:AV572" si="356">A538</f>
        <v>0</v>
      </c>
      <c r="AW538" s="990">
        <f t="shared" ref="AW538:AW572" si="357">B538</f>
        <v>0</v>
      </c>
      <c r="AX538" s="9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0">
        <f t="shared" si="356"/>
        <v>0</v>
      </c>
      <c r="AW539" s="990">
        <f t="shared" si="357"/>
        <v>0</v>
      </c>
      <c r="AX539" s="9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0">
        <f t="shared" si="356"/>
        <v>0</v>
      </c>
      <c r="AW540" s="990">
        <f t="shared" si="357"/>
        <v>0</v>
      </c>
      <c r="AX540" s="9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0">
        <f t="shared" si="356"/>
        <v>0</v>
      </c>
      <c r="AW541" s="990">
        <f t="shared" si="357"/>
        <v>0</v>
      </c>
      <c r="AX541" s="9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0">
        <f t="shared" si="356"/>
        <v>0</v>
      </c>
      <c r="AW542" s="990">
        <f t="shared" si="357"/>
        <v>0</v>
      </c>
      <c r="AX542" s="9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0">
        <f t="shared" si="356"/>
        <v>0</v>
      </c>
      <c r="AW543" s="990">
        <f t="shared" si="357"/>
        <v>0</v>
      </c>
      <c r="AX543" s="9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0">
        <f t="shared" si="356"/>
        <v>0</v>
      </c>
      <c r="AW544" s="990">
        <f t="shared" si="357"/>
        <v>0</v>
      </c>
      <c r="AX544" s="9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0">
        <f t="shared" si="356"/>
        <v>0</v>
      </c>
      <c r="AW545" s="990">
        <f t="shared" si="357"/>
        <v>0</v>
      </c>
      <c r="AX545" s="9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0">
        <f t="shared" si="356"/>
        <v>0</v>
      </c>
      <c r="AW546" s="990">
        <f t="shared" si="357"/>
        <v>0</v>
      </c>
      <c r="AX546" s="9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0">
        <f t="shared" si="356"/>
        <v>0</v>
      </c>
      <c r="AW547" s="990">
        <f t="shared" si="357"/>
        <v>0</v>
      </c>
      <c r="AX547" s="9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0">
        <f t="shared" si="356"/>
        <v>0</v>
      </c>
      <c r="AW548" s="990">
        <f t="shared" si="357"/>
        <v>0</v>
      </c>
      <c r="AX548" s="9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0">
        <f t="shared" si="356"/>
        <v>0</v>
      </c>
      <c r="AW549" s="990">
        <f t="shared" si="357"/>
        <v>0</v>
      </c>
      <c r="AX549" s="9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0">
        <f t="shared" si="356"/>
        <v>0</v>
      </c>
      <c r="AW550" s="990">
        <f t="shared" si="357"/>
        <v>0</v>
      </c>
      <c r="AX550" s="9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0">
        <f t="shared" si="356"/>
        <v>0</v>
      </c>
      <c r="AW551" s="990">
        <f t="shared" si="357"/>
        <v>0</v>
      </c>
      <c r="AX551" s="9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0">
        <f t="shared" si="356"/>
        <v>0</v>
      </c>
      <c r="AW552" s="990">
        <f t="shared" si="357"/>
        <v>0</v>
      </c>
      <c r="AX552" s="9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0">
        <f t="shared" si="356"/>
        <v>0</v>
      </c>
      <c r="AW553" s="990">
        <f t="shared" si="357"/>
        <v>0</v>
      </c>
      <c r="AX553" s="9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0">
        <f t="shared" si="356"/>
        <v>0</v>
      </c>
      <c r="AW554" s="990">
        <f t="shared" si="357"/>
        <v>0</v>
      </c>
      <c r="AX554" s="9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0">
        <f t="shared" si="356"/>
        <v>0</v>
      </c>
      <c r="AW555" s="990">
        <f t="shared" si="357"/>
        <v>0</v>
      </c>
      <c r="AX555" s="9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0">
        <f t="shared" si="356"/>
        <v>0</v>
      </c>
      <c r="AW556" s="990">
        <f t="shared" si="357"/>
        <v>0</v>
      </c>
      <c r="AX556" s="9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0">
        <f t="shared" si="356"/>
        <v>0</v>
      </c>
      <c r="AW557" s="990">
        <f t="shared" si="357"/>
        <v>0</v>
      </c>
      <c r="AX557" s="9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0">
        <f t="shared" si="356"/>
        <v>0</v>
      </c>
      <c r="AW558" s="990">
        <f t="shared" si="357"/>
        <v>0</v>
      </c>
      <c r="AX558" s="9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0">
        <f t="shared" si="356"/>
        <v>0</v>
      </c>
      <c r="AW559" s="990">
        <f t="shared" si="357"/>
        <v>0</v>
      </c>
      <c r="AX559" s="9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0">
        <f t="shared" si="356"/>
        <v>0</v>
      </c>
      <c r="AW560" s="990">
        <f t="shared" si="357"/>
        <v>0</v>
      </c>
      <c r="AX560" s="9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0">
        <f t="shared" si="356"/>
        <v>0</v>
      </c>
      <c r="AW561" s="990">
        <f t="shared" si="357"/>
        <v>0</v>
      </c>
      <c r="AX561" s="9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0">
        <f t="shared" si="356"/>
        <v>0</v>
      </c>
      <c r="AW562" s="990">
        <f t="shared" si="357"/>
        <v>0</v>
      </c>
      <c r="AX562" s="9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0">
        <f t="shared" si="356"/>
        <v>0</v>
      </c>
      <c r="AW563" s="990">
        <f t="shared" si="357"/>
        <v>0</v>
      </c>
      <c r="AX563" s="9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0">
        <f t="shared" si="356"/>
        <v>0</v>
      </c>
      <c r="AW564" s="990">
        <f t="shared" si="357"/>
        <v>0</v>
      </c>
      <c r="AX564" s="9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0">
        <f t="shared" si="356"/>
        <v>0</v>
      </c>
      <c r="AW565" s="990">
        <f t="shared" si="357"/>
        <v>0</v>
      </c>
      <c r="AX565" s="9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0">
        <f t="shared" si="356"/>
        <v>0</v>
      </c>
      <c r="AW566" s="990">
        <f t="shared" si="357"/>
        <v>0</v>
      </c>
      <c r="AX566" s="9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0">
        <f t="shared" si="356"/>
        <v>0</v>
      </c>
      <c r="AW567" s="990">
        <f t="shared" si="357"/>
        <v>0</v>
      </c>
      <c r="AX567" s="9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0">
        <f t="shared" si="356"/>
        <v>0</v>
      </c>
      <c r="AW568" s="990">
        <f t="shared" si="357"/>
        <v>0</v>
      </c>
      <c r="AX568" s="9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0">
        <f t="shared" si="356"/>
        <v>0</v>
      </c>
      <c r="AW569" s="990">
        <f t="shared" si="357"/>
        <v>0</v>
      </c>
      <c r="AX569" s="9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0">
        <f t="shared" si="356"/>
        <v>0</v>
      </c>
      <c r="AW570" s="990">
        <f t="shared" si="357"/>
        <v>0</v>
      </c>
      <c r="AX570" s="9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0">
        <f t="shared" si="356"/>
        <v>0</v>
      </c>
      <c r="AW571" s="990">
        <f t="shared" si="357"/>
        <v>0</v>
      </c>
      <c r="AX571" s="9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0">
        <f t="shared" si="356"/>
        <v>0</v>
      </c>
      <c r="AW572" s="990">
        <f t="shared" si="357"/>
        <v>0</v>
      </c>
      <c r="AX572" s="9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63" t="s">
        <v>0</v>
      </c>
      <c r="B1" s="3263" t="s">
        <v>4</v>
      </c>
      <c r="C1" s="3263" t="s">
        <v>5</v>
      </c>
      <c r="D1" s="3264" t="s">
        <v>39</v>
      </c>
      <c r="E1" s="3264" t="s">
        <v>40</v>
      </c>
      <c r="F1" s="3264"/>
      <c r="G1" s="3264"/>
      <c r="H1" s="3264"/>
      <c r="I1" s="3264"/>
      <c r="J1" s="3264"/>
      <c r="K1" s="3264"/>
      <c r="L1" s="3264"/>
      <c r="M1" s="3264"/>
    </row>
    <row r="2" spans="1:13" ht="27" customHeight="1">
      <c r="A2" s="3263"/>
      <c r="B2" s="3263"/>
      <c r="C2" s="3263"/>
      <c r="D2" s="3264"/>
      <c r="E2" s="3264" t="s">
        <v>23</v>
      </c>
      <c r="F2" s="3264" t="s">
        <v>24</v>
      </c>
      <c r="G2" s="3264"/>
      <c r="H2" s="3264"/>
      <c r="I2" s="3264"/>
      <c r="J2" s="3264" t="s">
        <v>25</v>
      </c>
      <c r="K2" s="3264"/>
      <c r="L2" s="3264"/>
      <c r="M2" s="3264"/>
    </row>
    <row r="3" spans="1:13" ht="46.8">
      <c r="A3" s="3263"/>
      <c r="B3" s="3263"/>
      <c r="C3" s="3263"/>
      <c r="D3" s="3264"/>
      <c r="E3" s="3264"/>
      <c r="F3" s="3" t="s">
        <v>26</v>
      </c>
      <c r="G3" s="3" t="s">
        <v>21</v>
      </c>
      <c r="H3" s="3" t="s">
        <v>22</v>
      </c>
      <c r="I3" s="3" t="s">
        <v>35</v>
      </c>
      <c r="J3" s="3" t="s">
        <v>26</v>
      </c>
      <c r="K3" s="3" t="s">
        <v>37</v>
      </c>
      <c r="L3" s="3" t="s">
        <v>36</v>
      </c>
      <c r="M3" s="3" t="s">
        <v>38</v>
      </c>
    </row>
    <row r="4" spans="1:13" ht="46.8">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6.8">
      <c r="A5" s="3" t="s">
        <v>27</v>
      </c>
      <c r="B5" s="3" t="s">
        <v>30</v>
      </c>
      <c r="C5" s="3" t="s">
        <v>31</v>
      </c>
      <c r="D5" s="4">
        <v>3667.86</v>
      </c>
      <c r="E5" s="4">
        <v>19906.61</v>
      </c>
      <c r="F5" s="4">
        <v>18792.87</v>
      </c>
      <c r="G5" s="4">
        <v>18792.87</v>
      </c>
      <c r="H5" s="4">
        <v>0</v>
      </c>
      <c r="I5" s="4">
        <v>0</v>
      </c>
      <c r="J5" s="4">
        <v>1113.74</v>
      </c>
      <c r="K5" s="4">
        <v>55.59</v>
      </c>
      <c r="L5" s="4">
        <v>0</v>
      </c>
      <c r="M5" s="4">
        <v>1058.1500000000001</v>
      </c>
    </row>
    <row r="6" spans="1:13" ht="46.8">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6.8">
      <c r="A7" s="3" t="s">
        <v>27</v>
      </c>
      <c r="B7" s="3" t="s">
        <v>30</v>
      </c>
      <c r="C7" s="3" t="s">
        <v>33</v>
      </c>
      <c r="D7" s="4">
        <v>8.18</v>
      </c>
      <c r="E7" s="4">
        <v>44.41</v>
      </c>
      <c r="F7" s="4">
        <v>0</v>
      </c>
      <c r="G7" s="4">
        <v>0</v>
      </c>
      <c r="H7" s="4">
        <v>0</v>
      </c>
      <c r="I7" s="4">
        <v>0</v>
      </c>
      <c r="J7" s="4">
        <v>44.41</v>
      </c>
      <c r="K7" s="4">
        <v>44.41</v>
      </c>
      <c r="L7" s="4">
        <v>0</v>
      </c>
      <c r="M7" s="4">
        <v>0</v>
      </c>
    </row>
    <row r="8" spans="1:13" ht="46.8">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64" t="s">
        <v>41</v>
      </c>
      <c r="B9" s="3264"/>
      <c r="C9" s="326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34" sqref="I34"/>
    </sheetView>
  </sheetViews>
  <sheetFormatPr defaultColWidth="9.21875" defaultRowHeight="13.8"/>
  <cols>
    <col min="1" max="1" width="8.21875" style="1983" customWidth="1"/>
    <col min="2" max="2" width="10.21875" style="1983" customWidth="1"/>
    <col min="3" max="3" width="18.44140625" style="1983" customWidth="1"/>
    <col min="4" max="4" width="11.109375" style="1983" customWidth="1"/>
    <col min="5" max="5" width="13.33203125" style="1983" customWidth="1"/>
    <col min="6" max="8" width="11.44140625" style="1983" customWidth="1"/>
    <col min="9" max="9" width="10.33203125" style="1983" customWidth="1"/>
    <col min="10" max="10" width="3.109375" style="1983" customWidth="1"/>
    <col min="11" max="16" width="11.6640625" style="1983" customWidth="1"/>
    <col min="17" max="17" width="3.33203125" style="1983" customWidth="1"/>
    <col min="18" max="16384" width="9.21875" style="1983"/>
  </cols>
  <sheetData>
    <row r="1" spans="1:16" ht="17.399999999999999">
      <c r="A1" s="103" t="s">
        <v>167</v>
      </c>
      <c r="B1" s="1982"/>
      <c r="C1" s="1982"/>
      <c r="D1" s="1982"/>
      <c r="E1" s="1982"/>
      <c r="F1" s="1982"/>
      <c r="G1" s="1982"/>
      <c r="H1" s="1982"/>
      <c r="I1" s="1982"/>
      <c r="J1" s="1982"/>
      <c r="K1" s="1982"/>
      <c r="L1" s="1982"/>
    </row>
    <row r="2" spans="1:16" ht="14.4">
      <c r="A2" s="3274" t="s">
        <v>168</v>
      </c>
      <c r="B2" s="3274"/>
      <c r="C2" s="3274"/>
      <c r="D2" s="1973" t="s">
        <v>169</v>
      </c>
      <c r="E2" s="105" t="s">
        <v>170</v>
      </c>
      <c r="F2" s="1982"/>
      <c r="G2" s="1196"/>
      <c r="H2" s="1197"/>
      <c r="I2" s="1198" t="s">
        <v>822</v>
      </c>
      <c r="J2" s="1982"/>
      <c r="K2" s="1982"/>
      <c r="L2" s="1982"/>
    </row>
    <row r="3" spans="1:16" ht="15" thickBot="1">
      <c r="A3" s="3275" t="s">
        <v>171</v>
      </c>
      <c r="B3" s="3275"/>
      <c r="C3" s="3275"/>
      <c r="D3" s="106">
        <f>'数据-基础表'!AY6</f>
        <v>7409.7</v>
      </c>
      <c r="E3" s="106">
        <f>'数据-基础表'!AZ5</f>
        <v>21457.599999999999</v>
      </c>
      <c r="F3" s="1982"/>
      <c r="G3" s="279" t="s">
        <v>823</v>
      </c>
      <c r="H3" s="274" t="s">
        <v>824</v>
      </c>
      <c r="I3" s="1974">
        <f>ROUND('数据-基础表'!B3/'数据-基础表'!A3,2)</f>
        <v>2.9</v>
      </c>
      <c r="J3" s="1982"/>
      <c r="K3" s="1982"/>
      <c r="L3" s="1982"/>
    </row>
    <row r="4" spans="1:16" ht="14.4">
      <c r="A4" s="3276"/>
      <c r="B4" s="3277"/>
      <c r="C4" s="3278"/>
      <c r="D4" s="107" t="s">
        <v>169</v>
      </c>
      <c r="E4" s="108" t="s">
        <v>170</v>
      </c>
      <c r="F4" s="1982"/>
      <c r="G4" s="1199"/>
      <c r="H4" s="274" t="s">
        <v>825</v>
      </c>
      <c r="I4" s="1974">
        <f>ROUND(SUMIF('数据-基础表'!I9:AS9,"地上",'数据-基础表'!I5:AS5)/'数据-基础表'!A3,2)</f>
        <v>1.19</v>
      </c>
      <c r="J4" s="1982"/>
      <c r="K4" s="1982"/>
      <c r="L4" s="1982"/>
    </row>
    <row r="5" spans="1:16" ht="14.4">
      <c r="A5" s="109" t="s">
        <v>172</v>
      </c>
      <c r="B5" s="3279" t="s">
        <v>195</v>
      </c>
      <c r="C5" s="3279"/>
      <c r="D5" s="110">
        <f>ROUND($D$3*E5/$E$3,2)</f>
        <v>0</v>
      </c>
      <c r="E5" s="111">
        <f>SUMIF('数据-基础表'!$11:$11,"住宅",'数据-基础表'!$5:$5)</f>
        <v>0</v>
      </c>
      <c r="F5" s="1982"/>
      <c r="G5" s="279" t="s">
        <v>826</v>
      </c>
      <c r="H5" s="274" t="s">
        <v>824</v>
      </c>
      <c r="I5" s="1974">
        <f>ROUND(E31/D31,2)</f>
        <v>2.9</v>
      </c>
      <c r="J5" s="1982"/>
      <c r="K5" s="1982"/>
      <c r="L5" s="1982"/>
    </row>
    <row r="6" spans="1:16" ht="15" thickBot="1">
      <c r="A6" s="112"/>
      <c r="B6" s="3279" t="s">
        <v>173</v>
      </c>
      <c r="C6" s="3279"/>
      <c r="D6" s="110">
        <f>ROUND($D$3*E6/$E$3,2)</f>
        <v>7409.7</v>
      </c>
      <c r="E6" s="111">
        <f>E3-E5</f>
        <v>21457.599999999999</v>
      </c>
      <c r="F6" s="1982"/>
      <c r="G6" s="1199"/>
      <c r="H6" s="274" t="s">
        <v>825</v>
      </c>
      <c r="I6" s="1974">
        <f>ROUND(F31/D31,2)</f>
        <v>1.19</v>
      </c>
      <c r="J6" s="1982"/>
      <c r="K6" s="1982"/>
      <c r="L6" s="1982"/>
    </row>
    <row r="7" spans="1:16" ht="14.4">
      <c r="A7" s="3271"/>
      <c r="B7" s="3272"/>
      <c r="C7" s="3273"/>
      <c r="D7" s="107" t="s">
        <v>169</v>
      </c>
      <c r="E7" s="113" t="s">
        <v>196</v>
      </c>
      <c r="F7" s="1982"/>
      <c r="G7" s="1154" t="s">
        <v>1610</v>
      </c>
      <c r="H7" s="1155"/>
      <c r="I7" s="1844">
        <f>I4</f>
        <v>1.19</v>
      </c>
      <c r="J7" s="1982"/>
      <c r="K7" s="1982"/>
      <c r="L7" s="1982"/>
    </row>
    <row r="8" spans="1:16" ht="14.4">
      <c r="A8" s="109" t="s">
        <v>174</v>
      </c>
      <c r="B8" s="114" t="s">
        <v>175</v>
      </c>
      <c r="C8" s="110" t="s">
        <v>176</v>
      </c>
      <c r="D8" s="110">
        <f t="shared" ref="D8:D15" si="0">ROUND($D$3*E8/$E$3,2)</f>
        <v>3041.87</v>
      </c>
      <c r="E8" s="115">
        <f>SUMIF('数据-基础表'!BB10:BK10,"地上",'数据-基础表'!BB5:BK5)</f>
        <v>8808.89</v>
      </c>
      <c r="F8" s="1982"/>
      <c r="G8" s="1984"/>
      <c r="H8" s="1984"/>
      <c r="I8" s="1982"/>
      <c r="J8" s="1982"/>
      <c r="K8" s="1982"/>
      <c r="L8" s="1982"/>
    </row>
    <row r="9" spans="1:16" ht="14.4">
      <c r="A9" s="116"/>
      <c r="B9" s="117"/>
      <c r="C9" s="110" t="s">
        <v>177</v>
      </c>
      <c r="D9" s="110">
        <f t="shared" si="0"/>
        <v>0</v>
      </c>
      <c r="E9" s="118">
        <v>0</v>
      </c>
      <c r="F9" s="1982"/>
      <c r="G9" s="1984"/>
      <c r="H9" s="1984"/>
      <c r="I9" s="1982"/>
      <c r="J9" s="1982"/>
      <c r="K9" s="1982"/>
      <c r="L9" s="1982"/>
    </row>
    <row r="10" spans="1:16" ht="14.4">
      <c r="A10" s="116"/>
      <c r="B10" s="117"/>
      <c r="C10" s="110" t="s">
        <v>178</v>
      </c>
      <c r="D10" s="110">
        <f t="shared" si="0"/>
        <v>1211.1400000000001</v>
      </c>
      <c r="E10" s="115">
        <f>SUMPRODUCT(('数据-基础表'!BB10:BK10="地下")*('数据-基础表'!BB11:BK11="商业")*('数据-基础表'!BB5:BK5))</f>
        <v>3507.31</v>
      </c>
      <c r="F10" s="1982"/>
      <c r="G10" s="1984"/>
      <c r="H10" s="1984"/>
      <c r="I10" s="1982"/>
      <c r="J10" s="1982"/>
      <c r="K10" s="1982"/>
      <c r="L10" s="1982"/>
    </row>
    <row r="11" spans="1:16" ht="14.4">
      <c r="A11" s="116"/>
      <c r="B11" s="117"/>
      <c r="C11" s="2329" t="s">
        <v>2289</v>
      </c>
      <c r="D11" s="110">
        <f t="shared" si="0"/>
        <v>0</v>
      </c>
      <c r="E11" s="115">
        <f>SUMPRODUCT(('数据-基础表'!BB10:BK10="地下")*('数据-基础表'!BB11:BK11="办公")*('数据-基础表'!BB5:BK5))+'数据-基础表'!AJ5</f>
        <v>0</v>
      </c>
      <c r="F11" s="1982"/>
      <c r="G11" s="1984"/>
      <c r="H11" s="1984"/>
      <c r="I11" s="1982"/>
      <c r="J11" s="1982"/>
      <c r="K11" s="1982"/>
      <c r="L11" s="1982"/>
    </row>
    <row r="12" spans="1:16" ht="14.4">
      <c r="A12" s="116"/>
      <c r="B12" s="117"/>
      <c r="C12" s="110" t="s">
        <v>179</v>
      </c>
      <c r="D12" s="110">
        <f t="shared" si="0"/>
        <v>0</v>
      </c>
      <c r="E12" s="115">
        <f>SUMPRODUCT(('数据-基础表'!BB10:BK10="地下")*('数据-基础表'!BB11:BK11="仓储")*('数据-基础表'!BB5:BK5))</f>
        <v>0</v>
      </c>
      <c r="F12" s="1982"/>
      <c r="G12" s="1984"/>
      <c r="H12" s="1984"/>
      <c r="I12" s="1982"/>
      <c r="J12" s="1982"/>
      <c r="K12" s="1982"/>
      <c r="L12" s="1982"/>
    </row>
    <row r="13" spans="1:16" ht="14.4">
      <c r="A13" s="116"/>
      <c r="B13" s="117"/>
      <c r="C13" s="2329" t="s">
        <v>2296</v>
      </c>
      <c r="D13" s="110">
        <f t="shared" si="0"/>
        <v>0</v>
      </c>
      <c r="E13" s="115">
        <f>SUMPRODUCT(('数据-基础表'!BB10:BK10="地下")*('数据-基础表'!BB11:BK11="车库")*('数据-基础表'!BB5:BK5))</f>
        <v>0</v>
      </c>
      <c r="F13" s="1982"/>
      <c r="G13" s="1984"/>
      <c r="H13" s="1984"/>
      <c r="I13" s="1982"/>
      <c r="J13" s="1982"/>
      <c r="K13" s="1982"/>
      <c r="L13" s="1982"/>
    </row>
    <row r="14" spans="1:16" ht="14.4">
      <c r="A14" s="116"/>
      <c r="B14" s="117"/>
      <c r="C14" s="110" t="s">
        <v>197</v>
      </c>
      <c r="D14" s="110">
        <f t="shared" si="0"/>
        <v>0</v>
      </c>
      <c r="E14" s="115">
        <f>SUMPRODUCT(('数据-基础表'!BB10:BK10="地下")*('数据-基础表'!BB11:BK11="车库—商业")*('数据-基础表'!BB5:BK5))</f>
        <v>0</v>
      </c>
      <c r="F14" s="1982"/>
      <c r="G14" s="1984"/>
      <c r="H14" s="1984"/>
      <c r="I14" s="1982"/>
      <c r="J14" s="1982"/>
      <c r="K14" s="1982"/>
      <c r="L14" s="1982"/>
    </row>
    <row r="15" spans="1:16" ht="15" thickBot="1">
      <c r="A15" s="116"/>
      <c r="B15" s="117"/>
      <c r="C15" s="110" t="s">
        <v>198</v>
      </c>
      <c r="D15" s="110">
        <f t="shared" si="0"/>
        <v>0</v>
      </c>
      <c r="E15" s="115">
        <f>SUMPRODUCT(('数据-基础表'!BB10:BK10="地下")*('数据-基础表'!BB11:BK11="车库—办公")*('数据-基础表'!BB5:BK5))</f>
        <v>0</v>
      </c>
      <c r="F15" s="1982"/>
      <c r="G15" s="1984"/>
      <c r="H15" s="1984"/>
      <c r="I15" s="1982"/>
      <c r="J15" s="1982"/>
      <c r="K15" s="1982"/>
      <c r="L15" s="1982"/>
    </row>
    <row r="16" spans="1:16" ht="15" thickBot="1">
      <c r="A16" s="112"/>
      <c r="B16" s="117"/>
      <c r="C16" s="114" t="s">
        <v>180</v>
      </c>
      <c r="D16" s="114">
        <f>SUM(D8:D15)</f>
        <v>4253.01</v>
      </c>
      <c r="E16" s="119">
        <f>SUM(E8:E15)</f>
        <v>12316.199999999999</v>
      </c>
      <c r="F16" s="1982"/>
      <c r="G16" s="1984"/>
      <c r="H16" s="966" t="s">
        <v>184</v>
      </c>
      <c r="I16" s="967"/>
      <c r="J16" s="1982"/>
      <c r="K16" s="3265" t="s">
        <v>2528</v>
      </c>
      <c r="L16" s="3266"/>
      <c r="M16" s="3266"/>
      <c r="N16" s="3266"/>
      <c r="O16" s="3266"/>
      <c r="P16" s="3267"/>
    </row>
    <row r="17" spans="1:19" ht="14.4">
      <c r="A17" s="120" t="s">
        <v>181</v>
      </c>
      <c r="B17" s="121" t="s">
        <v>182</v>
      </c>
      <c r="C17" s="2296" t="s">
        <v>2275</v>
      </c>
      <c r="D17" s="107" t="s">
        <v>169</v>
      </c>
      <c r="E17" s="123" t="s">
        <v>170</v>
      </c>
      <c r="F17" s="124"/>
      <c r="G17" s="1364"/>
      <c r="H17" s="968" t="s">
        <v>183</v>
      </c>
      <c r="I17" s="969" t="s">
        <v>2274</v>
      </c>
      <c r="J17" s="1982"/>
      <c r="K17" s="3268" t="s">
        <v>2529</v>
      </c>
      <c r="L17" s="3269"/>
      <c r="M17" s="3270"/>
      <c r="N17" s="3268" t="s">
        <v>2530</v>
      </c>
      <c r="O17" s="3269"/>
      <c r="P17" s="3270"/>
      <c r="R17" s="2297" t="s">
        <v>2273</v>
      </c>
      <c r="S17" s="143"/>
    </row>
    <row r="18" spans="1:19" ht="14.4">
      <c r="A18" s="116"/>
      <c r="B18" s="127"/>
      <c r="C18" s="128"/>
      <c r="D18" s="2640"/>
      <c r="E18" s="129" t="s">
        <v>185</v>
      </c>
      <c r="F18" s="130" t="s">
        <v>186</v>
      </c>
      <c r="G18" s="1365" t="s">
        <v>187</v>
      </c>
      <c r="H18" s="970" t="s">
        <v>188</v>
      </c>
      <c r="I18" s="971" t="s">
        <v>189</v>
      </c>
      <c r="J18" s="1982"/>
      <c r="K18" s="2603" t="s">
        <v>2531</v>
      </c>
      <c r="L18" s="2604" t="s">
        <v>2532</v>
      </c>
      <c r="M18" s="2605" t="s">
        <v>2533</v>
      </c>
      <c r="N18" s="2603" t="s">
        <v>2531</v>
      </c>
      <c r="O18" s="2604" t="s">
        <v>2532</v>
      </c>
      <c r="P18" s="2605" t="s">
        <v>2533</v>
      </c>
      <c r="R18" s="2298" t="s">
        <v>2271</v>
      </c>
      <c r="S18" s="2298" t="s">
        <v>2272</v>
      </c>
    </row>
    <row r="19" spans="1:19" ht="14.4">
      <c r="A19" s="132"/>
      <c r="B19" s="114" t="s">
        <v>190</v>
      </c>
      <c r="C19" s="3023" t="s">
        <v>3082</v>
      </c>
      <c r="D19" s="110">
        <f t="shared" ref="D19:D26" si="1">ROUND($D$3*E19/$E$3,2)</f>
        <v>4253.01</v>
      </c>
      <c r="E19" s="133">
        <f t="shared" ref="E19:E26" si="2">SUM(F19:G19)</f>
        <v>12316.199999999999</v>
      </c>
      <c r="F19" s="134">
        <f>'数据-基础表'!I13</f>
        <v>8808.89</v>
      </c>
      <c r="G19" s="1366">
        <f>'数据-基础表'!K13</f>
        <v>3507.31</v>
      </c>
      <c r="H19" s="972">
        <f>ROUND($D$3*I19/$E$3,2)</f>
        <v>3156.69</v>
      </c>
      <c r="I19" s="115">
        <f>IF($I$17="自定义",P19,M19)</f>
        <v>9141.4</v>
      </c>
      <c r="J19" s="1982"/>
      <c r="K19" s="2606">
        <f t="shared" ref="K19:K26" si="3">ROUND(E$28*E19/E$27,2)</f>
        <v>9141.4</v>
      </c>
      <c r="L19" s="274">
        <f t="shared" ref="L19:L26" si="4">ROUND(IF(COUNTIF(C19,"*住宅*")&gt;0,E$29*E19/E$32,0),2)</f>
        <v>0</v>
      </c>
      <c r="M19" s="2607">
        <f>K19+L19</f>
        <v>9141.4</v>
      </c>
      <c r="N19" s="2608"/>
      <c r="O19" s="2609"/>
      <c r="P19" s="2610">
        <f>N19+O19</f>
        <v>0</v>
      </c>
      <c r="R19" s="274">
        <f t="shared" ref="R19:S26" si="5">D19+H19</f>
        <v>7409.7000000000007</v>
      </c>
      <c r="S19" s="2299">
        <f t="shared" si="5"/>
        <v>21457.599999999999</v>
      </c>
    </row>
    <row r="20" spans="1:19" ht="14.4">
      <c r="A20" s="137"/>
      <c r="B20" s="114" t="s">
        <v>191</v>
      </c>
      <c r="C20" s="3023"/>
      <c r="D20" s="110">
        <f t="shared" si="1"/>
        <v>0</v>
      </c>
      <c r="E20" s="133">
        <f t="shared" si="2"/>
        <v>0</v>
      </c>
      <c r="F20" s="134"/>
      <c r="G20" s="1366"/>
      <c r="H20" s="972">
        <f t="shared" ref="H20:H26" si="6">ROUND($D$3*I20/$E$3,2)</f>
        <v>0</v>
      </c>
      <c r="I20" s="115">
        <f t="shared" ref="I20:I26" si="7">IF($I$17="自定义",P20,M20)</f>
        <v>0</v>
      </c>
      <c r="J20" s="1982"/>
      <c r="K20" s="2606">
        <f t="shared" si="3"/>
        <v>0</v>
      </c>
      <c r="L20" s="274">
        <f t="shared" si="4"/>
        <v>0</v>
      </c>
      <c r="M20" s="2607">
        <f t="shared" ref="M20:M26" si="8">K20+L20</f>
        <v>0</v>
      </c>
      <c r="N20" s="2608"/>
      <c r="O20" s="2609"/>
      <c r="P20" s="2610">
        <f t="shared" ref="P20:P26" si="9">N20+O20</f>
        <v>0</v>
      </c>
      <c r="R20" s="274">
        <f t="shared" si="5"/>
        <v>0</v>
      </c>
      <c r="S20" s="2299">
        <f t="shared" si="5"/>
        <v>0</v>
      </c>
    </row>
    <row r="21" spans="1:19" ht="14.4">
      <c r="A21" s="137"/>
      <c r="B21" s="114" t="s">
        <v>191</v>
      </c>
      <c r="C21" s="3023"/>
      <c r="D21" s="110">
        <f t="shared" si="1"/>
        <v>0</v>
      </c>
      <c r="E21" s="133">
        <f t="shared" si="2"/>
        <v>0</v>
      </c>
      <c r="F21" s="134"/>
      <c r="G21" s="1366"/>
      <c r="H21" s="972">
        <f t="shared" si="6"/>
        <v>0</v>
      </c>
      <c r="I21" s="115">
        <f t="shared" si="7"/>
        <v>0</v>
      </c>
      <c r="J21" s="1982"/>
      <c r="K21" s="2606">
        <f t="shared" si="3"/>
        <v>0</v>
      </c>
      <c r="L21" s="274">
        <f t="shared" si="4"/>
        <v>0</v>
      </c>
      <c r="M21" s="2607">
        <f t="shared" si="8"/>
        <v>0</v>
      </c>
      <c r="N21" s="2608"/>
      <c r="O21" s="2609"/>
      <c r="P21" s="2610">
        <f t="shared" si="9"/>
        <v>0</v>
      </c>
      <c r="R21" s="274">
        <f t="shared" si="5"/>
        <v>0</v>
      </c>
      <c r="S21" s="2299">
        <f t="shared" si="5"/>
        <v>0</v>
      </c>
    </row>
    <row r="22" spans="1:19" ht="14.4">
      <c r="A22" s="137"/>
      <c r="B22" s="114" t="s">
        <v>191</v>
      </c>
      <c r="C22" s="1363"/>
      <c r="D22" s="110">
        <f t="shared" si="1"/>
        <v>0</v>
      </c>
      <c r="E22" s="133">
        <f t="shared" si="2"/>
        <v>0</v>
      </c>
      <c r="F22" s="139"/>
      <c r="G22" s="1367"/>
      <c r="H22" s="972">
        <f t="shared" si="6"/>
        <v>0</v>
      </c>
      <c r="I22" s="115">
        <f t="shared" si="7"/>
        <v>0</v>
      </c>
      <c r="J22" s="1982"/>
      <c r="K22" s="2606">
        <f t="shared" si="3"/>
        <v>0</v>
      </c>
      <c r="L22" s="274">
        <f t="shared" si="4"/>
        <v>0</v>
      </c>
      <c r="M22" s="2607">
        <f t="shared" si="8"/>
        <v>0</v>
      </c>
      <c r="N22" s="2608"/>
      <c r="O22" s="2609"/>
      <c r="P22" s="2610">
        <f t="shared" si="9"/>
        <v>0</v>
      </c>
      <c r="R22" s="274">
        <f t="shared" si="5"/>
        <v>0</v>
      </c>
      <c r="S22" s="2299">
        <f t="shared" si="5"/>
        <v>0</v>
      </c>
    </row>
    <row r="23" spans="1:19" ht="14.4">
      <c r="A23" s="137"/>
      <c r="B23" s="114" t="s">
        <v>191</v>
      </c>
      <c r="C23" s="138"/>
      <c r="D23" s="110">
        <f>ROUND($D$3*E23/$E$3,2)</f>
        <v>0</v>
      </c>
      <c r="E23" s="133">
        <f>SUM(F23:G23)</f>
        <v>0</v>
      </c>
      <c r="F23" s="139"/>
      <c r="G23" s="1367"/>
      <c r="H23" s="972">
        <f>ROUND($D$3*I23/$E$3,2)</f>
        <v>0</v>
      </c>
      <c r="I23" s="115">
        <f t="shared" si="7"/>
        <v>0</v>
      </c>
      <c r="J23" s="1982"/>
      <c r="K23" s="2606">
        <f t="shared" si="3"/>
        <v>0</v>
      </c>
      <c r="L23" s="274">
        <f t="shared" si="4"/>
        <v>0</v>
      </c>
      <c r="M23" s="2607">
        <f t="shared" si="8"/>
        <v>0</v>
      </c>
      <c r="N23" s="2608"/>
      <c r="O23" s="2609"/>
      <c r="P23" s="2610">
        <f t="shared" si="9"/>
        <v>0</v>
      </c>
      <c r="R23" s="274">
        <f t="shared" si="5"/>
        <v>0</v>
      </c>
      <c r="S23" s="2299">
        <f t="shared" si="5"/>
        <v>0</v>
      </c>
    </row>
    <row r="24" spans="1:19" ht="14.4">
      <c r="A24" s="137"/>
      <c r="B24" s="114" t="s">
        <v>191</v>
      </c>
      <c r="C24" s="138"/>
      <c r="D24" s="110">
        <f>ROUND($D$3*E24/$E$3,2)</f>
        <v>0</v>
      </c>
      <c r="E24" s="133">
        <f>SUM(F24:G24)</f>
        <v>0</v>
      </c>
      <c r="F24" s="139"/>
      <c r="G24" s="1367"/>
      <c r="H24" s="972">
        <f>ROUND($D$3*I24/$E$3,2)</f>
        <v>0</v>
      </c>
      <c r="I24" s="115">
        <f t="shared" si="7"/>
        <v>0</v>
      </c>
      <c r="J24" s="1982"/>
      <c r="K24" s="2606">
        <f t="shared" si="3"/>
        <v>0</v>
      </c>
      <c r="L24" s="274">
        <f t="shared" si="4"/>
        <v>0</v>
      </c>
      <c r="M24" s="2607">
        <f t="shared" si="8"/>
        <v>0</v>
      </c>
      <c r="N24" s="2608"/>
      <c r="O24" s="2609"/>
      <c r="P24" s="2610">
        <f t="shared" si="9"/>
        <v>0</v>
      </c>
      <c r="R24" s="274">
        <f t="shared" si="5"/>
        <v>0</v>
      </c>
      <c r="S24" s="2299">
        <f t="shared" si="5"/>
        <v>0</v>
      </c>
    </row>
    <row r="25" spans="1:19" ht="14.4">
      <c r="A25" s="137"/>
      <c r="B25" s="114" t="s">
        <v>191</v>
      </c>
      <c r="C25" s="138"/>
      <c r="D25" s="110">
        <f t="shared" si="1"/>
        <v>0</v>
      </c>
      <c r="E25" s="133">
        <f t="shared" si="2"/>
        <v>0</v>
      </c>
      <c r="F25" s="139"/>
      <c r="G25" s="1367"/>
      <c r="H25" s="109">
        <f t="shared" si="6"/>
        <v>0</v>
      </c>
      <c r="I25" s="115">
        <f t="shared" si="7"/>
        <v>0</v>
      </c>
      <c r="J25" s="1982"/>
      <c r="K25" s="2606">
        <f t="shared" si="3"/>
        <v>0</v>
      </c>
      <c r="L25" s="274">
        <f t="shared" si="4"/>
        <v>0</v>
      </c>
      <c r="M25" s="2607">
        <f t="shared" si="8"/>
        <v>0</v>
      </c>
      <c r="N25" s="2608"/>
      <c r="O25" s="2609"/>
      <c r="P25" s="2610">
        <f t="shared" si="9"/>
        <v>0</v>
      </c>
      <c r="R25" s="274">
        <f t="shared" si="5"/>
        <v>0</v>
      </c>
      <c r="S25" s="2299">
        <f t="shared" si="5"/>
        <v>0</v>
      </c>
    </row>
    <row r="26" spans="1:19" ht="14.4">
      <c r="A26" s="137"/>
      <c r="B26" s="114" t="s">
        <v>191</v>
      </c>
      <c r="C26" s="141"/>
      <c r="D26" s="110">
        <f t="shared" si="1"/>
        <v>0</v>
      </c>
      <c r="E26" s="133">
        <f t="shared" si="2"/>
        <v>0</v>
      </c>
      <c r="F26" s="139"/>
      <c r="G26" s="1367"/>
      <c r="H26" s="109">
        <f t="shared" si="6"/>
        <v>0</v>
      </c>
      <c r="I26" s="115">
        <f t="shared" si="7"/>
        <v>0</v>
      </c>
      <c r="J26" s="1982"/>
      <c r="K26" s="2611">
        <f t="shared" si="3"/>
        <v>0</v>
      </c>
      <c r="L26" s="279">
        <f t="shared" si="4"/>
        <v>0</v>
      </c>
      <c r="M26" s="145">
        <f t="shared" si="8"/>
        <v>0</v>
      </c>
      <c r="N26" s="2612"/>
      <c r="O26" s="2613"/>
      <c r="P26" s="2614">
        <f t="shared" si="9"/>
        <v>0</v>
      </c>
      <c r="R26" s="274">
        <f t="shared" si="5"/>
        <v>0</v>
      </c>
      <c r="S26" s="2299">
        <f t="shared" si="5"/>
        <v>0</v>
      </c>
    </row>
    <row r="27" spans="1:19" ht="15" thickBot="1">
      <c r="A27" s="137"/>
      <c r="B27" s="110"/>
      <c r="C27" s="126" t="s">
        <v>180</v>
      </c>
      <c r="D27" s="133">
        <f>SUM(D19:D26)</f>
        <v>4253.01</v>
      </c>
      <c r="E27" s="142">
        <f>IF(SUM(E19:E26)='数据-基础表'!BA5,SUM(E19:E26),IF(F27="地上面积有误","面积有误","地下面积有误"))</f>
        <v>12316.199999999999</v>
      </c>
      <c r="F27" s="133">
        <f>IF(SUM(F19:F26)=E8,SUM(F19:F26),"地上面积有误")</f>
        <v>8808.89</v>
      </c>
      <c r="G27" s="111">
        <f>SUM(G19:G26)</f>
        <v>3507.31</v>
      </c>
      <c r="H27" s="973">
        <f>SUM(H19:H26)</f>
        <v>3156.69</v>
      </c>
      <c r="I27" s="974">
        <f>SUM(I19:I26)</f>
        <v>9141.4</v>
      </c>
      <c r="J27" s="1982"/>
      <c r="K27" s="2615">
        <f>SUM(K19:K26)</f>
        <v>9141.4</v>
      </c>
      <c r="L27" s="2616">
        <f>SUM(L19:L26)</f>
        <v>0</v>
      </c>
      <c r="M27" s="2617">
        <f>SUM(M19:M26)</f>
        <v>9141.4</v>
      </c>
      <c r="N27" s="2615">
        <f t="shared" ref="N27:O27" si="10">SUM(N19:N26)</f>
        <v>0</v>
      </c>
      <c r="O27" s="2616">
        <f t="shared" si="10"/>
        <v>0</v>
      </c>
      <c r="P27" s="2618">
        <f>SUM(P19:P26)</f>
        <v>0</v>
      </c>
      <c r="R27" s="2303">
        <f>IF(SUM(R19:R26)=$D$3,SUM(R19:R26),SUM(R19:R26)&amp;"误差"&amp;ROUND(SUM(R19:R26)-$D$3,2))</f>
        <v>7409.7000000000007</v>
      </c>
      <c r="S27" s="274">
        <f>IF(SUM(S19:S26)=$E$3,SUM(S19:S26),SUM(S19:S26)&amp;"误差"&amp;ROUND(SUM(S19:S26)-E3,2))</f>
        <v>21457.599999999999</v>
      </c>
    </row>
    <row r="28" spans="1:19" ht="14.4">
      <c r="A28" s="137"/>
      <c r="B28" s="114" t="s">
        <v>192</v>
      </c>
      <c r="C28" s="135" t="s">
        <v>193</v>
      </c>
      <c r="D28" s="110">
        <f>ROUND($D$3*E28/$E$3,2)</f>
        <v>3156.69</v>
      </c>
      <c r="E28" s="133">
        <f>SUM(F28:G28)</f>
        <v>9141.4</v>
      </c>
      <c r="F28" s="143">
        <f>'数据-基础表'!BQ5+'数据-基础表'!BS5</f>
        <v>0</v>
      </c>
      <c r="G28" s="144">
        <f>'数据-基础表'!BR5+'数据-基础表'!BT5</f>
        <v>9141.4</v>
      </c>
      <c r="H28" s="1982"/>
      <c r="I28" s="1982"/>
      <c r="J28" s="1982"/>
      <c r="K28" s="1982"/>
      <c r="L28" s="1982"/>
    </row>
    <row r="29" spans="1:19" ht="14.4">
      <c r="A29" s="137"/>
      <c r="B29" s="114" t="s">
        <v>192</v>
      </c>
      <c r="C29" s="2311" t="s">
        <v>2282</v>
      </c>
      <c r="D29" s="110">
        <f>ROUND($D$3*E29/$E$3,2)</f>
        <v>0</v>
      </c>
      <c r="E29" s="133">
        <f>SUM(F29:G29)</f>
        <v>0</v>
      </c>
      <c r="F29" s="143">
        <f>'数据-基础表'!BM5+'数据-基础表'!BO5</f>
        <v>0</v>
      </c>
      <c r="G29" s="145">
        <f>'数据-基础表'!BN5+'数据-基础表'!BP5</f>
        <v>0</v>
      </c>
      <c r="H29" s="1982"/>
      <c r="I29" s="1982"/>
      <c r="J29" s="1982"/>
      <c r="K29" s="1982"/>
      <c r="L29" s="1982"/>
    </row>
    <row r="30" spans="1:19" ht="14.4">
      <c r="A30" s="137"/>
      <c r="B30" s="110"/>
      <c r="C30" s="146" t="s">
        <v>180</v>
      </c>
      <c r="D30" s="133">
        <f>SUM(D28:D29)</f>
        <v>3156.69</v>
      </c>
      <c r="E30" s="133">
        <f>SUM(E28:E29)</f>
        <v>9141.4</v>
      </c>
      <c r="F30" s="133">
        <f>SUM(F28:F29)</f>
        <v>0</v>
      </c>
      <c r="G30" s="111">
        <f>SUM(G28:G29)</f>
        <v>9141.4</v>
      </c>
      <c r="H30" s="1982"/>
      <c r="I30" s="1982"/>
      <c r="J30" s="1982"/>
      <c r="K30" s="1982"/>
      <c r="L30" s="1982"/>
    </row>
    <row r="31" spans="1:19" ht="32.25" customHeight="1" thickBot="1">
      <c r="A31" s="1368"/>
      <c r="B31" s="1369" t="s">
        <v>194</v>
      </c>
      <c r="C31" s="2328" t="s">
        <v>2284</v>
      </c>
      <c r="D31" s="1370">
        <f>D27+D30</f>
        <v>7409.7000000000007</v>
      </c>
      <c r="E31" s="1370">
        <f>E27+E30</f>
        <v>21457.599999999999</v>
      </c>
      <c r="F31" s="1371">
        <f>F27+F30</f>
        <v>8808.89</v>
      </c>
      <c r="G31" s="1372">
        <f>G27+G30</f>
        <v>12648.71</v>
      </c>
      <c r="H31" s="1982"/>
      <c r="I31" s="1982"/>
      <c r="J31" s="1982"/>
      <c r="K31" s="1982"/>
      <c r="L31" s="1982"/>
    </row>
    <row r="32" spans="1:19" ht="14.4">
      <c r="A32" s="1982"/>
      <c r="B32" s="2361" t="s">
        <v>2283</v>
      </c>
      <c r="C32" s="2645"/>
      <c r="D32" s="1199"/>
      <c r="E32" s="1199">
        <f>SUMIF(C19:C26,"*住宅*",E19:E26)</f>
        <v>0</v>
      </c>
      <c r="F32" s="1199"/>
      <c r="G32" s="1199"/>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V11" sqref="V11"/>
    </sheetView>
  </sheetViews>
  <sheetFormatPr defaultColWidth="13.77734375" defaultRowHeight="13.2"/>
  <cols>
    <col min="1" max="1" width="20.88671875" style="1214" customWidth="1"/>
    <col min="2" max="3" width="12" style="1201" customWidth="1"/>
    <col min="4" max="4" width="9.109375" style="1215" customWidth="1"/>
    <col min="5" max="5" width="15" style="1201" bestFit="1" customWidth="1"/>
    <col min="6" max="10" width="8.88671875" style="1201" customWidth="1"/>
    <col min="11" max="12" width="12.33203125" style="1216" customWidth="1"/>
    <col min="13" max="13" width="8.6640625" style="1201" customWidth="1"/>
    <col min="14" max="14" width="9.77734375" style="1201" customWidth="1"/>
    <col min="15" max="16" width="9.6640625" style="1201" customWidth="1"/>
    <col min="17" max="17" width="10.88671875" style="1201" customWidth="1"/>
    <col min="18" max="19" width="12.44140625" style="1201" customWidth="1"/>
    <col min="20" max="20" width="12.109375" style="1201" customWidth="1"/>
    <col min="21" max="21" width="10.33203125" style="1201" customWidth="1"/>
    <col min="22" max="22" width="6.33203125" style="1201" customWidth="1"/>
    <col min="23" max="24" width="6.77734375" style="1201" customWidth="1"/>
    <col min="25" max="25" width="8.109375" style="1201" customWidth="1"/>
    <col min="26" max="30" width="6.77734375" style="1201" customWidth="1"/>
    <col min="31" max="31" width="6.44140625" style="1201" customWidth="1"/>
    <col min="32" max="34" width="7.21875" style="1201" customWidth="1"/>
    <col min="35" max="39" width="8" style="1201" customWidth="1"/>
    <col min="40" max="41" width="13.77734375" style="1996"/>
    <col min="42" max="42" width="0" style="1996" hidden="1" customWidth="1"/>
    <col min="43" max="83" width="13.77734375" style="1996"/>
    <col min="84" max="16384" width="13.77734375" style="1201"/>
  </cols>
  <sheetData>
    <row r="1" spans="1:83" ht="18" thickBot="1">
      <c r="A1" s="147" t="s">
        <v>199</v>
      </c>
      <c r="B1" s="1200"/>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4" customFormat="1" ht="15" thickBot="1">
      <c r="A2" s="148" t="s">
        <v>200</v>
      </c>
      <c r="B2" s="2336">
        <f>项目基本情况!D3</f>
        <v>43458</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4" customFormat="1" ht="14.4" thickBot="1">
      <c r="A3" s="1205"/>
      <c r="B3" s="1202"/>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4" customFormat="1" ht="15" thickBot="1">
      <c r="A4" s="149" t="s">
        <v>829</v>
      </c>
      <c r="B4" s="151"/>
      <c r="C4" s="152"/>
      <c r="D4" s="1206"/>
      <c r="E4" s="1207" t="s">
        <v>830</v>
      </c>
      <c r="F4" s="152"/>
      <c r="G4" s="152"/>
      <c r="H4" s="152"/>
      <c r="I4" s="152"/>
      <c r="J4" s="153"/>
      <c r="K4" s="1208"/>
      <c r="L4" s="1209"/>
      <c r="M4" s="152"/>
      <c r="N4" s="1207" t="s">
        <v>831</v>
      </c>
      <c r="O4" s="152"/>
      <c r="P4" s="152"/>
      <c r="Q4" s="152"/>
      <c r="R4" s="152"/>
      <c r="S4" s="153"/>
      <c r="T4" s="975" t="str">
        <f>'数据-汇总表'!I17</f>
        <v>按面积比例</v>
      </c>
      <c r="U4" s="151" t="s">
        <v>832</v>
      </c>
      <c r="V4" s="152"/>
      <c r="W4" s="152"/>
      <c r="X4" s="152"/>
      <c r="Y4" s="153"/>
      <c r="Z4" s="122" t="s">
        <v>833</v>
      </c>
      <c r="AA4" s="122"/>
      <c r="AB4" s="122"/>
      <c r="AC4" s="122"/>
      <c r="AD4" s="122"/>
      <c r="AE4" s="120" t="s">
        <v>834</v>
      </c>
      <c r="AF4" s="122"/>
      <c r="AG4" s="154"/>
      <c r="AH4" s="151"/>
      <c r="AI4" s="152"/>
      <c r="AJ4" s="152"/>
      <c r="AK4" s="152"/>
      <c r="AL4" s="152"/>
      <c r="AM4" s="153"/>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0" customFormat="1" ht="57.6">
      <c r="A5" s="2302" t="s">
        <v>2286</v>
      </c>
      <c r="B5" s="155" t="s">
        <v>201</v>
      </c>
      <c r="C5" s="156" t="s">
        <v>202</v>
      </c>
      <c r="D5" s="157" t="s">
        <v>203</v>
      </c>
      <c r="E5" s="158" t="s">
        <v>204</v>
      </c>
      <c r="F5" s="159" t="s">
        <v>205</v>
      </c>
      <c r="G5" s="158" t="s">
        <v>206</v>
      </c>
      <c r="H5" s="158" t="s">
        <v>827</v>
      </c>
      <c r="I5" s="158" t="s">
        <v>828</v>
      </c>
      <c r="J5" s="160" t="s">
        <v>207</v>
      </c>
      <c r="K5" s="161" t="s">
        <v>208</v>
      </c>
      <c r="L5" s="162" t="s">
        <v>209</v>
      </c>
      <c r="M5" s="163" t="s">
        <v>210</v>
      </c>
      <c r="N5" s="1217" t="s">
        <v>2790</v>
      </c>
      <c r="O5" s="162" t="s">
        <v>211</v>
      </c>
      <c r="P5" s="164" t="s">
        <v>212</v>
      </c>
      <c r="Q5" s="165" t="s">
        <v>213</v>
      </c>
      <c r="R5" s="166" t="s">
        <v>214</v>
      </c>
      <c r="S5" s="2619" t="s">
        <v>2534</v>
      </c>
      <c r="T5" s="167" t="s">
        <v>215</v>
      </c>
      <c r="U5" s="168" t="s">
        <v>216</v>
      </c>
      <c r="V5" s="158" t="s">
        <v>217</v>
      </c>
      <c r="W5" s="158" t="s">
        <v>218</v>
      </c>
      <c r="X5" s="1816"/>
      <c r="Y5" s="169" t="s">
        <v>219</v>
      </c>
      <c r="Z5" s="170" t="s">
        <v>220</v>
      </c>
      <c r="AA5" s="158" t="s">
        <v>217</v>
      </c>
      <c r="AB5" s="158" t="s">
        <v>218</v>
      </c>
      <c r="AC5" s="1817"/>
      <c r="AD5" s="171" t="s">
        <v>219</v>
      </c>
      <c r="AE5" s="1" t="s">
        <v>835</v>
      </c>
      <c r="AF5" s="158" t="s">
        <v>221</v>
      </c>
      <c r="AG5" s="169" t="s">
        <v>222</v>
      </c>
      <c r="AH5" s="1817" t="s">
        <v>2285</v>
      </c>
      <c r="AI5" s="170" t="s">
        <v>2254</v>
      </c>
      <c r="AJ5" s="170" t="s">
        <v>223</v>
      </c>
      <c r="AK5" s="158" t="s">
        <v>224</v>
      </c>
      <c r="AL5" s="158" t="s">
        <v>225</v>
      </c>
      <c r="AM5" s="171" t="s">
        <v>226</v>
      </c>
      <c r="AN5" s="2389" t="s">
        <v>2335</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4" customFormat="1" ht="14.4">
      <c r="A6" s="2300" t="str">
        <f>'数据-汇总表'!C19</f>
        <v>商业用房</v>
      </c>
      <c r="B6" s="2335" t="str">
        <f>IF(A6=0,"","经营性")</f>
        <v>经营性</v>
      </c>
      <c r="C6" s="172" t="s">
        <v>2947</v>
      </c>
      <c r="D6" s="2306">
        <f>SUMIF(项目基本情况!D$15:I$15,C6,项目基本情况!D$18:I$18)</f>
        <v>50</v>
      </c>
      <c r="E6" s="2307">
        <f>IF(B6="","",SUMIF(项目基本情况!D$15:I$15,C6,项目基本情况!D$17:I$17))</f>
        <v>60048</v>
      </c>
      <c r="F6" s="173">
        <f>SUMIF(项目基本情况!D$15:I$15,C6,项目基本情况!D$19:I$19)</f>
        <v>45.45</v>
      </c>
      <c r="G6" s="174">
        <f>IF(ISERROR(ROUND(POWER(1+H6,D6-F6)*(POWER(1+H6,F6)-1)/(POWER(1+H6,D6)-1),3)),0,ROUND(POWER(1+H6,D6-F6)*(POWER(1+H6,F6)-1)/(POWER(1+H6,D6)-1),3))</f>
        <v>0.97599999999999998</v>
      </c>
      <c r="H6" s="3024">
        <v>0.05</v>
      </c>
      <c r="I6" s="3024">
        <v>5.5E-2</v>
      </c>
      <c r="J6" s="175">
        <v>8.5000000000000006E-2</v>
      </c>
      <c r="K6" s="178">
        <f>SUMIF('数据-汇总表'!C$19:C$33,'数据-取费表'!A6,'数据-汇总表'!E$19:E$33)</f>
        <v>12316.199999999999</v>
      </c>
      <c r="L6" s="3025">
        <v>5000</v>
      </c>
      <c r="M6" s="176">
        <f t="shared" ref="M6:M14" si="0">ROUND(K6*L6/10000,0)</f>
        <v>6158</v>
      </c>
      <c r="N6" s="3026">
        <v>0</v>
      </c>
      <c r="O6" s="176">
        <f>IF($N$5="成新度","——",ROUND(M6*N6,0))</f>
        <v>0</v>
      </c>
      <c r="P6" s="177">
        <f>IF($N$5="成新度","——",M6-O6)</f>
        <v>6158</v>
      </c>
      <c r="Q6" s="3027">
        <v>0.1</v>
      </c>
      <c r="R6" s="178">
        <f>SUMIF('数据-汇总表'!C$19:C$33,A6,'数据-汇总表'!R$19:R$33)</f>
        <v>7409.7000000000007</v>
      </c>
      <c r="S6" s="131">
        <f>IF('数据-汇总表'!$I$17="按面积比例",SUMIF('数据-汇总表'!C$19:C$33,A6,'数据-汇总表'!K$19:K$33),SUMIF('数据-汇总表'!C$19:C$33,A6,'数据-汇总表'!N$19:N$33))</f>
        <v>9141.4</v>
      </c>
      <c r="T6" s="2232">
        <f>IF($T$4="按面积比例",IF(ISERROR(ROUND($M$14*S6/S$16,0)),"0",ROUND($M$14*S6/S$16,0)),"需自行计算录入")</f>
        <v>2742</v>
      </c>
      <c r="U6" s="184">
        <f>酒店收入计算!E26*10000</f>
        <v>9536000</v>
      </c>
      <c r="V6" s="180">
        <v>3.5000000000000003E-2</v>
      </c>
      <c r="W6" s="180">
        <v>0</v>
      </c>
      <c r="X6" s="2319"/>
      <c r="Y6" s="181">
        <v>1</v>
      </c>
      <c r="Z6" s="182"/>
      <c r="AA6" s="175"/>
      <c r="AB6" s="175"/>
      <c r="AC6" s="2322"/>
      <c r="AD6" s="183"/>
      <c r="AE6" s="970">
        <f ca="1">IF(AN6="",0,SUMIF(INDIRECT("'"&amp;AN6&amp;"'"&amp;"!E:E"),$AE$5,INDIRECT("'"&amp;AN6&amp;"'"&amp;"!F:F")))</f>
        <v>43.95</v>
      </c>
      <c r="AF6" s="140"/>
      <c r="AG6" s="1211">
        <f>IF(AF6="",0,AE6-AF6)</f>
        <v>0</v>
      </c>
      <c r="AH6" s="140">
        <v>1</v>
      </c>
      <c r="AI6" s="186">
        <v>1</v>
      </c>
      <c r="AJ6" s="187"/>
      <c r="AK6" s="188">
        <v>1.4999999999999999E-2</v>
      </c>
      <c r="AL6" s="189">
        <v>1.5E-3</v>
      </c>
      <c r="AM6" s="3038">
        <v>0.02</v>
      </c>
      <c r="AN6" s="2390" t="s">
        <v>2985</v>
      </c>
      <c r="AO6" s="1998"/>
      <c r="AP6" s="1202">
        <f>ROUND(1-1/(1+H6)^F6,3)</f>
        <v>0.89100000000000001</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4" customFormat="1" ht="14.4">
      <c r="A7" s="2300">
        <f>'数据-汇总表'!C20</f>
        <v>0</v>
      </c>
      <c r="B7" s="2335" t="str">
        <f t="shared" ref="B7:B13" si="1">IF(A7=0,"","经营性")</f>
        <v/>
      </c>
      <c r="C7" s="172"/>
      <c r="D7" s="2306">
        <f>SUMIF(项目基本情况!D$15:I$15,C7,项目基本情况!D$18:I$18)</f>
        <v>0</v>
      </c>
      <c r="E7" s="2307" t="str">
        <f>IF(B7="","",SUMIF(项目基本情况!D$15:I$15,C7,项目基本情况!D$17:I$17))</f>
        <v/>
      </c>
      <c r="F7" s="173">
        <f>SUMIF(项目基本情况!D$15:I$15,C7,项目基本情况!D$19:I$19)</f>
        <v>0</v>
      </c>
      <c r="G7" s="174">
        <f t="shared" ref="G7:G11" si="2">IF(ISERROR(ROUND(POWER(1+H7,D7-F7)*(POWER(1+H7,F7)-1)/(POWER(1+H7,D7)-1),3)),0,ROUND(POWER(1+H7,D7-F7)*(POWER(1+H7,F7)-1)/(POWER(1+H7,D7)-1),3))</f>
        <v>0</v>
      </c>
      <c r="H7" s="3024"/>
      <c r="I7" s="3024"/>
      <c r="J7" s="175"/>
      <c r="K7" s="178">
        <f>SUMIF('数据-汇总表'!C$19:C$33,'数据-取费表'!A7,'数据-汇总表'!E$19:E$33)</f>
        <v>0</v>
      </c>
      <c r="L7" s="3025"/>
      <c r="M7" s="176">
        <f t="shared" si="0"/>
        <v>0</v>
      </c>
      <c r="N7" s="3026"/>
      <c r="O7" s="176">
        <f t="shared" ref="O7:O14" si="3">IF($N$5="成新度","——",ROUND(M7*N7,0))</f>
        <v>0</v>
      </c>
      <c r="P7" s="177">
        <f t="shared" ref="P7:P14" si="4">IF($N$5="成新度","——",M7-O7)</f>
        <v>0</v>
      </c>
      <c r="Q7" s="3027"/>
      <c r="R7" s="178">
        <f>SUMIF('数据-汇总表'!C$19:C$33,A7,'数据-汇总表'!R$19:R$33)</f>
        <v>0</v>
      </c>
      <c r="S7" s="131">
        <f>IF('数据-汇总表'!$I$17="按面积比例",SUMIF('数据-汇总表'!C$19:C$33,A7,'数据-汇总表'!K$19:K$33),SUMIF('数据-汇总表'!C$19:C$33,A7,'数据-汇总表'!N$19:N$33))</f>
        <v>0</v>
      </c>
      <c r="T7" s="2232">
        <f t="shared" ref="T7:T13" si="5">IF($T$4="按面积比例",IF(ISERROR(ROUND($M$14*S7/S$16,0)),"0",ROUND($M$14*S7/S$16,0)),"需自行计算录入")</f>
        <v>0</v>
      </c>
      <c r="U7" s="184"/>
      <c r="V7" s="180"/>
      <c r="W7" s="180"/>
      <c r="X7" s="2319"/>
      <c r="Y7" s="181"/>
      <c r="Z7" s="182"/>
      <c r="AA7" s="175"/>
      <c r="AB7" s="175"/>
      <c r="AC7" s="2322"/>
      <c r="AD7" s="183"/>
      <c r="AE7" s="970">
        <f t="shared" ref="AE7:AE13" ca="1" si="6">IF(AN7="",0,SUMIF(INDIRECT("'"&amp;AN7&amp;"'"&amp;"!E:E"),$AE$5,INDIRECT("'"&amp;AN7&amp;"'"&amp;"!F:F")))</f>
        <v>0</v>
      </c>
      <c r="AF7" s="140"/>
      <c r="AG7" s="1211">
        <f t="shared" ref="AG7:AG13" si="7">IF(AF7="",0,AE7-AF7)</f>
        <v>0</v>
      </c>
      <c r="AH7" s="140"/>
      <c r="AI7" s="186"/>
      <c r="AJ7" s="187"/>
      <c r="AK7" s="188"/>
      <c r="AL7" s="189"/>
      <c r="AM7" s="3038"/>
      <c r="AN7" s="2390"/>
      <c r="AO7" s="1998"/>
      <c r="AP7" s="1202">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4" customFormat="1" ht="14.4">
      <c r="A8" s="2300">
        <f>'数据-汇总表'!C21</f>
        <v>0</v>
      </c>
      <c r="B8" s="2335" t="str">
        <f t="shared" si="1"/>
        <v/>
      </c>
      <c r="C8" s="172"/>
      <c r="D8" s="2306">
        <f>SUMIF(项目基本情况!D$15:I$15,C8,项目基本情况!D$18:I$18)</f>
        <v>0</v>
      </c>
      <c r="E8" s="2307" t="str">
        <f>IF(B8="","",SUMIF(项目基本情况!D$15:I$15,C8,项目基本情况!D$17:I$17))</f>
        <v/>
      </c>
      <c r="F8" s="173">
        <f>SUMIF(项目基本情况!D$15:I$15,C8,项目基本情况!D$19:I$19)</f>
        <v>0</v>
      </c>
      <c r="G8" s="174">
        <f t="shared" si="2"/>
        <v>0</v>
      </c>
      <c r="H8" s="3024"/>
      <c r="I8" s="3024"/>
      <c r="J8" s="175"/>
      <c r="K8" s="178">
        <f>SUMIF('数据-汇总表'!C$19:C$33,'数据-取费表'!A8,'数据-汇总表'!E$19:E$33)</f>
        <v>0</v>
      </c>
      <c r="L8" s="3025"/>
      <c r="M8" s="176">
        <f>ROUND(K8*L8/10000,0)</f>
        <v>0</v>
      </c>
      <c r="N8" s="3026"/>
      <c r="O8" s="176">
        <f t="shared" si="3"/>
        <v>0</v>
      </c>
      <c r="P8" s="177">
        <f t="shared" si="4"/>
        <v>0</v>
      </c>
      <c r="Q8" s="3027"/>
      <c r="R8" s="178">
        <f>SUMIF('数据-汇总表'!C$19:C$33,A8,'数据-汇总表'!R$19:R$33)</f>
        <v>0</v>
      </c>
      <c r="S8" s="131">
        <f>IF('数据-汇总表'!$I$17="按面积比例",SUMIF('数据-汇总表'!C$19:C$33,A8,'数据-汇总表'!K$19:K$33),SUMIF('数据-汇总表'!C$19:C$33,A8,'数据-汇总表'!N$19:N$33))</f>
        <v>0</v>
      </c>
      <c r="T8" s="2232">
        <f t="shared" si="5"/>
        <v>0</v>
      </c>
      <c r="U8" s="179"/>
      <c r="V8" s="180"/>
      <c r="W8" s="180"/>
      <c r="X8" s="2319"/>
      <c r="Y8" s="181"/>
      <c r="Z8" s="182"/>
      <c r="AA8" s="175"/>
      <c r="AB8" s="175"/>
      <c r="AC8" s="2322"/>
      <c r="AD8" s="183"/>
      <c r="AE8" s="970">
        <f t="shared" ca="1" si="6"/>
        <v>0</v>
      </c>
      <c r="AF8" s="140"/>
      <c r="AG8" s="1211">
        <f t="shared" si="7"/>
        <v>0</v>
      </c>
      <c r="AH8" s="140"/>
      <c r="AI8" s="186"/>
      <c r="AJ8" s="187"/>
      <c r="AK8" s="188"/>
      <c r="AL8" s="189"/>
      <c r="AM8" s="3038"/>
      <c r="AN8" s="2390"/>
      <c r="AO8" s="1998"/>
      <c r="AP8" s="1202">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4" customFormat="1" ht="14.4">
      <c r="A9" s="2300">
        <f>'数据-汇总表'!C22</f>
        <v>0</v>
      </c>
      <c r="B9" s="2335" t="str">
        <f t="shared" si="1"/>
        <v/>
      </c>
      <c r="C9" s="172"/>
      <c r="D9" s="2306">
        <f>SUMIF(项目基本情况!D$15:I$15,C9,项目基本情况!D$18:I$18)</f>
        <v>0</v>
      </c>
      <c r="E9" s="2307"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32">
        <f t="shared" si="5"/>
        <v>0</v>
      </c>
      <c r="U9" s="179"/>
      <c r="V9" s="180"/>
      <c r="W9" s="180"/>
      <c r="X9" s="2319"/>
      <c r="Y9" s="181"/>
      <c r="Z9" s="182"/>
      <c r="AA9" s="175"/>
      <c r="AB9" s="175"/>
      <c r="AC9" s="2322"/>
      <c r="AD9" s="183"/>
      <c r="AE9" s="970">
        <f t="shared" ca="1" si="6"/>
        <v>0</v>
      </c>
      <c r="AF9" s="140"/>
      <c r="AG9" s="1211">
        <f t="shared" si="7"/>
        <v>0</v>
      </c>
      <c r="AH9" s="140"/>
      <c r="AI9" s="186"/>
      <c r="AJ9" s="187"/>
      <c r="AK9" s="188"/>
      <c r="AL9" s="189"/>
      <c r="AM9" s="2388"/>
      <c r="AN9" s="2390"/>
      <c r="AO9" s="1998"/>
      <c r="AP9" s="1202">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4" customFormat="1" ht="14.4">
      <c r="A10" s="2300">
        <f>'数据-汇总表'!C23</f>
        <v>0</v>
      </c>
      <c r="B10" s="2335" t="str">
        <f t="shared" si="1"/>
        <v/>
      </c>
      <c r="C10" s="172"/>
      <c r="D10" s="2306">
        <f>SUMIF(项目基本情况!D$15:I$15,C10,项目基本情况!D$18:I$18)</f>
        <v>0</v>
      </c>
      <c r="E10" s="2307"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2">
        <f t="shared" si="5"/>
        <v>0</v>
      </c>
      <c r="U10" s="179"/>
      <c r="V10" s="180"/>
      <c r="W10" s="180"/>
      <c r="X10" s="2319"/>
      <c r="Y10" s="181"/>
      <c r="Z10" s="182"/>
      <c r="AA10" s="175"/>
      <c r="AB10" s="175"/>
      <c r="AC10" s="2322"/>
      <c r="AD10" s="183"/>
      <c r="AE10" s="970">
        <f t="shared" ca="1" si="6"/>
        <v>0</v>
      </c>
      <c r="AF10" s="140"/>
      <c r="AG10" s="1211">
        <f t="shared" si="7"/>
        <v>0</v>
      </c>
      <c r="AH10" s="140"/>
      <c r="AI10" s="186"/>
      <c r="AJ10" s="187"/>
      <c r="AK10" s="188"/>
      <c r="AL10" s="189"/>
      <c r="AM10" s="2388"/>
      <c r="AN10" s="2390"/>
      <c r="AO10" s="1998"/>
      <c r="AP10" s="1202">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4" customFormat="1" ht="14.4">
      <c r="A11" s="2300">
        <f>'数据-汇总表'!C24</f>
        <v>0</v>
      </c>
      <c r="B11" s="2335" t="str">
        <f t="shared" si="1"/>
        <v/>
      </c>
      <c r="C11" s="172"/>
      <c r="D11" s="2306">
        <f>SUMIF(项目基本情况!D$15:I$15,C11,项目基本情况!D$18:I$18)</f>
        <v>0</v>
      </c>
      <c r="E11" s="2307"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2">
        <f t="shared" si="5"/>
        <v>0</v>
      </c>
      <c r="U11" s="184"/>
      <c r="V11" s="175"/>
      <c r="W11" s="175"/>
      <c r="X11" s="2322"/>
      <c r="Y11" s="181"/>
      <c r="Z11" s="194"/>
      <c r="AA11" s="175"/>
      <c r="AB11" s="175"/>
      <c r="AC11" s="2322"/>
      <c r="AD11" s="183"/>
      <c r="AE11" s="970">
        <f t="shared" ca="1" si="6"/>
        <v>0</v>
      </c>
      <c r="AF11" s="140"/>
      <c r="AG11" s="1211">
        <f t="shared" si="7"/>
        <v>0</v>
      </c>
      <c r="AH11" s="140"/>
      <c r="AI11" s="186"/>
      <c r="AJ11" s="187"/>
      <c r="AK11" s="195"/>
      <c r="AL11" s="196"/>
      <c r="AM11" s="1815"/>
      <c r="AN11" s="2390"/>
      <c r="AO11" s="1998"/>
      <c r="AP11" s="1202">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4" customFormat="1" ht="14.4">
      <c r="A12" s="2300">
        <f>'数据-汇总表'!C25</f>
        <v>0</v>
      </c>
      <c r="B12" s="2335" t="str">
        <f t="shared" si="1"/>
        <v/>
      </c>
      <c r="C12" s="172"/>
      <c r="D12" s="2306">
        <f>SUMIF(项目基本情况!D$15:I$15,C12,项目基本情况!D$18:I$18)</f>
        <v>0</v>
      </c>
      <c r="E12" s="2307"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2">
        <f t="shared" si="5"/>
        <v>0</v>
      </c>
      <c r="U12" s="184"/>
      <c r="V12" s="175"/>
      <c r="W12" s="175"/>
      <c r="X12" s="2322"/>
      <c r="Y12" s="181"/>
      <c r="Z12" s="194"/>
      <c r="AA12" s="175"/>
      <c r="AB12" s="175"/>
      <c r="AC12" s="2322"/>
      <c r="AD12" s="183"/>
      <c r="AE12" s="970">
        <f t="shared" ca="1" si="6"/>
        <v>0</v>
      </c>
      <c r="AF12" s="140"/>
      <c r="AG12" s="1211">
        <f t="shared" si="7"/>
        <v>0</v>
      </c>
      <c r="AH12" s="140"/>
      <c r="AI12" s="186"/>
      <c r="AJ12" s="187"/>
      <c r="AK12" s="195"/>
      <c r="AL12" s="196"/>
      <c r="AM12" s="1815"/>
      <c r="AN12" s="2390"/>
      <c r="AO12" s="1998"/>
      <c r="AP12" s="1202">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4" customFormat="1" ht="14.4">
      <c r="A13" s="2300">
        <f>'数据-汇总表'!C26</f>
        <v>0</v>
      </c>
      <c r="B13" s="2335" t="str">
        <f t="shared" si="1"/>
        <v/>
      </c>
      <c r="C13" s="172"/>
      <c r="D13" s="2306">
        <f>SUMIF(项目基本情况!D$15:I$15,C13,项目基本情况!D$18:I$18)</f>
        <v>0</v>
      </c>
      <c r="E13" s="2307"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2">
        <f t="shared" si="5"/>
        <v>0</v>
      </c>
      <c r="U13" s="179"/>
      <c r="V13" s="180"/>
      <c r="W13" s="180"/>
      <c r="X13" s="2319"/>
      <c r="Y13" s="181"/>
      <c r="Z13" s="182"/>
      <c r="AA13" s="175"/>
      <c r="AB13" s="175"/>
      <c r="AC13" s="2322"/>
      <c r="AD13" s="183"/>
      <c r="AE13" s="970">
        <f t="shared" ca="1" si="6"/>
        <v>0</v>
      </c>
      <c r="AF13" s="140"/>
      <c r="AG13" s="1211">
        <f t="shared" si="7"/>
        <v>0</v>
      </c>
      <c r="AH13" s="140"/>
      <c r="AI13" s="186"/>
      <c r="AJ13" s="187"/>
      <c r="AK13" s="188"/>
      <c r="AL13" s="189"/>
      <c r="AM13" s="2388"/>
      <c r="AN13" s="2390"/>
      <c r="AO13" s="1998"/>
      <c r="AP13" s="1202">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4" customFormat="1" ht="13.8">
      <c r="A14" s="2301" t="s">
        <v>2276</v>
      </c>
      <c r="B14" s="2304" t="s">
        <v>1644</v>
      </c>
      <c r="C14" s="2305" t="s">
        <v>2276</v>
      </c>
      <c r="D14" s="2306"/>
      <c r="E14" s="2307"/>
      <c r="F14" s="173"/>
      <c r="G14" s="174"/>
      <c r="H14" s="2308"/>
      <c r="I14" s="2308"/>
      <c r="J14" s="2308"/>
      <c r="K14" s="178">
        <f>SUMIF('数据-汇总表'!C$19:C$33,'数据-取费表'!A14,'数据-汇总表'!E$19:E$33)</f>
        <v>9141.4</v>
      </c>
      <c r="L14" s="192">
        <v>3000</v>
      </c>
      <c r="M14" s="176">
        <f t="shared" si="0"/>
        <v>2742</v>
      </c>
      <c r="N14" s="193">
        <v>0</v>
      </c>
      <c r="O14" s="176">
        <f t="shared" si="3"/>
        <v>0</v>
      </c>
      <c r="P14" s="177">
        <f t="shared" si="4"/>
        <v>2742</v>
      </c>
      <c r="Q14" s="2316"/>
      <c r="R14" s="178"/>
      <c r="S14" s="131"/>
      <c r="T14" s="2315"/>
      <c r="U14" s="972"/>
      <c r="V14" s="2318"/>
      <c r="W14" s="2318"/>
      <c r="X14" s="2319"/>
      <c r="Y14" s="2320"/>
      <c r="Z14" s="135"/>
      <c r="AA14" s="2321"/>
      <c r="AB14" s="2321"/>
      <c r="AC14" s="2322"/>
      <c r="AD14" s="2319"/>
      <c r="AE14" s="970"/>
      <c r="AF14" s="2294"/>
      <c r="AG14" s="1211"/>
      <c r="AH14" s="2294"/>
      <c r="AI14" s="1569"/>
      <c r="AJ14" s="1569"/>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4" customFormat="1" ht="28.8">
      <c r="A15" s="2310" t="s">
        <v>2278</v>
      </c>
      <c r="B15" s="2304" t="s">
        <v>1644</v>
      </c>
      <c r="C15" s="2305" t="s">
        <v>2277</v>
      </c>
      <c r="D15" s="2306"/>
      <c r="E15" s="2307"/>
      <c r="F15" s="173"/>
      <c r="G15" s="174"/>
      <c r="H15" s="2308"/>
      <c r="I15" s="2308"/>
      <c r="J15" s="2308"/>
      <c r="K15" s="178">
        <f>SUMIF('数据-汇总表'!C$19:C$33,'数据-取费表'!A15,'数据-汇总表'!E$19:E$33)</f>
        <v>0</v>
      </c>
      <c r="L15" s="2314"/>
      <c r="M15" s="176"/>
      <c r="N15" s="2317"/>
      <c r="O15" s="176"/>
      <c r="P15" s="177"/>
      <c r="Q15" s="2316"/>
      <c r="R15" s="178"/>
      <c r="S15" s="131"/>
      <c r="T15" s="2315"/>
      <c r="U15" s="972"/>
      <c r="V15" s="2318"/>
      <c r="W15" s="2318"/>
      <c r="X15" s="2319"/>
      <c r="Y15" s="2320"/>
      <c r="Z15" s="135"/>
      <c r="AA15" s="2321"/>
      <c r="AB15" s="2321"/>
      <c r="AC15" s="2322"/>
      <c r="AD15" s="2319"/>
      <c r="AE15" s="970"/>
      <c r="AF15" s="2294"/>
      <c r="AG15" s="1211"/>
      <c r="AH15" s="2294"/>
      <c r="AI15" s="1569"/>
      <c r="AJ15" s="1569"/>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4" customFormat="1" ht="15" thickBot="1">
      <c r="A16" s="197" t="s">
        <v>227</v>
      </c>
      <c r="B16" s="198"/>
      <c r="C16" s="199"/>
      <c r="D16" s="200"/>
      <c r="E16" s="198"/>
      <c r="F16" s="198"/>
      <c r="G16" s="201">
        <f>ROUND(SUMPRODUCT(G6:G13,K6:K13)/SUMPRODUCT((G6:G13&gt;0)*(K6:K13)),3)</f>
        <v>0.97599999999999998</v>
      </c>
      <c r="H16" s="202">
        <f>ROUND(SUMPRODUCT(H6:H13,K6:K13)/SUMPRODUCT((H6:H13&gt;0)*(K6:K13)),3)</f>
        <v>0.05</v>
      </c>
      <c r="I16" s="203"/>
      <c r="J16" s="203"/>
      <c r="K16" s="204">
        <f>SUM(K6:K15)</f>
        <v>21457.599999999999</v>
      </c>
      <c r="L16" s="205">
        <f>ROUND(M16*10000/SUM(K6:K14),0)</f>
        <v>4148</v>
      </c>
      <c r="M16" s="205">
        <f>SUM(M6:M14)</f>
        <v>8900</v>
      </c>
      <c r="N16" s="206">
        <f>ROUND(SUMPRODUCT(M6:M14,N6:N14)/M16,3)</f>
        <v>0</v>
      </c>
      <c r="O16" s="205">
        <f>SUM(O6:O14)</f>
        <v>0</v>
      </c>
      <c r="P16" s="205">
        <f>SUM(P6:P14)</f>
        <v>8900</v>
      </c>
      <c r="Q16" s="207">
        <f>ROUND(SUMPRODUCT(Q6:Q13,K6:K13)/SUMPRODUCT((Q6:Q13&gt;0)*(K6:K13)),2)</f>
        <v>0.1</v>
      </c>
      <c r="R16" s="2309">
        <f>SUM(R6:R13)</f>
        <v>7409.7000000000007</v>
      </c>
      <c r="S16" s="208">
        <f>SUM(S6:S13)</f>
        <v>9141.4</v>
      </c>
      <c r="T16" s="209">
        <f>IF(SUMIF(T6:T13,"&lt;9E307")=M14,SUMIF(T6:T13,"&lt;9E307"),"有误，请检查")</f>
        <v>2742</v>
      </c>
      <c r="U16" s="210"/>
      <c r="V16" s="211"/>
      <c r="W16" s="211"/>
      <c r="X16" s="214"/>
      <c r="Y16" s="212"/>
      <c r="Z16" s="213"/>
      <c r="AA16" s="211"/>
      <c r="AB16" s="211"/>
      <c r="AC16" s="214"/>
      <c r="AD16" s="214"/>
      <c r="AE16" s="210"/>
      <c r="AF16" s="211"/>
      <c r="AG16" s="212"/>
      <c r="AH16" s="211"/>
      <c r="AI16" s="213"/>
      <c r="AJ16" s="213"/>
      <c r="AK16" s="211"/>
      <c r="AL16" s="211"/>
      <c r="AM16" s="212"/>
      <c r="AN16" s="1998"/>
      <c r="AO16" s="1998"/>
      <c r="AP16" s="1202">
        <f>ROUND(SUMPRODUCT(AP6:AP13,K6:K13)/SUMPRODUCT((AP6:AP13&gt;0)*(K6:K13)),3)</f>
        <v>0.89100000000000001</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8" thickBot="1">
      <c r="A17" s="1212"/>
      <c r="B17" s="1200"/>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49" t="s">
        <v>228</v>
      </c>
      <c r="B18" s="1202"/>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4">
      <c r="A19" s="216" t="s">
        <v>229</v>
      </c>
      <c r="B19" s="217">
        <v>0</v>
      </c>
      <c r="C19" s="2362" t="s">
        <v>2298</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4">
      <c r="A20" s="218" t="s">
        <v>230</v>
      </c>
      <c r="B20" s="219">
        <v>1.5</v>
      </c>
      <c r="C20" s="2362" t="s">
        <v>2297</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4">
      <c r="A21" s="220" t="s">
        <v>231</v>
      </c>
      <c r="B21" s="219">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4">
      <c r="A22" s="218" t="s">
        <v>232</v>
      </c>
      <c r="B22" s="221">
        <f>B19+B20</f>
        <v>1.5</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4">
      <c r="A23" s="220" t="s">
        <v>233</v>
      </c>
      <c r="B23" s="221">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2" t="s">
        <v>234</v>
      </c>
      <c r="B24" s="223">
        <f>B20-B21</f>
        <v>1.5</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4.4" thickBot="1">
      <c r="A25" s="1205"/>
      <c r="B25" s="1202"/>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8" t="s">
        <v>235</v>
      </c>
      <c r="B26" s="224" t="s">
        <v>236</v>
      </c>
      <c r="C26" s="1993" t="s">
        <v>237</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3" customFormat="1" ht="28.8">
      <c r="A27" s="225" t="s">
        <v>2300</v>
      </c>
      <c r="B27" s="226">
        <v>220</v>
      </c>
      <c r="C27" s="2365" t="s">
        <v>2304</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3" customFormat="1" ht="28.8">
      <c r="A28" s="227" t="s">
        <v>2301</v>
      </c>
      <c r="B28" s="228">
        <v>220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3" customFormat="1" ht="29.4" thickBot="1">
      <c r="A29" s="230" t="s">
        <v>2299</v>
      </c>
      <c r="B29" s="231">
        <v>0</v>
      </c>
      <c r="C29" s="1550" t="s">
        <v>2302</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3" customFormat="1" ht="28.8">
      <c r="A30" s="234" t="s">
        <v>238</v>
      </c>
      <c r="B30" s="976">
        <v>150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3" customFormat="1" ht="28.8">
      <c r="A31" s="227" t="s">
        <v>239</v>
      </c>
      <c r="B31" s="229">
        <f>B30-B32</f>
        <v>120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3" customFormat="1" ht="29.4" thickBot="1">
      <c r="A32" s="236" t="s">
        <v>240</v>
      </c>
      <c r="B32" s="3185">
        <v>30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3" customFormat="1" ht="14.4">
      <c r="A33" s="225" t="s">
        <v>243</v>
      </c>
      <c r="B33" s="1376">
        <v>0.03</v>
      </c>
      <c r="C33" s="2363" t="s">
        <v>2852</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4">
      <c r="A34" s="227" t="s">
        <v>244</v>
      </c>
      <c r="B34" s="232">
        <v>0</v>
      </c>
      <c r="C34" s="2363" t="s">
        <v>2853</v>
      </c>
      <c r="D34" s="1991" t="s">
        <v>836</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4">
      <c r="A35" s="227" t="s">
        <v>241</v>
      </c>
      <c r="B35" s="228">
        <v>150</v>
      </c>
      <c r="C35" s="2363" t="s">
        <v>2854</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0" t="s">
        <v>242</v>
      </c>
      <c r="B36" s="233">
        <v>1.4999999999999999E-2</v>
      </c>
      <c r="C36" s="2363" t="s">
        <v>2855</v>
      </c>
      <c r="D36" s="1988"/>
      <c r="E36" s="1200"/>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4">
      <c r="A37" s="234" t="s">
        <v>245</v>
      </c>
      <c r="B37" s="235">
        <v>0.02</v>
      </c>
      <c r="C37" s="2363" t="s">
        <v>2856</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4">
      <c r="A38" s="227" t="s">
        <v>246</v>
      </c>
      <c r="B38" s="232">
        <v>0.02</v>
      </c>
      <c r="C38" s="2363" t="s">
        <v>2856</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4">
      <c r="A39" s="2487" t="s">
        <v>2418</v>
      </c>
      <c r="B39" s="799">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2419</v>
      </c>
      <c r="B40" s="2479">
        <f ca="1">存贷款利率!E2</f>
        <v>4.7500000000000001E-2</v>
      </c>
      <c r="C40" s="2363" t="s">
        <v>2303</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4">
      <c r="A41" s="225" t="s">
        <v>247</v>
      </c>
      <c r="B41" s="237">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4">
      <c r="A42" s="977" t="s">
        <v>248</v>
      </c>
      <c r="B42" s="239">
        <v>0.05</v>
      </c>
      <c r="C42" s="3099">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4">
      <c r="A43" s="977" t="s">
        <v>249</v>
      </c>
      <c r="B43" s="240">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4">
      <c r="A44" s="238" t="s">
        <v>250</v>
      </c>
      <c r="B44" s="241">
        <v>7.0000000000000007E-2</v>
      </c>
      <c r="C44" s="2363" t="s">
        <v>2857</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4">
      <c r="A45" s="238" t="s">
        <v>251</v>
      </c>
      <c r="B45" s="239">
        <v>0.03</v>
      </c>
      <c r="C45" s="2365" t="s">
        <v>2858</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4">
      <c r="A46" s="238" t="s">
        <v>252</v>
      </c>
      <c r="B46" s="239">
        <v>0.02</v>
      </c>
      <c r="C46" s="2365" t="s">
        <v>2859</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2" t="s">
        <v>253</v>
      </c>
      <c r="B47" s="243">
        <v>0</v>
      </c>
      <c r="C47" s="3073" t="s">
        <v>2860</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4">
      <c r="A48" s="244" t="s">
        <v>254</v>
      </c>
      <c r="B48" s="245">
        <v>0.03</v>
      </c>
      <c r="C48" s="3074" t="s">
        <v>2861</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6" t="s">
        <v>255</v>
      </c>
      <c r="B49" s="239">
        <v>5.0000000000000001E-4</v>
      </c>
      <c r="C49" s="3074" t="s">
        <v>2862</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4">
      <c r="A50" s="246" t="s">
        <v>256</v>
      </c>
      <c r="B50" s="247">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0" t="s">
        <v>257</v>
      </c>
      <c r="B51" s="248">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4">
      <c r="A52" s="246" t="s">
        <v>258</v>
      </c>
      <c r="B52" s="249">
        <f>SUMIF(A54:A63,B53,B54:B63)</f>
        <v>12</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8.8">
      <c r="A53" s="227" t="s">
        <v>259</v>
      </c>
      <c r="B53" s="250" t="s">
        <v>1062</v>
      </c>
      <c r="C53" s="3075" t="s">
        <v>2863</v>
      </c>
      <c r="D53" s="3076" t="s">
        <v>2864</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4">
      <c r="A54" s="3078" t="s">
        <v>2865</v>
      </c>
      <c r="B54" s="185">
        <v>12</v>
      </c>
      <c r="C54" s="1992">
        <v>30</v>
      </c>
      <c r="D54" s="3077"/>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4">
      <c r="A55" s="3078" t="s">
        <v>2866</v>
      </c>
      <c r="B55" s="185"/>
      <c r="C55" s="1992">
        <v>24</v>
      </c>
      <c r="D55" s="3077"/>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4">
      <c r="A56" s="3078" t="s">
        <v>2867</v>
      </c>
      <c r="B56" s="185"/>
      <c r="C56" s="1992">
        <v>18</v>
      </c>
      <c r="D56" s="3077"/>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4">
      <c r="A57" s="3078" t="s">
        <v>2868</v>
      </c>
      <c r="B57" s="185"/>
      <c r="C57" s="1992">
        <v>12</v>
      </c>
      <c r="D57" s="3077"/>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4">
      <c r="A58" s="3078" t="s">
        <v>2869</v>
      </c>
      <c r="B58" s="185"/>
      <c r="C58" s="1992">
        <v>3</v>
      </c>
      <c r="D58" s="3077"/>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4">
      <c r="A59" s="3078" t="s">
        <v>2870</v>
      </c>
      <c r="B59" s="185"/>
      <c r="C59" s="1992">
        <v>1.5</v>
      </c>
      <c r="D59" s="3077"/>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4">
      <c r="A60" s="3078" t="s">
        <v>2871</v>
      </c>
      <c r="B60" s="185"/>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4">
      <c r="A61" s="3078" t="s">
        <v>2872</v>
      </c>
      <c r="B61" s="185"/>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4">
      <c r="A62" s="3078" t="s">
        <v>2873</v>
      </c>
      <c r="B62" s="185"/>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9" t="s">
        <v>2874</v>
      </c>
      <c r="B63" s="251"/>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2"/>
      <c r="D64" s="1997"/>
      <c r="K64" s="56"/>
      <c r="L64" s="56"/>
    </row>
    <row r="65" spans="1:12" s="1996" customFormat="1">
      <c r="A65" s="252"/>
      <c r="D65" s="1997"/>
      <c r="K65" s="56"/>
      <c r="L65" s="56"/>
    </row>
    <row r="66" spans="1:12" s="1996" customFormat="1">
      <c r="A66" s="252"/>
      <c r="D66" s="1997"/>
      <c r="K66" s="56"/>
      <c r="L66" s="56"/>
    </row>
    <row r="67" spans="1:12" s="1996" customFormat="1">
      <c r="A67" s="252"/>
      <c r="D67" s="1997"/>
      <c r="K67" s="56"/>
      <c r="L67" s="56"/>
    </row>
    <row r="68" spans="1:12" s="1996" customFormat="1">
      <c r="A68" s="252"/>
      <c r="D68" s="1997"/>
      <c r="K68" s="56"/>
      <c r="L68" s="56"/>
    </row>
    <row r="69" spans="1:12" s="1996" customFormat="1">
      <c r="A69" s="252"/>
      <c r="D69" s="1997"/>
      <c r="K69" s="56"/>
      <c r="L69" s="56"/>
    </row>
    <row r="70" spans="1:12" s="1996" customFormat="1">
      <c r="A70" s="252"/>
      <c r="D70" s="1997"/>
      <c r="K70" s="56"/>
      <c r="L70" s="56"/>
    </row>
    <row r="71" spans="1:12" s="1996" customFormat="1">
      <c r="A71" s="252"/>
      <c r="D71" s="1997"/>
      <c r="K71" s="56"/>
      <c r="L71" s="56"/>
    </row>
    <row r="72" spans="1:12" s="1996" customFormat="1">
      <c r="A72" s="252"/>
      <c r="D72" s="1997"/>
      <c r="K72" s="56"/>
      <c r="L72" s="56"/>
    </row>
    <row r="73" spans="1:12" s="1996" customFormat="1">
      <c r="A73" s="252"/>
      <c r="D73" s="1997"/>
      <c r="K73" s="56"/>
      <c r="L73" s="56"/>
    </row>
    <row r="74" spans="1:12" s="1996" customFormat="1">
      <c r="A74" s="252"/>
      <c r="D74" s="1997"/>
      <c r="K74" s="56"/>
      <c r="L74" s="56"/>
    </row>
    <row r="75" spans="1:12" s="1996" customFormat="1">
      <c r="A75" s="252"/>
      <c r="D75" s="1997"/>
      <c r="K75" s="56"/>
      <c r="L75" s="56"/>
    </row>
    <row r="76" spans="1:12" s="1996" customFormat="1">
      <c r="A76" s="252"/>
      <c r="D76" s="1997"/>
      <c r="K76" s="56"/>
      <c r="L76" s="56"/>
    </row>
    <row r="77" spans="1:12" s="1996" customFormat="1">
      <c r="A77" s="252"/>
      <c r="D77" s="1997"/>
      <c r="K77" s="56"/>
      <c r="L77" s="56"/>
    </row>
    <row r="78" spans="1:12" s="1996" customFormat="1">
      <c r="A78" s="252"/>
      <c r="D78" s="1997"/>
      <c r="K78" s="56"/>
      <c r="L78" s="56"/>
    </row>
    <row r="79" spans="1:12" s="1996" customFormat="1">
      <c r="A79" s="252"/>
      <c r="D79" s="1997"/>
      <c r="K79" s="56"/>
      <c r="L79" s="56"/>
    </row>
    <row r="80" spans="1:12" s="1996" customFormat="1">
      <c r="A80" s="252"/>
      <c r="D80" s="1997"/>
      <c r="K80" s="56"/>
      <c r="L80" s="56"/>
    </row>
    <row r="81" spans="1:12" s="1996" customFormat="1">
      <c r="A81" s="252"/>
      <c r="D81" s="1997"/>
      <c r="K81" s="56"/>
      <c r="L81" s="56"/>
    </row>
    <row r="82" spans="1:12" s="1996" customFormat="1">
      <c r="A82" s="252"/>
      <c r="D82" s="1997"/>
      <c r="K82" s="56"/>
      <c r="L82" s="56"/>
    </row>
    <row r="83" spans="1:12" s="1996" customFormat="1">
      <c r="A83" s="252"/>
      <c r="D83" s="1997"/>
      <c r="K83" s="56"/>
      <c r="L83" s="56"/>
    </row>
    <row r="84" spans="1:12" s="1996" customFormat="1">
      <c r="A84" s="252"/>
      <c r="D84" s="1997"/>
      <c r="K84" s="56"/>
      <c r="L84" s="56"/>
    </row>
    <row r="85" spans="1:12" s="1996" customFormat="1">
      <c r="A85" s="252"/>
      <c r="D85" s="1997"/>
      <c r="K85" s="56"/>
      <c r="L85" s="56"/>
    </row>
    <row r="86" spans="1:12" s="1996" customFormat="1">
      <c r="A86" s="252"/>
      <c r="D86" s="1997"/>
      <c r="K86" s="56"/>
      <c r="L86" s="56"/>
    </row>
    <row r="87" spans="1:12" s="1996" customFormat="1">
      <c r="A87" s="252"/>
      <c r="D87" s="1997"/>
      <c r="K87" s="56"/>
      <c r="L87" s="56"/>
    </row>
    <row r="88" spans="1:12" s="1996" customFormat="1">
      <c r="A88" s="252"/>
      <c r="D88" s="1997"/>
      <c r="K88" s="56"/>
      <c r="L88" s="56"/>
    </row>
    <row r="89" spans="1:12" s="1996" customFormat="1">
      <c r="A89" s="252"/>
      <c r="D89" s="1997"/>
      <c r="K89" s="56"/>
      <c r="L89" s="56"/>
    </row>
    <row r="90" spans="1:12" s="1996" customFormat="1">
      <c r="A90" s="252"/>
      <c r="D90" s="1997"/>
      <c r="K90" s="56"/>
      <c r="L90" s="56"/>
    </row>
    <row r="91" spans="1:12" s="1996" customFormat="1">
      <c r="A91" s="252"/>
      <c r="D91" s="1997"/>
      <c r="K91" s="56"/>
      <c r="L91" s="56"/>
    </row>
    <row r="92" spans="1:12" s="1996" customFormat="1">
      <c r="A92" s="252"/>
      <c r="D92" s="1997"/>
      <c r="K92" s="56"/>
      <c r="L92" s="56"/>
    </row>
    <row r="93" spans="1:12" s="1996" customFormat="1">
      <c r="A93" s="252"/>
      <c r="D93" s="1997"/>
      <c r="K93" s="56"/>
      <c r="L93" s="56"/>
    </row>
    <row r="94" spans="1:12" s="1996" customFormat="1">
      <c r="A94" s="252"/>
      <c r="D94" s="1997"/>
      <c r="K94" s="56"/>
      <c r="L94" s="56"/>
    </row>
    <row r="95" spans="1:12" s="1996" customFormat="1">
      <c r="A95" s="252"/>
      <c r="D95" s="1997"/>
      <c r="K95" s="56"/>
      <c r="L95" s="56"/>
    </row>
    <row r="96" spans="1:12" s="1996" customFormat="1">
      <c r="A96" s="252"/>
      <c r="D96" s="1997"/>
      <c r="K96" s="56"/>
      <c r="L96" s="56"/>
    </row>
    <row r="97" spans="1:12" s="1996" customFormat="1">
      <c r="A97" s="252"/>
      <c r="D97" s="1997"/>
      <c r="K97" s="56"/>
      <c r="L97" s="56"/>
    </row>
    <row r="98" spans="1:12" s="1996" customFormat="1">
      <c r="A98" s="252"/>
      <c r="D98" s="1997"/>
      <c r="K98" s="56"/>
      <c r="L98" s="56"/>
    </row>
    <row r="99" spans="1:12" s="1996" customFormat="1">
      <c r="A99" s="252"/>
      <c r="D99" s="1997"/>
      <c r="K99" s="56"/>
      <c r="L99" s="56"/>
    </row>
    <row r="100" spans="1:12" s="1996" customFormat="1">
      <c r="A100" s="252"/>
      <c r="D100" s="1997"/>
      <c r="K100" s="56"/>
      <c r="L100" s="56"/>
    </row>
    <row r="101" spans="1:12" s="1996" customFormat="1">
      <c r="A101" s="252"/>
      <c r="D101" s="1997"/>
      <c r="K101" s="56"/>
      <c r="L101" s="56"/>
    </row>
    <row r="102" spans="1:12" s="1996" customFormat="1">
      <c r="A102" s="252"/>
      <c r="D102" s="1997"/>
      <c r="K102" s="56"/>
      <c r="L102" s="56"/>
    </row>
    <row r="103" spans="1:12" s="1996" customFormat="1">
      <c r="A103" s="252"/>
      <c r="D103" s="1997"/>
      <c r="K103" s="56"/>
      <c r="L103" s="56"/>
    </row>
    <row r="104" spans="1:12" s="1996" customFormat="1">
      <c r="A104" s="252"/>
      <c r="D104" s="1997"/>
      <c r="K104" s="56"/>
      <c r="L104" s="56"/>
    </row>
    <row r="105" spans="1:12" s="1996" customFormat="1">
      <c r="A105" s="252"/>
      <c r="D105" s="1997"/>
      <c r="K105" s="56"/>
      <c r="L105" s="56"/>
    </row>
    <row r="106" spans="1:12" s="1996" customFormat="1">
      <c r="A106" s="252"/>
      <c r="D106" s="1997"/>
      <c r="K106" s="56"/>
      <c r="L106" s="56"/>
    </row>
    <row r="107" spans="1:12" s="1996" customFormat="1">
      <c r="A107" s="252"/>
      <c r="D107" s="1997"/>
      <c r="K107" s="56"/>
      <c r="L107" s="56"/>
    </row>
    <row r="108" spans="1:12" s="1996" customFormat="1">
      <c r="A108" s="252"/>
      <c r="D108" s="1997"/>
      <c r="K108" s="56"/>
      <c r="L108" s="56"/>
    </row>
    <row r="109" spans="1:12" s="1996" customFormat="1">
      <c r="A109" s="252"/>
      <c r="D109" s="1997"/>
      <c r="K109" s="56"/>
      <c r="L109" s="56"/>
    </row>
    <row r="110" spans="1:12" s="1996" customFormat="1">
      <c r="A110" s="252"/>
      <c r="D110" s="1997"/>
      <c r="K110" s="56"/>
      <c r="L110" s="56"/>
    </row>
    <row r="111" spans="1:12" s="1996" customFormat="1">
      <c r="A111" s="252"/>
      <c r="D111" s="1997"/>
      <c r="K111" s="56"/>
      <c r="L111" s="56"/>
    </row>
    <row r="112" spans="1:12" s="1996" customFormat="1">
      <c r="A112" s="252"/>
      <c r="D112" s="1997"/>
      <c r="K112" s="56"/>
      <c r="L112" s="56"/>
    </row>
    <row r="113" spans="1:12" s="1996" customFormat="1">
      <c r="A113" s="252"/>
      <c r="D113" s="1997"/>
      <c r="K113" s="56"/>
      <c r="L113" s="56"/>
    </row>
    <row r="114" spans="1:12" s="1996" customFormat="1">
      <c r="A114" s="252"/>
      <c r="D114" s="1997"/>
      <c r="K114" s="56"/>
      <c r="L114" s="56"/>
    </row>
    <row r="115" spans="1:12" s="1996" customFormat="1">
      <c r="A115" s="252"/>
      <c r="D115" s="1997"/>
      <c r="K115" s="56"/>
      <c r="L115" s="56"/>
    </row>
    <row r="116" spans="1:12" s="1996" customFormat="1">
      <c r="A116" s="252"/>
      <c r="D116" s="1997"/>
      <c r="K116" s="56"/>
      <c r="L116" s="56"/>
    </row>
    <row r="117" spans="1:12" s="1996" customFormat="1">
      <c r="A117" s="252"/>
      <c r="D117" s="1997"/>
      <c r="K117" s="56"/>
      <c r="L117" s="56"/>
    </row>
    <row r="118" spans="1:12" s="1996" customFormat="1">
      <c r="A118" s="252"/>
      <c r="D118" s="1997"/>
      <c r="K118" s="56"/>
      <c r="L118" s="56"/>
    </row>
    <row r="119" spans="1:12" s="1996" customFormat="1">
      <c r="A119" s="252"/>
      <c r="D119" s="1997"/>
      <c r="K119" s="56"/>
      <c r="L119" s="56"/>
    </row>
    <row r="120" spans="1:12" s="1996" customFormat="1">
      <c r="A120" s="252"/>
      <c r="D120" s="1997"/>
      <c r="K120" s="56"/>
      <c r="L120" s="56"/>
    </row>
    <row r="121" spans="1:12" s="1996" customFormat="1">
      <c r="A121" s="252"/>
      <c r="D121" s="1997"/>
      <c r="K121" s="56"/>
      <c r="L121" s="56"/>
    </row>
    <row r="122" spans="1:12" s="1996" customFormat="1">
      <c r="A122" s="252"/>
      <c r="D122" s="1997"/>
      <c r="K122" s="56"/>
      <c r="L122" s="56"/>
    </row>
    <row r="123" spans="1:12" s="1996" customFormat="1">
      <c r="A123" s="252"/>
      <c r="D123" s="1997"/>
      <c r="K123" s="56"/>
      <c r="L123" s="56"/>
    </row>
    <row r="124" spans="1:12" s="1996" customFormat="1">
      <c r="A124" s="252"/>
      <c r="D124" s="1997"/>
      <c r="K124" s="56"/>
      <c r="L124" s="56"/>
    </row>
    <row r="125" spans="1:12" s="1996" customFormat="1">
      <c r="A125" s="252"/>
      <c r="D125" s="1997"/>
      <c r="K125" s="56"/>
      <c r="L125" s="56"/>
    </row>
    <row r="126" spans="1:12" s="1996" customFormat="1">
      <c r="A126" s="252"/>
      <c r="D126" s="1997"/>
      <c r="K126" s="56"/>
      <c r="L126" s="56"/>
    </row>
    <row r="127" spans="1:12" s="1996" customFormat="1">
      <c r="A127" s="252"/>
      <c r="D127" s="1997"/>
      <c r="K127" s="56"/>
      <c r="L127" s="56"/>
    </row>
    <row r="128" spans="1:12" s="1996" customFormat="1">
      <c r="A128" s="252"/>
      <c r="D128" s="1997"/>
      <c r="K128" s="56"/>
      <c r="L128" s="56"/>
    </row>
    <row r="129" spans="1:12" s="1996" customFormat="1">
      <c r="A129" s="252"/>
      <c r="D129" s="1997"/>
      <c r="K129" s="56"/>
      <c r="L129" s="56"/>
    </row>
    <row r="130" spans="1:12" s="1996" customFormat="1">
      <c r="A130" s="252"/>
      <c r="D130" s="1997"/>
      <c r="K130" s="56"/>
      <c r="L130" s="56"/>
    </row>
    <row r="131" spans="1:12" s="1996" customFormat="1">
      <c r="A131" s="252"/>
      <c r="D131" s="1997"/>
      <c r="K131" s="56"/>
      <c r="L131" s="56"/>
    </row>
    <row r="132" spans="1:12" s="1996" customFormat="1">
      <c r="A132" s="252"/>
      <c r="D132" s="1997"/>
      <c r="K132" s="56"/>
      <c r="L132" s="56"/>
    </row>
    <row r="133" spans="1:12" s="1996" customFormat="1">
      <c r="A133" s="252"/>
      <c r="D133" s="1997"/>
      <c r="K133" s="56"/>
      <c r="L133" s="56"/>
    </row>
    <row r="134" spans="1:12" s="1996" customFormat="1">
      <c r="A134" s="252"/>
      <c r="D134" s="1997"/>
      <c r="K134" s="56"/>
      <c r="L134" s="56"/>
    </row>
    <row r="135" spans="1:12" s="1996" customFormat="1">
      <c r="A135" s="252"/>
      <c r="D135" s="1997"/>
      <c r="K135" s="56"/>
      <c r="L135" s="56"/>
    </row>
    <row r="136" spans="1:12" s="1996" customFormat="1">
      <c r="A136" s="252"/>
      <c r="D136" s="1997"/>
      <c r="K136" s="56"/>
      <c r="L136" s="56"/>
    </row>
    <row r="137" spans="1:12" s="1996" customFormat="1">
      <c r="A137" s="252"/>
      <c r="D137" s="1997"/>
      <c r="K137" s="56"/>
      <c r="L137" s="56"/>
    </row>
    <row r="138" spans="1:12" s="1996" customFormat="1">
      <c r="A138" s="252"/>
      <c r="D138" s="1997"/>
      <c r="K138" s="56"/>
      <c r="L138" s="56"/>
    </row>
    <row r="139" spans="1:12" s="1996" customFormat="1">
      <c r="A139" s="252"/>
      <c r="D139" s="1997"/>
      <c r="K139" s="56"/>
      <c r="L139" s="56"/>
    </row>
    <row r="140" spans="1:12" s="1996" customFormat="1">
      <c r="A140" s="252"/>
      <c r="D140" s="1997"/>
      <c r="K140" s="56"/>
      <c r="L140" s="56"/>
    </row>
    <row r="141" spans="1:12" s="1996" customFormat="1">
      <c r="A141" s="252"/>
      <c r="D141" s="1997"/>
      <c r="K141" s="56"/>
      <c r="L141" s="56"/>
    </row>
    <row r="142" spans="1:12" s="1996" customFormat="1">
      <c r="A142" s="252"/>
      <c r="D142" s="1997"/>
      <c r="K142" s="56"/>
      <c r="L142" s="56"/>
    </row>
    <row r="143" spans="1:12" s="1996" customFormat="1">
      <c r="A143" s="252"/>
      <c r="D143" s="1997"/>
      <c r="K143" s="56"/>
      <c r="L143" s="56"/>
    </row>
    <row r="144" spans="1:12" s="1996" customFormat="1">
      <c r="A144" s="252"/>
      <c r="D144" s="1997"/>
      <c r="K144" s="56"/>
      <c r="L144" s="56"/>
    </row>
    <row r="145" spans="1:12" s="1996" customFormat="1">
      <c r="A145" s="252"/>
      <c r="D145" s="1997"/>
      <c r="K145" s="56"/>
      <c r="L145" s="56"/>
    </row>
    <row r="146" spans="1:12" s="1996" customFormat="1">
      <c r="A146" s="252"/>
      <c r="D146" s="1997"/>
      <c r="K146" s="56"/>
      <c r="L146" s="56"/>
    </row>
    <row r="147" spans="1:12" s="1996" customFormat="1">
      <c r="A147" s="252"/>
      <c r="D147" s="1997"/>
      <c r="K147" s="56"/>
      <c r="L147" s="56"/>
    </row>
    <row r="148" spans="1:12" s="1996" customFormat="1">
      <c r="A148" s="252"/>
      <c r="D148" s="1997"/>
      <c r="K148" s="56"/>
      <c r="L148" s="56"/>
    </row>
    <row r="149" spans="1:12" s="1996" customFormat="1">
      <c r="A149" s="252"/>
      <c r="D149" s="1997"/>
      <c r="K149" s="56"/>
      <c r="L149" s="56"/>
    </row>
    <row r="150" spans="1:12" s="1996" customFormat="1">
      <c r="A150" s="252"/>
      <c r="D150" s="1997"/>
      <c r="K150" s="56"/>
      <c r="L150" s="56"/>
    </row>
    <row r="151" spans="1:12" s="1996" customFormat="1">
      <c r="A151" s="252"/>
      <c r="D151" s="1997"/>
      <c r="K151" s="56"/>
      <c r="L151" s="56"/>
    </row>
    <row r="152" spans="1:12" s="1996" customFormat="1">
      <c r="A152" s="252"/>
      <c r="D152" s="1997"/>
      <c r="K152" s="56"/>
      <c r="L152" s="56"/>
    </row>
    <row r="153" spans="1:12" s="1996" customFormat="1">
      <c r="A153" s="252"/>
      <c r="D153" s="1997"/>
      <c r="K153" s="56"/>
      <c r="L153" s="56"/>
    </row>
    <row r="154" spans="1:12" s="1996" customFormat="1">
      <c r="A154" s="252"/>
      <c r="D154" s="1997"/>
      <c r="K154" s="56"/>
      <c r="L154" s="56"/>
    </row>
    <row r="155" spans="1:12" s="1996" customFormat="1">
      <c r="A155" s="252"/>
      <c r="D155" s="1997"/>
      <c r="K155" s="56"/>
      <c r="L155" s="56"/>
    </row>
    <row r="156" spans="1:12" s="1996" customFormat="1">
      <c r="A156" s="252"/>
      <c r="D156" s="1997"/>
      <c r="K156" s="56"/>
      <c r="L156" s="56"/>
    </row>
    <row r="157" spans="1:12" s="1996" customFormat="1">
      <c r="A157" s="252"/>
      <c r="D157" s="1997"/>
      <c r="K157" s="56"/>
      <c r="L157" s="56"/>
    </row>
    <row r="158" spans="1:12" s="1996" customFormat="1">
      <c r="A158" s="252"/>
      <c r="D158" s="1997"/>
      <c r="K158" s="56"/>
      <c r="L158" s="56"/>
    </row>
    <row r="159" spans="1:12" s="1996" customFormat="1">
      <c r="A159" s="252"/>
      <c r="D159" s="1997"/>
      <c r="K159" s="56"/>
      <c r="L159" s="56"/>
    </row>
    <row r="160" spans="1:12" s="1996" customFormat="1">
      <c r="A160" s="252"/>
      <c r="D160" s="1997"/>
      <c r="K160" s="56"/>
      <c r="L160" s="56"/>
    </row>
    <row r="161" spans="1:12" s="1996" customFormat="1">
      <c r="A161" s="252"/>
      <c r="D161" s="1997"/>
      <c r="K161" s="56"/>
      <c r="L161" s="56"/>
    </row>
    <row r="162" spans="1:12" s="1996" customFormat="1">
      <c r="A162" s="252"/>
      <c r="D162" s="1997"/>
      <c r="K162" s="56"/>
      <c r="L162" s="56"/>
    </row>
    <row r="163" spans="1:12" s="1996" customFormat="1">
      <c r="A163" s="252"/>
      <c r="D163" s="1997"/>
      <c r="K163" s="56"/>
      <c r="L163" s="56"/>
    </row>
    <row r="164" spans="1:12" s="1996" customFormat="1">
      <c r="A164" s="252"/>
      <c r="D164" s="1997"/>
      <c r="K164" s="56"/>
      <c r="L164" s="56"/>
    </row>
    <row r="165" spans="1:12" s="1996" customFormat="1">
      <c r="A165" s="252"/>
      <c r="D165" s="1997"/>
      <c r="K165" s="56"/>
      <c r="L165" s="56"/>
    </row>
    <row r="166" spans="1:12" s="1996" customFormat="1">
      <c r="A166" s="252"/>
      <c r="D166" s="1997"/>
      <c r="K166" s="56"/>
      <c r="L166" s="56"/>
    </row>
    <row r="167" spans="1:12" s="1996" customFormat="1">
      <c r="A167" s="252"/>
      <c r="D167" s="1997"/>
      <c r="K167" s="56"/>
      <c r="L167" s="56"/>
    </row>
    <row r="168" spans="1:12" s="1996" customFormat="1">
      <c r="A168" s="252"/>
      <c r="D168" s="1997"/>
      <c r="K168" s="56"/>
      <c r="L168" s="56"/>
    </row>
    <row r="169" spans="1:12" s="1996" customFormat="1">
      <c r="A169" s="252"/>
      <c r="D169" s="1997"/>
      <c r="K169" s="56"/>
      <c r="L169" s="56"/>
    </row>
    <row r="170" spans="1:12" s="1996" customFormat="1">
      <c r="A170" s="252"/>
      <c r="D170" s="1997"/>
      <c r="K170" s="56"/>
      <c r="L170" s="56"/>
    </row>
    <row r="171" spans="1:12" s="1996" customFormat="1">
      <c r="A171" s="252"/>
      <c r="D171" s="1997"/>
      <c r="K171" s="56"/>
      <c r="L171" s="56"/>
    </row>
    <row r="172" spans="1:12" s="1996" customFormat="1">
      <c r="A172" s="252"/>
      <c r="D172" s="1997"/>
      <c r="K172" s="56"/>
      <c r="L172" s="56"/>
    </row>
    <row r="173" spans="1:12" s="1996" customFormat="1">
      <c r="A173" s="252"/>
      <c r="D173" s="1997"/>
      <c r="K173" s="56"/>
      <c r="L173" s="56"/>
    </row>
    <row r="174" spans="1:12" s="1996" customFormat="1">
      <c r="A174" s="252"/>
      <c r="D174" s="1997"/>
      <c r="K174" s="56"/>
      <c r="L174" s="56"/>
    </row>
    <row r="175" spans="1:12" s="1996" customFormat="1">
      <c r="A175" s="252"/>
      <c r="D175" s="1997"/>
      <c r="K175" s="56"/>
      <c r="L175" s="56"/>
    </row>
    <row r="176" spans="1:12" s="1996" customFormat="1">
      <c r="A176" s="252"/>
      <c r="D176" s="1997"/>
      <c r="K176" s="56"/>
      <c r="L176" s="56"/>
    </row>
    <row r="177" spans="1:12" s="1996" customFormat="1">
      <c r="A177" s="252"/>
      <c r="D177" s="1997"/>
      <c r="K177" s="56"/>
      <c r="L177" s="56"/>
    </row>
    <row r="178" spans="1:12" s="1996" customFormat="1">
      <c r="A178" s="252"/>
      <c r="D178" s="1997"/>
      <c r="K178" s="56"/>
      <c r="L178" s="56"/>
    </row>
    <row r="179" spans="1:12" s="1996" customFormat="1">
      <c r="A179" s="252"/>
      <c r="D179" s="1997"/>
      <c r="K179" s="56"/>
      <c r="L179" s="56"/>
    </row>
    <row r="180" spans="1:12" s="1996" customFormat="1">
      <c r="A180" s="252"/>
      <c r="D180" s="1997"/>
      <c r="K180" s="56"/>
      <c r="L180" s="56"/>
    </row>
    <row r="181" spans="1:12" s="1996" customFormat="1">
      <c r="A181" s="252"/>
      <c r="D181" s="1997"/>
      <c r="K181" s="56"/>
      <c r="L181" s="56"/>
    </row>
    <row r="182" spans="1:12" s="1996" customFormat="1">
      <c r="A182" s="252"/>
      <c r="D182" s="1997"/>
      <c r="K182" s="56"/>
      <c r="L182" s="56"/>
    </row>
    <row r="183" spans="1:12" s="1996" customFormat="1">
      <c r="A183" s="252"/>
      <c r="D183" s="1997"/>
      <c r="K183" s="56"/>
      <c r="L183" s="56"/>
    </row>
    <row r="184" spans="1:12" s="1996" customFormat="1">
      <c r="A184" s="252"/>
      <c r="D184" s="1997"/>
      <c r="K184" s="56"/>
      <c r="L184" s="56"/>
    </row>
    <row r="185" spans="1:12" s="1996" customFormat="1">
      <c r="A185" s="252"/>
      <c r="D185" s="1997"/>
      <c r="K185" s="56"/>
      <c r="L185" s="56"/>
    </row>
    <row r="186" spans="1:12" s="1996" customFormat="1">
      <c r="A186" s="252"/>
      <c r="D186" s="1997"/>
      <c r="K186" s="56"/>
      <c r="L186" s="56"/>
    </row>
    <row r="187" spans="1:12" s="1996" customFormat="1">
      <c r="A187" s="252"/>
      <c r="D187" s="1997"/>
      <c r="K187" s="56"/>
      <c r="L187" s="56"/>
    </row>
    <row r="188" spans="1:12" s="1996" customFormat="1">
      <c r="A188" s="252"/>
      <c r="D188" s="1997"/>
      <c r="K188" s="56"/>
      <c r="L188" s="56"/>
    </row>
    <row r="189" spans="1:12" s="1996" customFormat="1">
      <c r="A189" s="252"/>
      <c r="D189" s="1997"/>
      <c r="K189" s="56"/>
      <c r="L189" s="56"/>
    </row>
    <row r="190" spans="1:12" s="1996" customFormat="1">
      <c r="A190" s="252"/>
      <c r="D190" s="1997"/>
      <c r="K190" s="56"/>
      <c r="L190" s="56"/>
    </row>
    <row r="191" spans="1:12" s="1996" customFormat="1">
      <c r="A191" s="252"/>
      <c r="D191" s="1997"/>
      <c r="K191" s="56"/>
      <c r="L191" s="56"/>
    </row>
    <row r="192" spans="1:12" s="1996" customFormat="1">
      <c r="A192" s="252"/>
      <c r="D192" s="1997"/>
      <c r="K192" s="56"/>
      <c r="L192" s="56"/>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2006" customWidth="1"/>
    <col min="2" max="2" width="24.44140625" style="2021" customWidth="1"/>
    <col min="3" max="3" width="24.44140625" style="2023" customWidth="1"/>
    <col min="4" max="4" width="2.6640625" style="2023" customWidth="1"/>
    <col min="5" max="5" width="5.88671875" style="2023" customWidth="1"/>
    <col min="6" max="6" width="27" style="2021" customWidth="1"/>
    <col min="7" max="7" width="27" style="2022" customWidth="1"/>
    <col min="8" max="8" width="11.88671875" style="2021" customWidth="1"/>
    <col min="9" max="9" width="16.77734375" style="2022" customWidth="1"/>
    <col min="10" max="10" width="2.6640625" style="2023" customWidth="1"/>
    <col min="11" max="11" width="11.88671875" style="2021" customWidth="1"/>
    <col min="12" max="12" width="16.77734375" style="2022" customWidth="1"/>
    <col min="13" max="13" width="2.6640625" style="2023" customWidth="1"/>
    <col min="14" max="14" width="11.88671875" style="2021" customWidth="1"/>
    <col min="15" max="15" width="16.77734375" style="2022" customWidth="1"/>
    <col min="16" max="16" width="2.6640625" style="2023" customWidth="1"/>
    <col min="17" max="17" width="11.88671875" style="2021" customWidth="1"/>
    <col min="18" max="18" width="16.77734375" style="2024" customWidth="1"/>
    <col min="19" max="16384" width="9" style="2006"/>
  </cols>
  <sheetData>
    <row r="1" spans="1:18" s="2005" customFormat="1" ht="18" thickBot="1">
      <c r="A1" s="3280" t="s">
        <v>1628</v>
      </c>
      <c r="B1" s="3281"/>
      <c r="C1" s="3281"/>
      <c r="D1" s="3281"/>
      <c r="E1" s="3281"/>
      <c r="F1" s="3281"/>
      <c r="G1" s="3281"/>
      <c r="H1" s="2000"/>
      <c r="I1" s="2001"/>
      <c r="J1" s="2002"/>
      <c r="K1" s="2000"/>
      <c r="L1" s="2001"/>
      <c r="M1" s="2002"/>
      <c r="N1" s="2000"/>
      <c r="O1" s="2001"/>
      <c r="P1" s="2002"/>
      <c r="Q1" s="2003"/>
      <c r="R1" s="2004"/>
    </row>
    <row r="2" spans="1:18" ht="15" thickBot="1">
      <c r="A2" s="1219"/>
      <c r="B2" s="1220"/>
      <c r="C2" s="1221" t="s">
        <v>1629</v>
      </c>
      <c r="D2" s="1222"/>
      <c r="E2" s="1223"/>
      <c r="F2" s="1224"/>
      <c r="G2" s="1221" t="s">
        <v>1630</v>
      </c>
      <c r="H2" s="2006"/>
      <c r="I2" s="2006"/>
      <c r="J2" s="2006"/>
      <c r="K2" s="2006"/>
      <c r="L2" s="2006"/>
      <c r="M2" s="2006"/>
      <c r="N2" s="2006"/>
      <c r="O2" s="2006"/>
      <c r="P2" s="2006"/>
      <c r="Q2" s="2006"/>
      <c r="R2" s="2006"/>
    </row>
    <row r="3" spans="1:18" ht="57.6">
      <c r="A3" s="1225" t="s">
        <v>1631</v>
      </c>
      <c r="B3" s="1226" t="s">
        <v>1618</v>
      </c>
      <c r="C3" s="3080" t="s">
        <v>2881</v>
      </c>
      <c r="D3" s="2007"/>
      <c r="E3" s="1227" t="s">
        <v>1631</v>
      </c>
      <c r="F3" s="1228" t="s">
        <v>1619</v>
      </c>
      <c r="G3" s="3084" t="s">
        <v>2880</v>
      </c>
      <c r="H3" s="2006"/>
      <c r="I3" s="2006"/>
      <c r="J3" s="2006"/>
      <c r="K3" s="2006"/>
      <c r="L3" s="2006"/>
      <c r="M3" s="2006"/>
      <c r="N3" s="2006"/>
      <c r="O3" s="2006"/>
      <c r="P3" s="2006"/>
      <c r="Q3" s="2006"/>
      <c r="R3" s="2006"/>
    </row>
    <row r="4" spans="1:18" ht="43.2">
      <c r="A4" s="1227"/>
      <c r="B4" s="1229" t="s">
        <v>1632</v>
      </c>
      <c r="C4" s="3081" t="s">
        <v>2882</v>
      </c>
      <c r="D4" s="2007"/>
      <c r="E4" s="1230"/>
      <c r="F4" s="1231" t="s">
        <v>1633</v>
      </c>
      <c r="G4" s="3082" t="s">
        <v>2877</v>
      </c>
      <c r="H4" s="2006"/>
      <c r="I4" s="2006"/>
      <c r="J4" s="2006"/>
      <c r="K4" s="2006"/>
      <c r="L4" s="2006"/>
      <c r="M4" s="2006"/>
      <c r="N4" s="2006"/>
      <c r="O4" s="2006"/>
      <c r="P4" s="2006"/>
      <c r="Q4" s="2006"/>
      <c r="R4" s="2006"/>
    </row>
    <row r="5" spans="1:18" ht="43.2">
      <c r="A5" s="1227"/>
      <c r="B5" s="1229" t="s">
        <v>1634</v>
      </c>
      <c r="C5" s="3081" t="s">
        <v>2883</v>
      </c>
      <c r="D5" s="2007"/>
      <c r="E5" s="1230"/>
      <c r="F5" s="1229" t="s">
        <v>2508</v>
      </c>
      <c r="G5" s="3082" t="s">
        <v>2878</v>
      </c>
      <c r="H5" s="2006"/>
      <c r="I5" s="2006"/>
      <c r="J5" s="2006"/>
      <c r="K5" s="2006"/>
      <c r="L5" s="2006"/>
      <c r="M5" s="2006"/>
      <c r="N5" s="2006"/>
      <c r="O5" s="2006"/>
      <c r="P5" s="2006"/>
      <c r="Q5" s="2006"/>
      <c r="R5" s="2006"/>
    </row>
    <row r="6" spans="1:18" ht="57.6">
      <c r="A6" s="1227"/>
      <c r="B6" s="1229" t="s">
        <v>1620</v>
      </c>
      <c r="C6" s="3082" t="s">
        <v>2877</v>
      </c>
      <c r="D6" s="2007"/>
      <c r="E6" s="1230"/>
      <c r="F6" s="1229" t="s">
        <v>2509</v>
      </c>
      <c r="G6" s="3082" t="s">
        <v>2875</v>
      </c>
      <c r="H6" s="2006"/>
      <c r="I6" s="2006"/>
      <c r="J6" s="2006"/>
      <c r="K6" s="2006"/>
      <c r="L6" s="2006"/>
      <c r="M6" s="2006"/>
      <c r="N6" s="2006"/>
      <c r="O6" s="2006"/>
      <c r="P6" s="2006"/>
      <c r="Q6" s="2006"/>
      <c r="R6" s="2006"/>
    </row>
    <row r="7" spans="1:18" ht="43.8" thickBot="1">
      <c r="A7" s="1227"/>
      <c r="B7" s="1229" t="s">
        <v>2508</v>
      </c>
      <c r="C7" s="3082" t="s">
        <v>2878</v>
      </c>
      <c r="D7" s="2008"/>
      <c r="E7" s="1232"/>
      <c r="F7" s="1233" t="s">
        <v>1635</v>
      </c>
      <c r="G7" s="3085" t="s">
        <v>2879</v>
      </c>
      <c r="H7" s="2006"/>
      <c r="I7" s="2006"/>
      <c r="J7" s="2006"/>
      <c r="K7" s="2006"/>
      <c r="L7" s="2006"/>
      <c r="M7" s="2006"/>
      <c r="N7" s="2006"/>
      <c r="O7" s="2006"/>
      <c r="P7" s="2006"/>
      <c r="Q7" s="2006"/>
      <c r="R7" s="2006"/>
    </row>
    <row r="8" spans="1:18" ht="28.8">
      <c r="A8" s="1227"/>
      <c r="B8" s="1229" t="s">
        <v>2509</v>
      </c>
      <c r="C8" s="3082" t="s">
        <v>2875</v>
      </c>
      <c r="D8" s="2008"/>
      <c r="E8" s="2008"/>
      <c r="F8" s="1551"/>
      <c r="G8" s="1551"/>
      <c r="H8" s="2006"/>
      <c r="I8" s="2006"/>
      <c r="J8" s="2006"/>
      <c r="K8" s="2006"/>
      <c r="L8" s="2006"/>
      <c r="M8" s="2006"/>
      <c r="N8" s="2006"/>
      <c r="O8" s="2006"/>
      <c r="P8" s="2006"/>
      <c r="Q8" s="2006"/>
      <c r="R8" s="2006"/>
    </row>
    <row r="9" spans="1:18" ht="43.2">
      <c r="A9" s="1227"/>
      <c r="B9" s="1229" t="s">
        <v>1621</v>
      </c>
      <c r="C9" s="3081" t="s">
        <v>2876</v>
      </c>
      <c r="D9" s="2007"/>
      <c r="E9" s="2008"/>
      <c r="F9" s="1551"/>
      <c r="G9" s="1551"/>
      <c r="H9" s="2006"/>
      <c r="I9" s="2006"/>
      <c r="J9" s="2006"/>
      <c r="K9" s="2006"/>
      <c r="L9" s="2006"/>
      <c r="M9" s="2006"/>
      <c r="N9" s="2006"/>
      <c r="O9" s="2006"/>
      <c r="P9" s="2006"/>
      <c r="Q9" s="2006"/>
      <c r="R9" s="2006"/>
    </row>
    <row r="10" spans="1:18" s="2014" customFormat="1" ht="15" thickBot="1">
      <c r="A10" s="1234"/>
      <c r="B10" s="1235" t="s">
        <v>1636</v>
      </c>
      <c r="C10" s="3083"/>
      <c r="D10" s="2007"/>
      <c r="E10" s="2007"/>
      <c r="F10" s="1551"/>
      <c r="G10" s="1551"/>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7.399999999999999">
      <c r="A12" s="2009"/>
      <c r="B12" s="2008"/>
      <c r="C12" s="2007"/>
      <c r="D12" s="2576"/>
      <c r="E12" s="2007"/>
      <c r="F12" s="2008"/>
      <c r="G12" s="2010"/>
      <c r="H12" s="2015"/>
      <c r="I12" s="2016"/>
      <c r="J12" s="2015"/>
      <c r="K12" s="2015"/>
      <c r="L12" s="2017"/>
      <c r="M12" s="2015"/>
      <c r="N12" s="2018"/>
      <c r="O12" s="2019"/>
      <c r="P12" s="2020"/>
      <c r="Q12" s="2018"/>
      <c r="R12" s="2004"/>
    </row>
    <row r="13" spans="1:18" ht="18" thickBot="1">
      <c r="A13" s="2575" t="s">
        <v>1637</v>
      </c>
      <c r="B13" s="2576"/>
      <c r="C13" s="2576"/>
      <c r="D13" s="1222"/>
      <c r="E13" s="2576"/>
      <c r="F13" s="2576"/>
      <c r="G13" s="2576"/>
    </row>
    <row r="14" spans="1:18" ht="15" thickBot="1">
      <c r="A14" s="1236"/>
      <c r="B14" s="1237"/>
      <c r="C14" s="1238" t="s">
        <v>1629</v>
      </c>
      <c r="D14" s="2007"/>
      <c r="E14" s="1239"/>
      <c r="F14" s="1239"/>
      <c r="G14" s="1221" t="s">
        <v>1630</v>
      </c>
    </row>
    <row r="15" spans="1:18" ht="57.6">
      <c r="A15" s="2586" t="s">
        <v>1622</v>
      </c>
      <c r="B15" s="1240" t="s">
        <v>1618</v>
      </c>
      <c r="C15" s="1241" t="str">
        <f>C3</f>
        <v>估价对象周边居住用地比例、居住小区规模和社区发展完善程度，综合评价居住社区成熟度一般</v>
      </c>
      <c r="D15" s="2007"/>
      <c r="E15" s="2583" t="s">
        <v>1623</v>
      </c>
      <c r="F15" s="1240" t="s">
        <v>1638</v>
      </c>
      <c r="G15" s="1242" t="str">
        <f>G3</f>
        <v>估价对象位于XX开发区，园区建设成熟度XX，产业集聚程度XX</v>
      </c>
    </row>
    <row r="16" spans="1:18" ht="43.2">
      <c r="A16" s="2587"/>
      <c r="B16" s="1243" t="s">
        <v>1632</v>
      </c>
      <c r="C16" s="1244" t="str">
        <f>C4</f>
        <v>估价对象位于XX商圈，周边商业氛围成熟，人流量大，商业繁华度好</v>
      </c>
      <c r="D16" s="2007"/>
      <c r="E16" s="2584"/>
      <c r="F16" s="1245" t="s">
        <v>1633</v>
      </c>
      <c r="G16" s="1003" t="str">
        <f>G4</f>
        <v>估价对象周边道路状况、公共交通通达情况、停车便捷程度，综合评价交通便捷度较好</v>
      </c>
    </row>
    <row r="17" spans="1:7" ht="43.2">
      <c r="A17" s="2587"/>
      <c r="B17" s="1243" t="s">
        <v>1634</v>
      </c>
      <c r="C17" s="1244" t="str">
        <f>C5</f>
        <v>估价对象位于XX商圈，周边办公楼项目较多，入驻率高，办公集聚程度较好</v>
      </c>
      <c r="D17" s="2008"/>
      <c r="E17" s="2584"/>
      <c r="F17" s="1245" t="s">
        <v>1639</v>
      </c>
      <c r="G17" s="2792"/>
    </row>
    <row r="18" spans="1:7" ht="57.6">
      <c r="A18" s="2587"/>
      <c r="B18" s="1245" t="s">
        <v>1620</v>
      </c>
      <c r="C18" s="1003" t="str">
        <f>C6</f>
        <v>估价对象周边道路状况、公共交通通达情况、停车便捷程度，综合评价交通便捷度较好</v>
      </c>
      <c r="D18" s="2008"/>
      <c r="E18" s="2584"/>
      <c r="F18" s="1245" t="s">
        <v>1635</v>
      </c>
      <c r="G18" s="1003" t="str">
        <f>G7</f>
        <v>该园区内是否有污染型企业，绿化情况，卫生条件，整体环境状况判断</v>
      </c>
    </row>
    <row r="19" spans="1:7" ht="28.8">
      <c r="A19" s="2587"/>
      <c r="B19" s="1245" t="s">
        <v>1624</v>
      </c>
      <c r="C19" s="2792"/>
      <c r="D19" s="2007"/>
      <c r="E19" s="2584"/>
      <c r="F19" s="1229" t="s">
        <v>2508</v>
      </c>
      <c r="G19" s="1003" t="str">
        <f>G5</f>
        <v>估价对象所在区域公共配套设施齐备情况</v>
      </c>
    </row>
    <row r="20" spans="1:7" ht="43.2">
      <c r="A20" s="2587"/>
      <c r="B20" s="1245" t="s">
        <v>1625</v>
      </c>
      <c r="C20" s="1244" t="str">
        <f>C9</f>
        <v>区域自然环境：；人文环境；综合评价环境状况一般</v>
      </c>
      <c r="D20" s="2008"/>
      <c r="E20" s="2584"/>
      <c r="F20" s="1229" t="s">
        <v>2509</v>
      </c>
      <c r="G20" s="1003" t="str">
        <f>G6</f>
        <v>估价对象所在区域基础设施水平</v>
      </c>
    </row>
    <row r="21" spans="1:7" ht="28.8">
      <c r="A21" s="2587"/>
      <c r="B21" s="1229" t="s">
        <v>2508</v>
      </c>
      <c r="C21" s="1003" t="str">
        <f>C7</f>
        <v>估价对象所在区域公共配套设施齐备情况</v>
      </c>
      <c r="D21" s="2007"/>
      <c r="E21" s="2584"/>
      <c r="F21" s="1245" t="s">
        <v>1626</v>
      </c>
      <c r="G21" s="3086"/>
    </row>
    <row r="22" spans="1:7" ht="28.8">
      <c r="A22" s="2587"/>
      <c r="B22" s="1229" t="s">
        <v>2509</v>
      </c>
      <c r="C22" s="1003" t="str">
        <f>C8</f>
        <v>估价对象所在区域基础设施水平</v>
      </c>
      <c r="D22" s="2007"/>
      <c r="E22" s="2584"/>
      <c r="F22" s="1245" t="s">
        <v>1636</v>
      </c>
      <c r="G22" s="2792"/>
    </row>
    <row r="23" spans="1:7" ht="15" thickBot="1">
      <c r="A23" s="2587"/>
      <c r="B23" s="1245" t="s">
        <v>1626</v>
      </c>
      <c r="C23" s="3086"/>
      <c r="E23" s="2585"/>
      <c r="F23" s="1246" t="s">
        <v>1640</v>
      </c>
      <c r="G23" s="3087"/>
    </row>
    <row r="24" spans="1:7" ht="15" thickBot="1">
      <c r="A24" s="2588"/>
      <c r="B24" s="1246" t="s">
        <v>1627</v>
      </c>
      <c r="C24" s="1247">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5" sqref="B24:B25"/>
    </sheetView>
  </sheetViews>
  <sheetFormatPr defaultColWidth="14.6640625" defaultRowHeight="14.4"/>
  <cols>
    <col min="1" max="1" width="24.33203125" customWidth="1"/>
  </cols>
  <sheetData>
    <row r="1" spans="1:9" ht="15.6">
      <c r="A1" s="3044" t="s">
        <v>2806</v>
      </c>
      <c r="B1" s="3044">
        <f>SUM(B14:B23)</f>
        <v>21457.599999999999</v>
      </c>
      <c r="C1" s="3045"/>
      <c r="D1" s="3045"/>
      <c r="E1" s="3045"/>
      <c r="F1" s="3045"/>
    </row>
    <row r="2" spans="1:9" ht="15.6">
      <c r="A2" s="3044" t="s">
        <v>2807</v>
      </c>
      <c r="B2" s="3044">
        <f>SUM(C14:C23)</f>
        <v>7409.7</v>
      </c>
      <c r="C2" s="3045"/>
      <c r="D2" s="3045"/>
      <c r="E2" s="3045"/>
      <c r="F2" s="3045"/>
    </row>
    <row r="3" spans="1:9" ht="15.6">
      <c r="A3" s="3044" t="s">
        <v>2808</v>
      </c>
      <c r="B3" s="3046">
        <f>项目基本情况!D3</f>
        <v>43458</v>
      </c>
      <c r="C3" s="3045"/>
      <c r="D3" s="3045"/>
      <c r="E3" s="3045"/>
      <c r="F3" s="3045"/>
    </row>
    <row r="4" spans="1:9" ht="31.2">
      <c r="A4" s="3044" t="s">
        <v>2809</v>
      </c>
      <c r="B4" s="3044" t="s">
        <v>2810</v>
      </c>
      <c r="C4" s="3044" t="s">
        <v>2811</v>
      </c>
      <c r="D4" s="3044" t="s">
        <v>2812</v>
      </c>
      <c r="E4" s="3045"/>
      <c r="F4" s="3045"/>
    </row>
    <row r="5" spans="1:9" ht="15.6">
      <c r="A5" s="3044" t="s">
        <v>2813</v>
      </c>
      <c r="B5" s="3044">
        <f ca="1">SUM(D14:D23)</f>
        <v>5143</v>
      </c>
      <c r="C5" s="3044">
        <f ca="1">ROUND(B5*10000/$B$1,0)</f>
        <v>2397</v>
      </c>
      <c r="D5" s="3044">
        <f ca="1">ROUND(B5*10000/$B$2,0)</f>
        <v>6941</v>
      </c>
      <c r="E5" s="3045"/>
      <c r="F5" s="3045"/>
    </row>
    <row r="6" spans="1:9" ht="15.6">
      <c r="A6" s="3044" t="s">
        <v>2814</v>
      </c>
      <c r="B6" s="3044">
        <f ca="1">SUM(G14:G23)</f>
        <v>5143</v>
      </c>
      <c r="C6" s="3044">
        <f t="shared" ref="C6:C8" ca="1" si="0">ROUND(B6*10000/$B$1,0)</f>
        <v>2397</v>
      </c>
      <c r="D6" s="3044">
        <f t="shared" ref="D6:D8" ca="1" si="1">ROUND(B6*10000/$B$2,0)</f>
        <v>6941</v>
      </c>
      <c r="E6" s="3045"/>
      <c r="F6" s="3045"/>
    </row>
    <row r="7" spans="1:9" ht="15.6">
      <c r="A7" s="3044" t="s">
        <v>2815</v>
      </c>
      <c r="B7" s="3044">
        <f>SUM(H14:H23)</f>
        <v>0</v>
      </c>
      <c r="C7" s="3044">
        <f t="shared" si="0"/>
        <v>0</v>
      </c>
      <c r="D7" s="3044">
        <f t="shared" si="1"/>
        <v>0</v>
      </c>
      <c r="E7" s="3045"/>
      <c r="F7" s="3045"/>
    </row>
    <row r="8" spans="1:9" ht="15.6">
      <c r="A8" s="3044" t="s">
        <v>2816</v>
      </c>
      <c r="B8" s="3044">
        <f>SUM(I14:I23)</f>
        <v>0</v>
      </c>
      <c r="C8" s="3044">
        <f t="shared" si="0"/>
        <v>0</v>
      </c>
      <c r="D8" s="3044">
        <f t="shared" si="1"/>
        <v>0</v>
      </c>
      <c r="E8" s="3045"/>
      <c r="F8" s="3045"/>
    </row>
    <row r="9" spans="1:9" ht="15.6">
      <c r="A9" s="3044" t="s">
        <v>2817</v>
      </c>
      <c r="B9" s="3047"/>
      <c r="C9" s="3045"/>
      <c r="D9" s="3045"/>
      <c r="E9" s="3045"/>
      <c r="F9" s="3045"/>
    </row>
    <row r="10" spans="1:9" ht="15.6">
      <c r="A10" s="3044" t="s">
        <v>2818</v>
      </c>
      <c r="B10" s="3047"/>
      <c r="C10" s="3045"/>
      <c r="D10" s="3045"/>
      <c r="E10" s="3045"/>
      <c r="F10" s="3045"/>
    </row>
    <row r="11" spans="1:9" ht="15.6">
      <c r="A11" s="3044" t="s">
        <v>2835</v>
      </c>
      <c r="B11" s="3047"/>
      <c r="C11" s="3045"/>
      <c r="D11" s="3045"/>
      <c r="E11" s="3045"/>
      <c r="F11" s="3045"/>
    </row>
    <row r="12" spans="1:9" ht="15.6">
      <c r="A12" s="3045"/>
      <c r="B12" s="3045"/>
      <c r="C12" s="3045"/>
      <c r="D12" s="3045"/>
      <c r="E12" s="3045"/>
      <c r="F12" s="3045"/>
    </row>
    <row r="13" spans="1:9" ht="31.2">
      <c r="A13" s="3050" t="s">
        <v>2834</v>
      </c>
      <c r="B13" s="3048" t="s">
        <v>2806</v>
      </c>
      <c r="C13" s="3048" t="s">
        <v>2807</v>
      </c>
      <c r="D13" s="3048" t="s">
        <v>2819</v>
      </c>
      <c r="E13" s="3044" t="s">
        <v>2833</v>
      </c>
      <c r="F13" s="3044" t="s">
        <v>2812</v>
      </c>
      <c r="G13" s="3048" t="s">
        <v>2820</v>
      </c>
      <c r="H13" s="3048" t="s">
        <v>2821</v>
      </c>
      <c r="I13" s="3048" t="s">
        <v>2822</v>
      </c>
    </row>
    <row r="14" spans="1:9" ht="15.6">
      <c r="A14" s="3051" t="s">
        <v>2832</v>
      </c>
      <c r="B14" s="3048">
        <f>结果表!L38</f>
        <v>21457.599999999999</v>
      </c>
      <c r="C14" s="3048">
        <f>结果表!K38</f>
        <v>7409.7</v>
      </c>
      <c r="D14" s="3048">
        <f ca="1">结果表!C42</f>
        <v>5143</v>
      </c>
      <c r="E14" s="3048">
        <f ca="1">ROUND(D14*10000/B14,0)</f>
        <v>2397</v>
      </c>
      <c r="F14" s="3048">
        <f ca="1">ROUND(D14*10000/C14,0)</f>
        <v>6941</v>
      </c>
      <c r="G14" s="3048">
        <f ca="1">结果表!C44</f>
        <v>5143</v>
      </c>
      <c r="H14" s="3048" t="str">
        <f>结果表!C45</f>
        <v>——</v>
      </c>
      <c r="I14" s="3048" t="str">
        <f>结果表!C46</f>
        <v>——</v>
      </c>
    </row>
    <row r="15" spans="1:9" ht="15.6">
      <c r="A15" s="3051" t="s">
        <v>2823</v>
      </c>
      <c r="B15" s="3052"/>
      <c r="C15" s="3052"/>
      <c r="D15" s="3052"/>
      <c r="E15" s="3048" t="e">
        <f t="shared" ref="E15:E23" si="2">ROUND(D15*10000/B15,0)</f>
        <v>#DIV/0!</v>
      </c>
      <c r="F15" s="3048" t="e">
        <f t="shared" ref="F15:F23" si="3">ROUND(D15*10000/C15,0)</f>
        <v>#DIV/0!</v>
      </c>
      <c r="G15" s="3049"/>
      <c r="H15" s="3049"/>
      <c r="I15" s="3052"/>
    </row>
    <row r="16" spans="1:9" ht="15.6">
      <c r="A16" s="3051" t="s">
        <v>2824</v>
      </c>
      <c r="B16" s="3052"/>
      <c r="C16" s="3052"/>
      <c r="D16" s="3052"/>
      <c r="E16" s="3048" t="e">
        <f t="shared" si="2"/>
        <v>#DIV/0!</v>
      </c>
      <c r="F16" s="3048" t="e">
        <f t="shared" si="3"/>
        <v>#DIV/0!</v>
      </c>
      <c r="G16" s="3049"/>
      <c r="H16" s="3049"/>
      <c r="I16" s="3052"/>
    </row>
    <row r="17" spans="1:9" ht="15.6">
      <c r="A17" s="3051" t="s">
        <v>2825</v>
      </c>
      <c r="B17" s="3052"/>
      <c r="C17" s="3052"/>
      <c r="D17" s="3052"/>
      <c r="E17" s="3048" t="e">
        <f t="shared" si="2"/>
        <v>#DIV/0!</v>
      </c>
      <c r="F17" s="3048" t="e">
        <f t="shared" si="3"/>
        <v>#DIV/0!</v>
      </c>
      <c r="G17" s="3049"/>
      <c r="H17" s="3049"/>
      <c r="I17" s="3052"/>
    </row>
    <row r="18" spans="1:9" ht="15.6">
      <c r="A18" s="3051" t="s">
        <v>2826</v>
      </c>
      <c r="B18" s="3052"/>
      <c r="C18" s="3052"/>
      <c r="D18" s="3052"/>
      <c r="E18" s="3048" t="e">
        <f t="shared" si="2"/>
        <v>#DIV/0!</v>
      </c>
      <c r="F18" s="3048" t="e">
        <f t="shared" si="3"/>
        <v>#DIV/0!</v>
      </c>
      <c r="G18" s="3052"/>
      <c r="H18" s="3052"/>
      <c r="I18" s="3052"/>
    </row>
    <row r="19" spans="1:9" ht="15.6">
      <c r="A19" s="3051" t="s">
        <v>2827</v>
      </c>
      <c r="B19" s="3052"/>
      <c r="C19" s="3052"/>
      <c r="D19" s="3052"/>
      <c r="E19" s="3048" t="e">
        <f t="shared" si="2"/>
        <v>#DIV/0!</v>
      </c>
      <c r="F19" s="3048" t="e">
        <f t="shared" si="3"/>
        <v>#DIV/0!</v>
      </c>
      <c r="G19" s="3052"/>
      <c r="H19" s="3052"/>
      <c r="I19" s="3052"/>
    </row>
    <row r="20" spans="1:9" ht="15.6">
      <c r="A20" s="3051" t="s">
        <v>2828</v>
      </c>
      <c r="B20" s="3052"/>
      <c r="C20" s="3052"/>
      <c r="D20" s="3052"/>
      <c r="E20" s="3048" t="e">
        <f t="shared" si="2"/>
        <v>#DIV/0!</v>
      </c>
      <c r="F20" s="3048" t="e">
        <f t="shared" si="3"/>
        <v>#DIV/0!</v>
      </c>
      <c r="G20" s="3052"/>
      <c r="H20" s="3052"/>
      <c r="I20" s="3052"/>
    </row>
    <row r="21" spans="1:9" ht="15.6">
      <c r="A21" s="3051" t="s">
        <v>2829</v>
      </c>
      <c r="B21" s="3052"/>
      <c r="C21" s="3052"/>
      <c r="D21" s="3052"/>
      <c r="E21" s="3048" t="e">
        <f t="shared" si="2"/>
        <v>#DIV/0!</v>
      </c>
      <c r="F21" s="3048" t="e">
        <f t="shared" si="3"/>
        <v>#DIV/0!</v>
      </c>
      <c r="G21" s="3052"/>
      <c r="H21" s="3052"/>
      <c r="I21" s="3052"/>
    </row>
    <row r="22" spans="1:9" ht="15.6">
      <c r="A22" s="3051" t="s">
        <v>2830</v>
      </c>
      <c r="B22" s="3052"/>
      <c r="C22" s="3052"/>
      <c r="D22" s="3052"/>
      <c r="E22" s="3048" t="e">
        <f t="shared" si="2"/>
        <v>#DIV/0!</v>
      </c>
      <c r="F22" s="3048" t="e">
        <f t="shared" si="3"/>
        <v>#DIV/0!</v>
      </c>
      <c r="G22" s="3052"/>
      <c r="H22" s="3052"/>
      <c r="I22" s="3052"/>
    </row>
    <row r="23" spans="1:9" ht="15.6">
      <c r="A23" s="3051" t="s">
        <v>2831</v>
      </c>
      <c r="B23" s="3052"/>
      <c r="C23" s="3052"/>
      <c r="D23" s="3052"/>
      <c r="E23" s="3044" t="e">
        <f t="shared" si="2"/>
        <v>#DIV/0!</v>
      </c>
      <c r="F23" s="3044" t="e">
        <f t="shared" si="3"/>
        <v>#DIV/0!</v>
      </c>
      <c r="G23" s="3052"/>
      <c r="H23" s="3052"/>
      <c r="I23" s="3052"/>
    </row>
  </sheetData>
  <sheetProtection password="C66D" sheet="1" objects="1" scenarios="1"/>
  <phoneticPr fontId="23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85" zoomScaleNormal="85" workbookViewId="0">
      <pane xSplit="1" ySplit="1" topLeftCell="O2" activePane="bottomRight" state="frozen"/>
      <selection pane="topRight" activeCell="B1" sqref="B1"/>
      <selection pane="bottomLeft" activeCell="A2" sqref="A2"/>
      <selection pane="bottomRight" activeCell="AA31" sqref="AA31"/>
    </sheetView>
  </sheetViews>
  <sheetFormatPr defaultRowHeight="12"/>
  <cols>
    <col min="1" max="1" width="37.77734375" style="3186" customWidth="1"/>
    <col min="2" max="2" width="7.109375" style="3186" customWidth="1"/>
    <col min="3" max="3" width="13.33203125" style="3186" customWidth="1"/>
    <col min="4" max="4" width="7.109375" style="3186" customWidth="1"/>
    <col min="5" max="5" width="5.21875" style="3186" customWidth="1"/>
    <col min="6" max="6" width="37.109375" style="3186" customWidth="1"/>
    <col min="7" max="7" width="9" style="3186" customWidth="1"/>
    <col min="8" max="8" width="12.21875" style="3186" customWidth="1"/>
    <col min="9" max="9" width="13.6640625" style="3186" customWidth="1"/>
    <col min="10" max="11" width="15.88671875" style="3186" customWidth="1"/>
    <col min="12" max="12" width="8.6640625" style="3186" customWidth="1"/>
    <col min="13" max="13" width="9" style="3186" customWidth="1"/>
    <col min="14" max="14" width="20.33203125" style="3186" customWidth="1"/>
    <col min="15" max="15" width="20.109375" style="3186" customWidth="1"/>
    <col min="16" max="16" width="11" style="3186" hidden="1" customWidth="1"/>
    <col min="17" max="18" width="17.77734375" style="3186" hidden="1" customWidth="1"/>
    <col min="19" max="19" width="14.77734375" style="3186" hidden="1" customWidth="1"/>
    <col min="20" max="21" width="12.88671875" style="3186" hidden="1" customWidth="1"/>
    <col min="22" max="22" width="20.33203125" style="3186" hidden="1" customWidth="1"/>
    <col min="23" max="23" width="9" style="3186" customWidth="1"/>
    <col min="24" max="27" width="10.21875" style="3186" customWidth="1"/>
    <col min="28" max="28" width="22.88671875" style="3186" customWidth="1"/>
    <col min="29" max="29" width="9" style="3186" customWidth="1"/>
    <col min="30" max="30" width="26.109375" style="3186" customWidth="1"/>
    <col min="31" max="31" width="12.109375" style="3186" customWidth="1"/>
    <col min="32" max="32" width="12.109375" style="3186" hidden="1" customWidth="1"/>
    <col min="33" max="33" width="12.109375" style="3186" customWidth="1"/>
    <col min="34" max="34" width="18.21875" style="3186" hidden="1" customWidth="1"/>
    <col min="35" max="35" width="18.21875" style="3186" customWidth="1"/>
    <col min="36" max="36" width="16.33203125" style="3186" hidden="1" customWidth="1"/>
    <col min="37" max="37" width="16.33203125" style="3186" customWidth="1"/>
    <col min="38" max="39" width="25" style="3186" hidden="1" customWidth="1"/>
    <col min="40" max="40" width="7.109375" style="3186" customWidth="1"/>
    <col min="41" max="41" width="8.33203125" style="3186" customWidth="1"/>
    <col min="42" max="42" width="19.21875" style="3186" hidden="1" customWidth="1"/>
    <col min="43" max="44" width="23" style="3186" hidden="1" customWidth="1"/>
    <col min="45" max="45" width="9" style="3186" customWidth="1"/>
    <col min="46" max="256" width="8.88671875" style="3186"/>
    <col min="257" max="257" width="82.44140625" style="3186" customWidth="1"/>
    <col min="258" max="258" width="7.109375" style="3186" customWidth="1"/>
    <col min="259" max="259" width="13.33203125" style="3186" customWidth="1"/>
    <col min="260" max="260" width="7.109375" style="3186" customWidth="1"/>
    <col min="261" max="261" width="5.21875" style="3186" customWidth="1"/>
    <col min="262" max="262" width="82.44140625" style="3186" customWidth="1"/>
    <col min="263" max="263" width="9" style="3186" customWidth="1"/>
    <col min="264" max="264" width="12.21875" style="3186" customWidth="1"/>
    <col min="265" max="265" width="48.6640625" style="3186" customWidth="1"/>
    <col min="266" max="267" width="15.88671875" style="3186" customWidth="1"/>
    <col min="268" max="268" width="18.109375" style="3186" customWidth="1"/>
    <col min="269" max="269" width="9" style="3186" customWidth="1"/>
    <col min="270" max="270" width="20.33203125" style="3186" customWidth="1"/>
    <col min="271" max="271" width="20.109375" style="3186" customWidth="1"/>
    <col min="272" max="272" width="11" style="3186" customWidth="1"/>
    <col min="273" max="274" width="17.77734375" style="3186" customWidth="1"/>
    <col min="275" max="275" width="14.77734375" style="3186" customWidth="1"/>
    <col min="276" max="277" width="12.88671875" style="3186" customWidth="1"/>
    <col min="278" max="278" width="20.33203125" style="3186" customWidth="1"/>
    <col min="279" max="279" width="9" style="3186" customWidth="1"/>
    <col min="280" max="283" width="10.21875" style="3186" customWidth="1"/>
    <col min="284" max="284" width="22.88671875" style="3186" customWidth="1"/>
    <col min="285" max="285" width="9" style="3186" customWidth="1"/>
    <col min="286" max="286" width="46.109375" style="3186" customWidth="1"/>
    <col min="287" max="289" width="12.109375" style="3186" customWidth="1"/>
    <col min="290" max="291" width="18.21875" style="3186" customWidth="1"/>
    <col min="292" max="293" width="16.33203125" style="3186" customWidth="1"/>
    <col min="294" max="295" width="25" style="3186" customWidth="1"/>
    <col min="296" max="296" width="7.109375" style="3186" customWidth="1"/>
    <col min="297" max="297" width="18.44140625" style="3186" customWidth="1"/>
    <col min="298" max="298" width="19.21875" style="3186" customWidth="1"/>
    <col min="299" max="300" width="23" style="3186" customWidth="1"/>
    <col min="301" max="301" width="9" style="3186" customWidth="1"/>
    <col min="302" max="512" width="8.88671875" style="3186"/>
    <col min="513" max="513" width="82.44140625" style="3186" customWidth="1"/>
    <col min="514" max="514" width="7.109375" style="3186" customWidth="1"/>
    <col min="515" max="515" width="13.33203125" style="3186" customWidth="1"/>
    <col min="516" max="516" width="7.109375" style="3186" customWidth="1"/>
    <col min="517" max="517" width="5.21875" style="3186" customWidth="1"/>
    <col min="518" max="518" width="82.44140625" style="3186" customWidth="1"/>
    <col min="519" max="519" width="9" style="3186" customWidth="1"/>
    <col min="520" max="520" width="12.21875" style="3186" customWidth="1"/>
    <col min="521" max="521" width="48.6640625" style="3186" customWidth="1"/>
    <col min="522" max="523" width="15.88671875" style="3186" customWidth="1"/>
    <col min="524" max="524" width="18.109375" style="3186" customWidth="1"/>
    <col min="525" max="525" width="9" style="3186" customWidth="1"/>
    <col min="526" max="526" width="20.33203125" style="3186" customWidth="1"/>
    <col min="527" max="527" width="20.109375" style="3186" customWidth="1"/>
    <col min="528" max="528" width="11" style="3186" customWidth="1"/>
    <col min="529" max="530" width="17.77734375" style="3186" customWidth="1"/>
    <col min="531" max="531" width="14.77734375" style="3186" customWidth="1"/>
    <col min="532" max="533" width="12.88671875" style="3186" customWidth="1"/>
    <col min="534" max="534" width="20.33203125" style="3186" customWidth="1"/>
    <col min="535" max="535" width="9" style="3186" customWidth="1"/>
    <col min="536" max="539" width="10.21875" style="3186" customWidth="1"/>
    <col min="540" max="540" width="22.88671875" style="3186" customWidth="1"/>
    <col min="541" max="541" width="9" style="3186" customWidth="1"/>
    <col min="542" max="542" width="46.109375" style="3186" customWidth="1"/>
    <col min="543" max="545" width="12.109375" style="3186" customWidth="1"/>
    <col min="546" max="547" width="18.21875" style="3186" customWidth="1"/>
    <col min="548" max="549" width="16.33203125" style="3186" customWidth="1"/>
    <col min="550" max="551" width="25" style="3186" customWidth="1"/>
    <col min="552" max="552" width="7.109375" style="3186" customWidth="1"/>
    <col min="553" max="553" width="18.44140625" style="3186" customWidth="1"/>
    <col min="554" max="554" width="19.21875" style="3186" customWidth="1"/>
    <col min="555" max="556" width="23" style="3186" customWidth="1"/>
    <col min="557" max="557" width="9" style="3186" customWidth="1"/>
    <col min="558" max="768" width="8.88671875" style="3186"/>
    <col min="769" max="769" width="82.44140625" style="3186" customWidth="1"/>
    <col min="770" max="770" width="7.109375" style="3186" customWidth="1"/>
    <col min="771" max="771" width="13.33203125" style="3186" customWidth="1"/>
    <col min="772" max="772" width="7.109375" style="3186" customWidth="1"/>
    <col min="773" max="773" width="5.21875" style="3186" customWidth="1"/>
    <col min="774" max="774" width="82.44140625" style="3186" customWidth="1"/>
    <col min="775" max="775" width="9" style="3186" customWidth="1"/>
    <col min="776" max="776" width="12.21875" style="3186" customWidth="1"/>
    <col min="777" max="777" width="48.6640625" style="3186" customWidth="1"/>
    <col min="778" max="779" width="15.88671875" style="3186" customWidth="1"/>
    <col min="780" max="780" width="18.109375" style="3186" customWidth="1"/>
    <col min="781" max="781" width="9" style="3186" customWidth="1"/>
    <col min="782" max="782" width="20.33203125" style="3186" customWidth="1"/>
    <col min="783" max="783" width="20.109375" style="3186" customWidth="1"/>
    <col min="784" max="784" width="11" style="3186" customWidth="1"/>
    <col min="785" max="786" width="17.77734375" style="3186" customWidth="1"/>
    <col min="787" max="787" width="14.77734375" style="3186" customWidth="1"/>
    <col min="788" max="789" width="12.88671875" style="3186" customWidth="1"/>
    <col min="790" max="790" width="20.33203125" style="3186" customWidth="1"/>
    <col min="791" max="791" width="9" style="3186" customWidth="1"/>
    <col min="792" max="795" width="10.21875" style="3186" customWidth="1"/>
    <col min="796" max="796" width="22.88671875" style="3186" customWidth="1"/>
    <col min="797" max="797" width="9" style="3186" customWidth="1"/>
    <col min="798" max="798" width="46.109375" style="3186" customWidth="1"/>
    <col min="799" max="801" width="12.109375" style="3186" customWidth="1"/>
    <col min="802" max="803" width="18.21875" style="3186" customWidth="1"/>
    <col min="804" max="805" width="16.33203125" style="3186" customWidth="1"/>
    <col min="806" max="807" width="25" style="3186" customWidth="1"/>
    <col min="808" max="808" width="7.109375" style="3186" customWidth="1"/>
    <col min="809" max="809" width="18.44140625" style="3186" customWidth="1"/>
    <col min="810" max="810" width="19.21875" style="3186" customWidth="1"/>
    <col min="811" max="812" width="23" style="3186" customWidth="1"/>
    <col min="813" max="813" width="9" style="3186" customWidth="1"/>
    <col min="814" max="1024" width="8.88671875" style="3186"/>
    <col min="1025" max="1025" width="82.44140625" style="3186" customWidth="1"/>
    <col min="1026" max="1026" width="7.109375" style="3186" customWidth="1"/>
    <col min="1027" max="1027" width="13.33203125" style="3186" customWidth="1"/>
    <col min="1028" max="1028" width="7.109375" style="3186" customWidth="1"/>
    <col min="1029" max="1029" width="5.21875" style="3186" customWidth="1"/>
    <col min="1030" max="1030" width="82.44140625" style="3186" customWidth="1"/>
    <col min="1031" max="1031" width="9" style="3186" customWidth="1"/>
    <col min="1032" max="1032" width="12.21875" style="3186" customWidth="1"/>
    <col min="1033" max="1033" width="48.6640625" style="3186" customWidth="1"/>
    <col min="1034" max="1035" width="15.88671875" style="3186" customWidth="1"/>
    <col min="1036" max="1036" width="18.109375" style="3186" customWidth="1"/>
    <col min="1037" max="1037" width="9" style="3186" customWidth="1"/>
    <col min="1038" max="1038" width="20.33203125" style="3186" customWidth="1"/>
    <col min="1039" max="1039" width="20.109375" style="3186" customWidth="1"/>
    <col min="1040" max="1040" width="11" style="3186" customWidth="1"/>
    <col min="1041" max="1042" width="17.77734375" style="3186" customWidth="1"/>
    <col min="1043" max="1043" width="14.77734375" style="3186" customWidth="1"/>
    <col min="1044" max="1045" width="12.88671875" style="3186" customWidth="1"/>
    <col min="1046" max="1046" width="20.33203125" style="3186" customWidth="1"/>
    <col min="1047" max="1047" width="9" style="3186" customWidth="1"/>
    <col min="1048" max="1051" width="10.21875" style="3186" customWidth="1"/>
    <col min="1052" max="1052" width="22.88671875" style="3186" customWidth="1"/>
    <col min="1053" max="1053" width="9" style="3186" customWidth="1"/>
    <col min="1054" max="1054" width="46.109375" style="3186" customWidth="1"/>
    <col min="1055" max="1057" width="12.109375" style="3186" customWidth="1"/>
    <col min="1058" max="1059" width="18.21875" style="3186" customWidth="1"/>
    <col min="1060" max="1061" width="16.33203125" style="3186" customWidth="1"/>
    <col min="1062" max="1063" width="25" style="3186" customWidth="1"/>
    <col min="1064" max="1064" width="7.109375" style="3186" customWidth="1"/>
    <col min="1065" max="1065" width="18.44140625" style="3186" customWidth="1"/>
    <col min="1066" max="1066" width="19.21875" style="3186" customWidth="1"/>
    <col min="1067" max="1068" width="23" style="3186" customWidth="1"/>
    <col min="1069" max="1069" width="9" style="3186" customWidth="1"/>
    <col min="1070" max="1280" width="8.88671875" style="3186"/>
    <col min="1281" max="1281" width="82.44140625" style="3186" customWidth="1"/>
    <col min="1282" max="1282" width="7.109375" style="3186" customWidth="1"/>
    <col min="1283" max="1283" width="13.33203125" style="3186" customWidth="1"/>
    <col min="1284" max="1284" width="7.109375" style="3186" customWidth="1"/>
    <col min="1285" max="1285" width="5.21875" style="3186" customWidth="1"/>
    <col min="1286" max="1286" width="82.44140625" style="3186" customWidth="1"/>
    <col min="1287" max="1287" width="9" style="3186" customWidth="1"/>
    <col min="1288" max="1288" width="12.21875" style="3186" customWidth="1"/>
    <col min="1289" max="1289" width="48.6640625" style="3186" customWidth="1"/>
    <col min="1290" max="1291" width="15.88671875" style="3186" customWidth="1"/>
    <col min="1292" max="1292" width="18.109375" style="3186" customWidth="1"/>
    <col min="1293" max="1293" width="9" style="3186" customWidth="1"/>
    <col min="1294" max="1294" width="20.33203125" style="3186" customWidth="1"/>
    <col min="1295" max="1295" width="20.109375" style="3186" customWidth="1"/>
    <col min="1296" max="1296" width="11" style="3186" customWidth="1"/>
    <col min="1297" max="1298" width="17.77734375" style="3186" customWidth="1"/>
    <col min="1299" max="1299" width="14.77734375" style="3186" customWidth="1"/>
    <col min="1300" max="1301" width="12.88671875" style="3186" customWidth="1"/>
    <col min="1302" max="1302" width="20.33203125" style="3186" customWidth="1"/>
    <col min="1303" max="1303" width="9" style="3186" customWidth="1"/>
    <col min="1304" max="1307" width="10.21875" style="3186" customWidth="1"/>
    <col min="1308" max="1308" width="22.88671875" style="3186" customWidth="1"/>
    <col min="1309" max="1309" width="9" style="3186" customWidth="1"/>
    <col min="1310" max="1310" width="46.109375" style="3186" customWidth="1"/>
    <col min="1311" max="1313" width="12.109375" style="3186" customWidth="1"/>
    <col min="1314" max="1315" width="18.21875" style="3186" customWidth="1"/>
    <col min="1316" max="1317" width="16.33203125" style="3186" customWidth="1"/>
    <col min="1318" max="1319" width="25" style="3186" customWidth="1"/>
    <col min="1320" max="1320" width="7.109375" style="3186" customWidth="1"/>
    <col min="1321" max="1321" width="18.44140625" style="3186" customWidth="1"/>
    <col min="1322" max="1322" width="19.21875" style="3186" customWidth="1"/>
    <col min="1323" max="1324" width="23" style="3186" customWidth="1"/>
    <col min="1325" max="1325" width="9" style="3186" customWidth="1"/>
    <col min="1326" max="1536" width="8.88671875" style="3186"/>
    <col min="1537" max="1537" width="82.44140625" style="3186" customWidth="1"/>
    <col min="1538" max="1538" width="7.109375" style="3186" customWidth="1"/>
    <col min="1539" max="1539" width="13.33203125" style="3186" customWidth="1"/>
    <col min="1540" max="1540" width="7.109375" style="3186" customWidth="1"/>
    <col min="1541" max="1541" width="5.21875" style="3186" customWidth="1"/>
    <col min="1542" max="1542" width="82.44140625" style="3186" customWidth="1"/>
    <col min="1543" max="1543" width="9" style="3186" customWidth="1"/>
    <col min="1544" max="1544" width="12.21875" style="3186" customWidth="1"/>
    <col min="1545" max="1545" width="48.6640625" style="3186" customWidth="1"/>
    <col min="1546" max="1547" width="15.88671875" style="3186" customWidth="1"/>
    <col min="1548" max="1548" width="18.109375" style="3186" customWidth="1"/>
    <col min="1549" max="1549" width="9" style="3186" customWidth="1"/>
    <col min="1550" max="1550" width="20.33203125" style="3186" customWidth="1"/>
    <col min="1551" max="1551" width="20.109375" style="3186" customWidth="1"/>
    <col min="1552" max="1552" width="11" style="3186" customWidth="1"/>
    <col min="1553" max="1554" width="17.77734375" style="3186" customWidth="1"/>
    <col min="1555" max="1555" width="14.77734375" style="3186" customWidth="1"/>
    <col min="1556" max="1557" width="12.88671875" style="3186" customWidth="1"/>
    <col min="1558" max="1558" width="20.33203125" style="3186" customWidth="1"/>
    <col min="1559" max="1559" width="9" style="3186" customWidth="1"/>
    <col min="1560" max="1563" width="10.21875" style="3186" customWidth="1"/>
    <col min="1564" max="1564" width="22.88671875" style="3186" customWidth="1"/>
    <col min="1565" max="1565" width="9" style="3186" customWidth="1"/>
    <col min="1566" max="1566" width="46.109375" style="3186" customWidth="1"/>
    <col min="1567" max="1569" width="12.109375" style="3186" customWidth="1"/>
    <col min="1570" max="1571" width="18.21875" style="3186" customWidth="1"/>
    <col min="1572" max="1573" width="16.33203125" style="3186" customWidth="1"/>
    <col min="1574" max="1575" width="25" style="3186" customWidth="1"/>
    <col min="1576" max="1576" width="7.109375" style="3186" customWidth="1"/>
    <col min="1577" max="1577" width="18.44140625" style="3186" customWidth="1"/>
    <col min="1578" max="1578" width="19.21875" style="3186" customWidth="1"/>
    <col min="1579" max="1580" width="23" style="3186" customWidth="1"/>
    <col min="1581" max="1581" width="9" style="3186" customWidth="1"/>
    <col min="1582" max="1792" width="8.88671875" style="3186"/>
    <col min="1793" max="1793" width="82.44140625" style="3186" customWidth="1"/>
    <col min="1794" max="1794" width="7.109375" style="3186" customWidth="1"/>
    <col min="1795" max="1795" width="13.33203125" style="3186" customWidth="1"/>
    <col min="1796" max="1796" width="7.109375" style="3186" customWidth="1"/>
    <col min="1797" max="1797" width="5.21875" style="3186" customWidth="1"/>
    <col min="1798" max="1798" width="82.44140625" style="3186" customWidth="1"/>
    <col min="1799" max="1799" width="9" style="3186" customWidth="1"/>
    <col min="1800" max="1800" width="12.21875" style="3186" customWidth="1"/>
    <col min="1801" max="1801" width="48.6640625" style="3186" customWidth="1"/>
    <col min="1802" max="1803" width="15.88671875" style="3186" customWidth="1"/>
    <col min="1804" max="1804" width="18.109375" style="3186" customWidth="1"/>
    <col min="1805" max="1805" width="9" style="3186" customWidth="1"/>
    <col min="1806" max="1806" width="20.33203125" style="3186" customWidth="1"/>
    <col min="1807" max="1807" width="20.109375" style="3186" customWidth="1"/>
    <col min="1808" max="1808" width="11" style="3186" customWidth="1"/>
    <col min="1809" max="1810" width="17.77734375" style="3186" customWidth="1"/>
    <col min="1811" max="1811" width="14.77734375" style="3186" customWidth="1"/>
    <col min="1812" max="1813" width="12.88671875" style="3186" customWidth="1"/>
    <col min="1814" max="1814" width="20.33203125" style="3186" customWidth="1"/>
    <col min="1815" max="1815" width="9" style="3186" customWidth="1"/>
    <col min="1816" max="1819" width="10.21875" style="3186" customWidth="1"/>
    <col min="1820" max="1820" width="22.88671875" style="3186" customWidth="1"/>
    <col min="1821" max="1821" width="9" style="3186" customWidth="1"/>
    <col min="1822" max="1822" width="46.109375" style="3186" customWidth="1"/>
    <col min="1823" max="1825" width="12.109375" style="3186" customWidth="1"/>
    <col min="1826" max="1827" width="18.21875" style="3186" customWidth="1"/>
    <col min="1828" max="1829" width="16.33203125" style="3186" customWidth="1"/>
    <col min="1830" max="1831" width="25" style="3186" customWidth="1"/>
    <col min="1832" max="1832" width="7.109375" style="3186" customWidth="1"/>
    <col min="1833" max="1833" width="18.44140625" style="3186" customWidth="1"/>
    <col min="1834" max="1834" width="19.21875" style="3186" customWidth="1"/>
    <col min="1835" max="1836" width="23" style="3186" customWidth="1"/>
    <col min="1837" max="1837" width="9" style="3186" customWidth="1"/>
    <col min="1838" max="2048" width="8.88671875" style="3186"/>
    <col min="2049" max="2049" width="82.44140625" style="3186" customWidth="1"/>
    <col min="2050" max="2050" width="7.109375" style="3186" customWidth="1"/>
    <col min="2051" max="2051" width="13.33203125" style="3186" customWidth="1"/>
    <col min="2052" max="2052" width="7.109375" style="3186" customWidth="1"/>
    <col min="2053" max="2053" width="5.21875" style="3186" customWidth="1"/>
    <col min="2054" max="2054" width="82.44140625" style="3186" customWidth="1"/>
    <col min="2055" max="2055" width="9" style="3186" customWidth="1"/>
    <col min="2056" max="2056" width="12.21875" style="3186" customWidth="1"/>
    <col min="2057" max="2057" width="48.6640625" style="3186" customWidth="1"/>
    <col min="2058" max="2059" width="15.88671875" style="3186" customWidth="1"/>
    <col min="2060" max="2060" width="18.109375" style="3186" customWidth="1"/>
    <col min="2061" max="2061" width="9" style="3186" customWidth="1"/>
    <col min="2062" max="2062" width="20.33203125" style="3186" customWidth="1"/>
    <col min="2063" max="2063" width="20.109375" style="3186" customWidth="1"/>
    <col min="2064" max="2064" width="11" style="3186" customWidth="1"/>
    <col min="2065" max="2066" width="17.77734375" style="3186" customWidth="1"/>
    <col min="2067" max="2067" width="14.77734375" style="3186" customWidth="1"/>
    <col min="2068" max="2069" width="12.88671875" style="3186" customWidth="1"/>
    <col min="2070" max="2070" width="20.33203125" style="3186" customWidth="1"/>
    <col min="2071" max="2071" width="9" style="3186" customWidth="1"/>
    <col min="2072" max="2075" width="10.21875" style="3186" customWidth="1"/>
    <col min="2076" max="2076" width="22.88671875" style="3186" customWidth="1"/>
    <col min="2077" max="2077" width="9" style="3186" customWidth="1"/>
    <col min="2078" max="2078" width="46.109375" style="3186" customWidth="1"/>
    <col min="2079" max="2081" width="12.109375" style="3186" customWidth="1"/>
    <col min="2082" max="2083" width="18.21875" style="3186" customWidth="1"/>
    <col min="2084" max="2085" width="16.33203125" style="3186" customWidth="1"/>
    <col min="2086" max="2087" width="25" style="3186" customWidth="1"/>
    <col min="2088" max="2088" width="7.109375" style="3186" customWidth="1"/>
    <col min="2089" max="2089" width="18.44140625" style="3186" customWidth="1"/>
    <col min="2090" max="2090" width="19.21875" style="3186" customWidth="1"/>
    <col min="2091" max="2092" width="23" style="3186" customWidth="1"/>
    <col min="2093" max="2093" width="9" style="3186" customWidth="1"/>
    <col min="2094" max="2304" width="8.88671875" style="3186"/>
    <col min="2305" max="2305" width="82.44140625" style="3186" customWidth="1"/>
    <col min="2306" max="2306" width="7.109375" style="3186" customWidth="1"/>
    <col min="2307" max="2307" width="13.33203125" style="3186" customWidth="1"/>
    <col min="2308" max="2308" width="7.109375" style="3186" customWidth="1"/>
    <col min="2309" max="2309" width="5.21875" style="3186" customWidth="1"/>
    <col min="2310" max="2310" width="82.44140625" style="3186" customWidth="1"/>
    <col min="2311" max="2311" width="9" style="3186" customWidth="1"/>
    <col min="2312" max="2312" width="12.21875" style="3186" customWidth="1"/>
    <col min="2313" max="2313" width="48.6640625" style="3186" customWidth="1"/>
    <col min="2314" max="2315" width="15.88671875" style="3186" customWidth="1"/>
    <col min="2316" max="2316" width="18.109375" style="3186" customWidth="1"/>
    <col min="2317" max="2317" width="9" style="3186" customWidth="1"/>
    <col min="2318" max="2318" width="20.33203125" style="3186" customWidth="1"/>
    <col min="2319" max="2319" width="20.109375" style="3186" customWidth="1"/>
    <col min="2320" max="2320" width="11" style="3186" customWidth="1"/>
    <col min="2321" max="2322" width="17.77734375" style="3186" customWidth="1"/>
    <col min="2323" max="2323" width="14.77734375" style="3186" customWidth="1"/>
    <col min="2324" max="2325" width="12.88671875" style="3186" customWidth="1"/>
    <col min="2326" max="2326" width="20.33203125" style="3186" customWidth="1"/>
    <col min="2327" max="2327" width="9" style="3186" customWidth="1"/>
    <col min="2328" max="2331" width="10.21875" style="3186" customWidth="1"/>
    <col min="2332" max="2332" width="22.88671875" style="3186" customWidth="1"/>
    <col min="2333" max="2333" width="9" style="3186" customWidth="1"/>
    <col min="2334" max="2334" width="46.109375" style="3186" customWidth="1"/>
    <col min="2335" max="2337" width="12.109375" style="3186" customWidth="1"/>
    <col min="2338" max="2339" width="18.21875" style="3186" customWidth="1"/>
    <col min="2340" max="2341" width="16.33203125" style="3186" customWidth="1"/>
    <col min="2342" max="2343" width="25" style="3186" customWidth="1"/>
    <col min="2344" max="2344" width="7.109375" style="3186" customWidth="1"/>
    <col min="2345" max="2345" width="18.44140625" style="3186" customWidth="1"/>
    <col min="2346" max="2346" width="19.21875" style="3186" customWidth="1"/>
    <col min="2347" max="2348" width="23" style="3186" customWidth="1"/>
    <col min="2349" max="2349" width="9" style="3186" customWidth="1"/>
    <col min="2350" max="2560" width="8.88671875" style="3186"/>
    <col min="2561" max="2561" width="82.44140625" style="3186" customWidth="1"/>
    <col min="2562" max="2562" width="7.109375" style="3186" customWidth="1"/>
    <col min="2563" max="2563" width="13.33203125" style="3186" customWidth="1"/>
    <col min="2564" max="2564" width="7.109375" style="3186" customWidth="1"/>
    <col min="2565" max="2565" width="5.21875" style="3186" customWidth="1"/>
    <col min="2566" max="2566" width="82.44140625" style="3186" customWidth="1"/>
    <col min="2567" max="2567" width="9" style="3186" customWidth="1"/>
    <col min="2568" max="2568" width="12.21875" style="3186" customWidth="1"/>
    <col min="2569" max="2569" width="48.6640625" style="3186" customWidth="1"/>
    <col min="2570" max="2571" width="15.88671875" style="3186" customWidth="1"/>
    <col min="2572" max="2572" width="18.109375" style="3186" customWidth="1"/>
    <col min="2573" max="2573" width="9" style="3186" customWidth="1"/>
    <col min="2574" max="2574" width="20.33203125" style="3186" customWidth="1"/>
    <col min="2575" max="2575" width="20.109375" style="3186" customWidth="1"/>
    <col min="2576" max="2576" width="11" style="3186" customWidth="1"/>
    <col min="2577" max="2578" width="17.77734375" style="3186" customWidth="1"/>
    <col min="2579" max="2579" width="14.77734375" style="3186" customWidth="1"/>
    <col min="2580" max="2581" width="12.88671875" style="3186" customWidth="1"/>
    <col min="2582" max="2582" width="20.33203125" style="3186" customWidth="1"/>
    <col min="2583" max="2583" width="9" style="3186" customWidth="1"/>
    <col min="2584" max="2587" width="10.21875" style="3186" customWidth="1"/>
    <col min="2588" max="2588" width="22.88671875" style="3186" customWidth="1"/>
    <col min="2589" max="2589" width="9" style="3186" customWidth="1"/>
    <col min="2590" max="2590" width="46.109375" style="3186" customWidth="1"/>
    <col min="2591" max="2593" width="12.109375" style="3186" customWidth="1"/>
    <col min="2594" max="2595" width="18.21875" style="3186" customWidth="1"/>
    <col min="2596" max="2597" width="16.33203125" style="3186" customWidth="1"/>
    <col min="2598" max="2599" width="25" style="3186" customWidth="1"/>
    <col min="2600" max="2600" width="7.109375" style="3186" customWidth="1"/>
    <col min="2601" max="2601" width="18.44140625" style="3186" customWidth="1"/>
    <col min="2602" max="2602" width="19.21875" style="3186" customWidth="1"/>
    <col min="2603" max="2604" width="23" style="3186" customWidth="1"/>
    <col min="2605" max="2605" width="9" style="3186" customWidth="1"/>
    <col min="2606" max="2816" width="8.88671875" style="3186"/>
    <col min="2817" max="2817" width="82.44140625" style="3186" customWidth="1"/>
    <col min="2818" max="2818" width="7.109375" style="3186" customWidth="1"/>
    <col min="2819" max="2819" width="13.33203125" style="3186" customWidth="1"/>
    <col min="2820" max="2820" width="7.109375" style="3186" customWidth="1"/>
    <col min="2821" max="2821" width="5.21875" style="3186" customWidth="1"/>
    <col min="2822" max="2822" width="82.44140625" style="3186" customWidth="1"/>
    <col min="2823" max="2823" width="9" style="3186" customWidth="1"/>
    <col min="2824" max="2824" width="12.21875" style="3186" customWidth="1"/>
    <col min="2825" max="2825" width="48.6640625" style="3186" customWidth="1"/>
    <col min="2826" max="2827" width="15.88671875" style="3186" customWidth="1"/>
    <col min="2828" max="2828" width="18.109375" style="3186" customWidth="1"/>
    <col min="2829" max="2829" width="9" style="3186" customWidth="1"/>
    <col min="2830" max="2830" width="20.33203125" style="3186" customWidth="1"/>
    <col min="2831" max="2831" width="20.109375" style="3186" customWidth="1"/>
    <col min="2832" max="2832" width="11" style="3186" customWidth="1"/>
    <col min="2833" max="2834" width="17.77734375" style="3186" customWidth="1"/>
    <col min="2835" max="2835" width="14.77734375" style="3186" customWidth="1"/>
    <col min="2836" max="2837" width="12.88671875" style="3186" customWidth="1"/>
    <col min="2838" max="2838" width="20.33203125" style="3186" customWidth="1"/>
    <col min="2839" max="2839" width="9" style="3186" customWidth="1"/>
    <col min="2840" max="2843" width="10.21875" style="3186" customWidth="1"/>
    <col min="2844" max="2844" width="22.88671875" style="3186" customWidth="1"/>
    <col min="2845" max="2845" width="9" style="3186" customWidth="1"/>
    <col min="2846" max="2846" width="46.109375" style="3186" customWidth="1"/>
    <col min="2847" max="2849" width="12.109375" style="3186" customWidth="1"/>
    <col min="2850" max="2851" width="18.21875" style="3186" customWidth="1"/>
    <col min="2852" max="2853" width="16.33203125" style="3186" customWidth="1"/>
    <col min="2854" max="2855" width="25" style="3186" customWidth="1"/>
    <col min="2856" max="2856" width="7.109375" style="3186" customWidth="1"/>
    <col min="2857" max="2857" width="18.44140625" style="3186" customWidth="1"/>
    <col min="2858" max="2858" width="19.21875" style="3186" customWidth="1"/>
    <col min="2859" max="2860" width="23" style="3186" customWidth="1"/>
    <col min="2861" max="2861" width="9" style="3186" customWidth="1"/>
    <col min="2862" max="3072" width="8.88671875" style="3186"/>
    <col min="3073" max="3073" width="82.44140625" style="3186" customWidth="1"/>
    <col min="3074" max="3074" width="7.109375" style="3186" customWidth="1"/>
    <col min="3075" max="3075" width="13.33203125" style="3186" customWidth="1"/>
    <col min="3076" max="3076" width="7.109375" style="3186" customWidth="1"/>
    <col min="3077" max="3077" width="5.21875" style="3186" customWidth="1"/>
    <col min="3078" max="3078" width="82.44140625" style="3186" customWidth="1"/>
    <col min="3079" max="3079" width="9" style="3186" customWidth="1"/>
    <col min="3080" max="3080" width="12.21875" style="3186" customWidth="1"/>
    <col min="3081" max="3081" width="48.6640625" style="3186" customWidth="1"/>
    <col min="3082" max="3083" width="15.88671875" style="3186" customWidth="1"/>
    <col min="3084" max="3084" width="18.109375" style="3186" customWidth="1"/>
    <col min="3085" max="3085" width="9" style="3186" customWidth="1"/>
    <col min="3086" max="3086" width="20.33203125" style="3186" customWidth="1"/>
    <col min="3087" max="3087" width="20.109375" style="3186" customWidth="1"/>
    <col min="3088" max="3088" width="11" style="3186" customWidth="1"/>
    <col min="3089" max="3090" width="17.77734375" style="3186" customWidth="1"/>
    <col min="3091" max="3091" width="14.77734375" style="3186" customWidth="1"/>
    <col min="3092" max="3093" width="12.88671875" style="3186" customWidth="1"/>
    <col min="3094" max="3094" width="20.33203125" style="3186" customWidth="1"/>
    <col min="3095" max="3095" width="9" style="3186" customWidth="1"/>
    <col min="3096" max="3099" width="10.21875" style="3186" customWidth="1"/>
    <col min="3100" max="3100" width="22.88671875" style="3186" customWidth="1"/>
    <col min="3101" max="3101" width="9" style="3186" customWidth="1"/>
    <col min="3102" max="3102" width="46.109375" style="3186" customWidth="1"/>
    <col min="3103" max="3105" width="12.109375" style="3186" customWidth="1"/>
    <col min="3106" max="3107" width="18.21875" style="3186" customWidth="1"/>
    <col min="3108" max="3109" width="16.33203125" style="3186" customWidth="1"/>
    <col min="3110" max="3111" width="25" style="3186" customWidth="1"/>
    <col min="3112" max="3112" width="7.109375" style="3186" customWidth="1"/>
    <col min="3113" max="3113" width="18.44140625" style="3186" customWidth="1"/>
    <col min="3114" max="3114" width="19.21875" style="3186" customWidth="1"/>
    <col min="3115" max="3116" width="23" style="3186" customWidth="1"/>
    <col min="3117" max="3117" width="9" style="3186" customWidth="1"/>
    <col min="3118" max="3328" width="8.88671875" style="3186"/>
    <col min="3329" max="3329" width="82.44140625" style="3186" customWidth="1"/>
    <col min="3330" max="3330" width="7.109375" style="3186" customWidth="1"/>
    <col min="3331" max="3331" width="13.33203125" style="3186" customWidth="1"/>
    <col min="3332" max="3332" width="7.109375" style="3186" customWidth="1"/>
    <col min="3333" max="3333" width="5.21875" style="3186" customWidth="1"/>
    <col min="3334" max="3334" width="82.44140625" style="3186" customWidth="1"/>
    <col min="3335" max="3335" width="9" style="3186" customWidth="1"/>
    <col min="3336" max="3336" width="12.21875" style="3186" customWidth="1"/>
    <col min="3337" max="3337" width="48.6640625" style="3186" customWidth="1"/>
    <col min="3338" max="3339" width="15.88671875" style="3186" customWidth="1"/>
    <col min="3340" max="3340" width="18.109375" style="3186" customWidth="1"/>
    <col min="3341" max="3341" width="9" style="3186" customWidth="1"/>
    <col min="3342" max="3342" width="20.33203125" style="3186" customWidth="1"/>
    <col min="3343" max="3343" width="20.109375" style="3186" customWidth="1"/>
    <col min="3344" max="3344" width="11" style="3186" customWidth="1"/>
    <col min="3345" max="3346" width="17.77734375" style="3186" customWidth="1"/>
    <col min="3347" max="3347" width="14.77734375" style="3186" customWidth="1"/>
    <col min="3348" max="3349" width="12.88671875" style="3186" customWidth="1"/>
    <col min="3350" max="3350" width="20.33203125" style="3186" customWidth="1"/>
    <col min="3351" max="3351" width="9" style="3186" customWidth="1"/>
    <col min="3352" max="3355" width="10.21875" style="3186" customWidth="1"/>
    <col min="3356" max="3356" width="22.88671875" style="3186" customWidth="1"/>
    <col min="3357" max="3357" width="9" style="3186" customWidth="1"/>
    <col min="3358" max="3358" width="46.109375" style="3186" customWidth="1"/>
    <col min="3359" max="3361" width="12.109375" style="3186" customWidth="1"/>
    <col min="3362" max="3363" width="18.21875" style="3186" customWidth="1"/>
    <col min="3364" max="3365" width="16.33203125" style="3186" customWidth="1"/>
    <col min="3366" max="3367" width="25" style="3186" customWidth="1"/>
    <col min="3368" max="3368" width="7.109375" style="3186" customWidth="1"/>
    <col min="3369" max="3369" width="18.44140625" style="3186" customWidth="1"/>
    <col min="3370" max="3370" width="19.21875" style="3186" customWidth="1"/>
    <col min="3371" max="3372" width="23" style="3186" customWidth="1"/>
    <col min="3373" max="3373" width="9" style="3186" customWidth="1"/>
    <col min="3374" max="3584" width="8.88671875" style="3186"/>
    <col min="3585" max="3585" width="82.44140625" style="3186" customWidth="1"/>
    <col min="3586" max="3586" width="7.109375" style="3186" customWidth="1"/>
    <col min="3587" max="3587" width="13.33203125" style="3186" customWidth="1"/>
    <col min="3588" max="3588" width="7.109375" style="3186" customWidth="1"/>
    <col min="3589" max="3589" width="5.21875" style="3186" customWidth="1"/>
    <col min="3590" max="3590" width="82.44140625" style="3186" customWidth="1"/>
    <col min="3591" max="3591" width="9" style="3186" customWidth="1"/>
    <col min="3592" max="3592" width="12.21875" style="3186" customWidth="1"/>
    <col min="3593" max="3593" width="48.6640625" style="3186" customWidth="1"/>
    <col min="3594" max="3595" width="15.88671875" style="3186" customWidth="1"/>
    <col min="3596" max="3596" width="18.109375" style="3186" customWidth="1"/>
    <col min="3597" max="3597" width="9" style="3186" customWidth="1"/>
    <col min="3598" max="3598" width="20.33203125" style="3186" customWidth="1"/>
    <col min="3599" max="3599" width="20.109375" style="3186" customWidth="1"/>
    <col min="3600" max="3600" width="11" style="3186" customWidth="1"/>
    <col min="3601" max="3602" width="17.77734375" style="3186" customWidth="1"/>
    <col min="3603" max="3603" width="14.77734375" style="3186" customWidth="1"/>
    <col min="3604" max="3605" width="12.88671875" style="3186" customWidth="1"/>
    <col min="3606" max="3606" width="20.33203125" style="3186" customWidth="1"/>
    <col min="3607" max="3607" width="9" style="3186" customWidth="1"/>
    <col min="3608" max="3611" width="10.21875" style="3186" customWidth="1"/>
    <col min="3612" max="3612" width="22.88671875" style="3186" customWidth="1"/>
    <col min="3613" max="3613" width="9" style="3186" customWidth="1"/>
    <col min="3614" max="3614" width="46.109375" style="3186" customWidth="1"/>
    <col min="3615" max="3617" width="12.109375" style="3186" customWidth="1"/>
    <col min="3618" max="3619" width="18.21875" style="3186" customWidth="1"/>
    <col min="3620" max="3621" width="16.33203125" style="3186" customWidth="1"/>
    <col min="3622" max="3623" width="25" style="3186" customWidth="1"/>
    <col min="3624" max="3624" width="7.109375" style="3186" customWidth="1"/>
    <col min="3625" max="3625" width="18.44140625" style="3186" customWidth="1"/>
    <col min="3626" max="3626" width="19.21875" style="3186" customWidth="1"/>
    <col min="3627" max="3628" width="23" style="3186" customWidth="1"/>
    <col min="3629" max="3629" width="9" style="3186" customWidth="1"/>
    <col min="3630" max="3840" width="8.88671875" style="3186"/>
    <col min="3841" max="3841" width="82.44140625" style="3186" customWidth="1"/>
    <col min="3842" max="3842" width="7.109375" style="3186" customWidth="1"/>
    <col min="3843" max="3843" width="13.33203125" style="3186" customWidth="1"/>
    <col min="3844" max="3844" width="7.109375" style="3186" customWidth="1"/>
    <col min="3845" max="3845" width="5.21875" style="3186" customWidth="1"/>
    <col min="3846" max="3846" width="82.44140625" style="3186" customWidth="1"/>
    <col min="3847" max="3847" width="9" style="3186" customWidth="1"/>
    <col min="3848" max="3848" width="12.21875" style="3186" customWidth="1"/>
    <col min="3849" max="3849" width="48.6640625" style="3186" customWidth="1"/>
    <col min="3850" max="3851" width="15.88671875" style="3186" customWidth="1"/>
    <col min="3852" max="3852" width="18.109375" style="3186" customWidth="1"/>
    <col min="3853" max="3853" width="9" style="3186" customWidth="1"/>
    <col min="3854" max="3854" width="20.33203125" style="3186" customWidth="1"/>
    <col min="3855" max="3855" width="20.109375" style="3186" customWidth="1"/>
    <col min="3856" max="3856" width="11" style="3186" customWidth="1"/>
    <col min="3857" max="3858" width="17.77734375" style="3186" customWidth="1"/>
    <col min="3859" max="3859" width="14.77734375" style="3186" customWidth="1"/>
    <col min="3860" max="3861" width="12.88671875" style="3186" customWidth="1"/>
    <col min="3862" max="3862" width="20.33203125" style="3186" customWidth="1"/>
    <col min="3863" max="3863" width="9" style="3186" customWidth="1"/>
    <col min="3864" max="3867" width="10.21875" style="3186" customWidth="1"/>
    <col min="3868" max="3868" width="22.88671875" style="3186" customWidth="1"/>
    <col min="3869" max="3869" width="9" style="3186" customWidth="1"/>
    <col min="3870" max="3870" width="46.109375" style="3186" customWidth="1"/>
    <col min="3871" max="3873" width="12.109375" style="3186" customWidth="1"/>
    <col min="3874" max="3875" width="18.21875" style="3186" customWidth="1"/>
    <col min="3876" max="3877" width="16.33203125" style="3186" customWidth="1"/>
    <col min="3878" max="3879" width="25" style="3186" customWidth="1"/>
    <col min="3880" max="3880" width="7.109375" style="3186" customWidth="1"/>
    <col min="3881" max="3881" width="18.44140625" style="3186" customWidth="1"/>
    <col min="3882" max="3882" width="19.21875" style="3186" customWidth="1"/>
    <col min="3883" max="3884" width="23" style="3186" customWidth="1"/>
    <col min="3885" max="3885" width="9" style="3186" customWidth="1"/>
    <col min="3886" max="4096" width="8.88671875" style="3186"/>
    <col min="4097" max="4097" width="82.44140625" style="3186" customWidth="1"/>
    <col min="4098" max="4098" width="7.109375" style="3186" customWidth="1"/>
    <col min="4099" max="4099" width="13.33203125" style="3186" customWidth="1"/>
    <col min="4100" max="4100" width="7.109375" style="3186" customWidth="1"/>
    <col min="4101" max="4101" width="5.21875" style="3186" customWidth="1"/>
    <col min="4102" max="4102" width="82.44140625" style="3186" customWidth="1"/>
    <col min="4103" max="4103" width="9" style="3186" customWidth="1"/>
    <col min="4104" max="4104" width="12.21875" style="3186" customWidth="1"/>
    <col min="4105" max="4105" width="48.6640625" style="3186" customWidth="1"/>
    <col min="4106" max="4107" width="15.88671875" style="3186" customWidth="1"/>
    <col min="4108" max="4108" width="18.109375" style="3186" customWidth="1"/>
    <col min="4109" max="4109" width="9" style="3186" customWidth="1"/>
    <col min="4110" max="4110" width="20.33203125" style="3186" customWidth="1"/>
    <col min="4111" max="4111" width="20.109375" style="3186" customWidth="1"/>
    <col min="4112" max="4112" width="11" style="3186" customWidth="1"/>
    <col min="4113" max="4114" width="17.77734375" style="3186" customWidth="1"/>
    <col min="4115" max="4115" width="14.77734375" style="3186" customWidth="1"/>
    <col min="4116" max="4117" width="12.88671875" style="3186" customWidth="1"/>
    <col min="4118" max="4118" width="20.33203125" style="3186" customWidth="1"/>
    <col min="4119" max="4119" width="9" style="3186" customWidth="1"/>
    <col min="4120" max="4123" width="10.21875" style="3186" customWidth="1"/>
    <col min="4124" max="4124" width="22.88671875" style="3186" customWidth="1"/>
    <col min="4125" max="4125" width="9" style="3186" customWidth="1"/>
    <col min="4126" max="4126" width="46.109375" style="3186" customWidth="1"/>
    <col min="4127" max="4129" width="12.109375" style="3186" customWidth="1"/>
    <col min="4130" max="4131" width="18.21875" style="3186" customWidth="1"/>
    <col min="4132" max="4133" width="16.33203125" style="3186" customWidth="1"/>
    <col min="4134" max="4135" width="25" style="3186" customWidth="1"/>
    <col min="4136" max="4136" width="7.109375" style="3186" customWidth="1"/>
    <col min="4137" max="4137" width="18.44140625" style="3186" customWidth="1"/>
    <col min="4138" max="4138" width="19.21875" style="3186" customWidth="1"/>
    <col min="4139" max="4140" width="23" style="3186" customWidth="1"/>
    <col min="4141" max="4141" width="9" style="3186" customWidth="1"/>
    <col min="4142" max="4352" width="8.88671875" style="3186"/>
    <col min="4353" max="4353" width="82.44140625" style="3186" customWidth="1"/>
    <col min="4354" max="4354" width="7.109375" style="3186" customWidth="1"/>
    <col min="4355" max="4355" width="13.33203125" style="3186" customWidth="1"/>
    <col min="4356" max="4356" width="7.109375" style="3186" customWidth="1"/>
    <col min="4357" max="4357" width="5.21875" style="3186" customWidth="1"/>
    <col min="4358" max="4358" width="82.44140625" style="3186" customWidth="1"/>
    <col min="4359" max="4359" width="9" style="3186" customWidth="1"/>
    <col min="4360" max="4360" width="12.21875" style="3186" customWidth="1"/>
    <col min="4361" max="4361" width="48.6640625" style="3186" customWidth="1"/>
    <col min="4362" max="4363" width="15.88671875" style="3186" customWidth="1"/>
    <col min="4364" max="4364" width="18.109375" style="3186" customWidth="1"/>
    <col min="4365" max="4365" width="9" style="3186" customWidth="1"/>
    <col min="4366" max="4366" width="20.33203125" style="3186" customWidth="1"/>
    <col min="4367" max="4367" width="20.109375" style="3186" customWidth="1"/>
    <col min="4368" max="4368" width="11" style="3186" customWidth="1"/>
    <col min="4369" max="4370" width="17.77734375" style="3186" customWidth="1"/>
    <col min="4371" max="4371" width="14.77734375" style="3186" customWidth="1"/>
    <col min="4372" max="4373" width="12.88671875" style="3186" customWidth="1"/>
    <col min="4374" max="4374" width="20.33203125" style="3186" customWidth="1"/>
    <col min="4375" max="4375" width="9" style="3186" customWidth="1"/>
    <col min="4376" max="4379" width="10.21875" style="3186" customWidth="1"/>
    <col min="4380" max="4380" width="22.88671875" style="3186" customWidth="1"/>
    <col min="4381" max="4381" width="9" style="3186" customWidth="1"/>
    <col min="4382" max="4382" width="46.109375" style="3186" customWidth="1"/>
    <col min="4383" max="4385" width="12.109375" style="3186" customWidth="1"/>
    <col min="4386" max="4387" width="18.21875" style="3186" customWidth="1"/>
    <col min="4388" max="4389" width="16.33203125" style="3186" customWidth="1"/>
    <col min="4390" max="4391" width="25" style="3186" customWidth="1"/>
    <col min="4392" max="4392" width="7.109375" style="3186" customWidth="1"/>
    <col min="4393" max="4393" width="18.44140625" style="3186" customWidth="1"/>
    <col min="4394" max="4394" width="19.21875" style="3186" customWidth="1"/>
    <col min="4395" max="4396" width="23" style="3186" customWidth="1"/>
    <col min="4397" max="4397" width="9" style="3186" customWidth="1"/>
    <col min="4398" max="4608" width="8.88671875" style="3186"/>
    <col min="4609" max="4609" width="82.44140625" style="3186" customWidth="1"/>
    <col min="4610" max="4610" width="7.109375" style="3186" customWidth="1"/>
    <col min="4611" max="4611" width="13.33203125" style="3186" customWidth="1"/>
    <col min="4612" max="4612" width="7.109375" style="3186" customWidth="1"/>
    <col min="4613" max="4613" width="5.21875" style="3186" customWidth="1"/>
    <col min="4614" max="4614" width="82.44140625" style="3186" customWidth="1"/>
    <col min="4615" max="4615" width="9" style="3186" customWidth="1"/>
    <col min="4616" max="4616" width="12.21875" style="3186" customWidth="1"/>
    <col min="4617" max="4617" width="48.6640625" style="3186" customWidth="1"/>
    <col min="4618" max="4619" width="15.88671875" style="3186" customWidth="1"/>
    <col min="4620" max="4620" width="18.109375" style="3186" customWidth="1"/>
    <col min="4621" max="4621" width="9" style="3186" customWidth="1"/>
    <col min="4622" max="4622" width="20.33203125" style="3186" customWidth="1"/>
    <col min="4623" max="4623" width="20.109375" style="3186" customWidth="1"/>
    <col min="4624" max="4624" width="11" style="3186" customWidth="1"/>
    <col min="4625" max="4626" width="17.77734375" style="3186" customWidth="1"/>
    <col min="4627" max="4627" width="14.77734375" style="3186" customWidth="1"/>
    <col min="4628" max="4629" width="12.88671875" style="3186" customWidth="1"/>
    <col min="4630" max="4630" width="20.33203125" style="3186" customWidth="1"/>
    <col min="4631" max="4631" width="9" style="3186" customWidth="1"/>
    <col min="4632" max="4635" width="10.21875" style="3186" customWidth="1"/>
    <col min="4636" max="4636" width="22.88671875" style="3186" customWidth="1"/>
    <col min="4637" max="4637" width="9" style="3186" customWidth="1"/>
    <col min="4638" max="4638" width="46.109375" style="3186" customWidth="1"/>
    <col min="4639" max="4641" width="12.109375" style="3186" customWidth="1"/>
    <col min="4642" max="4643" width="18.21875" style="3186" customWidth="1"/>
    <col min="4644" max="4645" width="16.33203125" style="3186" customWidth="1"/>
    <col min="4646" max="4647" width="25" style="3186" customWidth="1"/>
    <col min="4648" max="4648" width="7.109375" style="3186" customWidth="1"/>
    <col min="4649" max="4649" width="18.44140625" style="3186" customWidth="1"/>
    <col min="4650" max="4650" width="19.21875" style="3186" customWidth="1"/>
    <col min="4651" max="4652" width="23" style="3186" customWidth="1"/>
    <col min="4653" max="4653" width="9" style="3186" customWidth="1"/>
    <col min="4654" max="4864" width="8.88671875" style="3186"/>
    <col min="4865" max="4865" width="82.44140625" style="3186" customWidth="1"/>
    <col min="4866" max="4866" width="7.109375" style="3186" customWidth="1"/>
    <col min="4867" max="4867" width="13.33203125" style="3186" customWidth="1"/>
    <col min="4868" max="4868" width="7.109375" style="3186" customWidth="1"/>
    <col min="4869" max="4869" width="5.21875" style="3186" customWidth="1"/>
    <col min="4870" max="4870" width="82.44140625" style="3186" customWidth="1"/>
    <col min="4871" max="4871" width="9" style="3186" customWidth="1"/>
    <col min="4872" max="4872" width="12.21875" style="3186" customWidth="1"/>
    <col min="4873" max="4873" width="48.6640625" style="3186" customWidth="1"/>
    <col min="4874" max="4875" width="15.88671875" style="3186" customWidth="1"/>
    <col min="4876" max="4876" width="18.109375" style="3186" customWidth="1"/>
    <col min="4877" max="4877" width="9" style="3186" customWidth="1"/>
    <col min="4878" max="4878" width="20.33203125" style="3186" customWidth="1"/>
    <col min="4879" max="4879" width="20.109375" style="3186" customWidth="1"/>
    <col min="4880" max="4880" width="11" style="3186" customWidth="1"/>
    <col min="4881" max="4882" width="17.77734375" style="3186" customWidth="1"/>
    <col min="4883" max="4883" width="14.77734375" style="3186" customWidth="1"/>
    <col min="4884" max="4885" width="12.88671875" style="3186" customWidth="1"/>
    <col min="4886" max="4886" width="20.33203125" style="3186" customWidth="1"/>
    <col min="4887" max="4887" width="9" style="3186" customWidth="1"/>
    <col min="4888" max="4891" width="10.21875" style="3186" customWidth="1"/>
    <col min="4892" max="4892" width="22.88671875" style="3186" customWidth="1"/>
    <col min="4893" max="4893" width="9" style="3186" customWidth="1"/>
    <col min="4894" max="4894" width="46.109375" style="3186" customWidth="1"/>
    <col min="4895" max="4897" width="12.109375" style="3186" customWidth="1"/>
    <col min="4898" max="4899" width="18.21875" style="3186" customWidth="1"/>
    <col min="4900" max="4901" width="16.33203125" style="3186" customWidth="1"/>
    <col min="4902" max="4903" width="25" style="3186" customWidth="1"/>
    <col min="4904" max="4904" width="7.109375" style="3186" customWidth="1"/>
    <col min="4905" max="4905" width="18.44140625" style="3186" customWidth="1"/>
    <col min="4906" max="4906" width="19.21875" style="3186" customWidth="1"/>
    <col min="4907" max="4908" width="23" style="3186" customWidth="1"/>
    <col min="4909" max="4909" width="9" style="3186" customWidth="1"/>
    <col min="4910" max="5120" width="8.88671875" style="3186"/>
    <col min="5121" max="5121" width="82.44140625" style="3186" customWidth="1"/>
    <col min="5122" max="5122" width="7.109375" style="3186" customWidth="1"/>
    <col min="5123" max="5123" width="13.33203125" style="3186" customWidth="1"/>
    <col min="5124" max="5124" width="7.109375" style="3186" customWidth="1"/>
    <col min="5125" max="5125" width="5.21875" style="3186" customWidth="1"/>
    <col min="5126" max="5126" width="82.44140625" style="3186" customWidth="1"/>
    <col min="5127" max="5127" width="9" style="3186" customWidth="1"/>
    <col min="5128" max="5128" width="12.21875" style="3186" customWidth="1"/>
    <col min="5129" max="5129" width="48.6640625" style="3186" customWidth="1"/>
    <col min="5130" max="5131" width="15.88671875" style="3186" customWidth="1"/>
    <col min="5132" max="5132" width="18.109375" style="3186" customWidth="1"/>
    <col min="5133" max="5133" width="9" style="3186" customWidth="1"/>
    <col min="5134" max="5134" width="20.33203125" style="3186" customWidth="1"/>
    <col min="5135" max="5135" width="20.109375" style="3186" customWidth="1"/>
    <col min="5136" max="5136" width="11" style="3186" customWidth="1"/>
    <col min="5137" max="5138" width="17.77734375" style="3186" customWidth="1"/>
    <col min="5139" max="5139" width="14.77734375" style="3186" customWidth="1"/>
    <col min="5140" max="5141" width="12.88671875" style="3186" customWidth="1"/>
    <col min="5142" max="5142" width="20.33203125" style="3186" customWidth="1"/>
    <col min="5143" max="5143" width="9" style="3186" customWidth="1"/>
    <col min="5144" max="5147" width="10.21875" style="3186" customWidth="1"/>
    <col min="5148" max="5148" width="22.88671875" style="3186" customWidth="1"/>
    <col min="5149" max="5149" width="9" style="3186" customWidth="1"/>
    <col min="5150" max="5150" width="46.109375" style="3186" customWidth="1"/>
    <col min="5151" max="5153" width="12.109375" style="3186" customWidth="1"/>
    <col min="5154" max="5155" width="18.21875" style="3186" customWidth="1"/>
    <col min="5156" max="5157" width="16.33203125" style="3186" customWidth="1"/>
    <col min="5158" max="5159" width="25" style="3186" customWidth="1"/>
    <col min="5160" max="5160" width="7.109375" style="3186" customWidth="1"/>
    <col min="5161" max="5161" width="18.44140625" style="3186" customWidth="1"/>
    <col min="5162" max="5162" width="19.21875" style="3186" customWidth="1"/>
    <col min="5163" max="5164" width="23" style="3186" customWidth="1"/>
    <col min="5165" max="5165" width="9" style="3186" customWidth="1"/>
    <col min="5166" max="5376" width="8.88671875" style="3186"/>
    <col min="5377" max="5377" width="82.44140625" style="3186" customWidth="1"/>
    <col min="5378" max="5378" width="7.109375" style="3186" customWidth="1"/>
    <col min="5379" max="5379" width="13.33203125" style="3186" customWidth="1"/>
    <col min="5380" max="5380" width="7.109375" style="3186" customWidth="1"/>
    <col min="5381" max="5381" width="5.21875" style="3186" customWidth="1"/>
    <col min="5382" max="5382" width="82.44140625" style="3186" customWidth="1"/>
    <col min="5383" max="5383" width="9" style="3186" customWidth="1"/>
    <col min="5384" max="5384" width="12.21875" style="3186" customWidth="1"/>
    <col min="5385" max="5385" width="48.6640625" style="3186" customWidth="1"/>
    <col min="5386" max="5387" width="15.88671875" style="3186" customWidth="1"/>
    <col min="5388" max="5388" width="18.109375" style="3186" customWidth="1"/>
    <col min="5389" max="5389" width="9" style="3186" customWidth="1"/>
    <col min="5390" max="5390" width="20.33203125" style="3186" customWidth="1"/>
    <col min="5391" max="5391" width="20.109375" style="3186" customWidth="1"/>
    <col min="5392" max="5392" width="11" style="3186" customWidth="1"/>
    <col min="5393" max="5394" width="17.77734375" style="3186" customWidth="1"/>
    <col min="5395" max="5395" width="14.77734375" style="3186" customWidth="1"/>
    <col min="5396" max="5397" width="12.88671875" style="3186" customWidth="1"/>
    <col min="5398" max="5398" width="20.33203125" style="3186" customWidth="1"/>
    <col min="5399" max="5399" width="9" style="3186" customWidth="1"/>
    <col min="5400" max="5403" width="10.21875" style="3186" customWidth="1"/>
    <col min="5404" max="5404" width="22.88671875" style="3186" customWidth="1"/>
    <col min="5405" max="5405" width="9" style="3186" customWidth="1"/>
    <col min="5406" max="5406" width="46.109375" style="3186" customWidth="1"/>
    <col min="5407" max="5409" width="12.109375" style="3186" customWidth="1"/>
    <col min="5410" max="5411" width="18.21875" style="3186" customWidth="1"/>
    <col min="5412" max="5413" width="16.33203125" style="3186" customWidth="1"/>
    <col min="5414" max="5415" width="25" style="3186" customWidth="1"/>
    <col min="5416" max="5416" width="7.109375" style="3186" customWidth="1"/>
    <col min="5417" max="5417" width="18.44140625" style="3186" customWidth="1"/>
    <col min="5418" max="5418" width="19.21875" style="3186" customWidth="1"/>
    <col min="5419" max="5420" width="23" style="3186" customWidth="1"/>
    <col min="5421" max="5421" width="9" style="3186" customWidth="1"/>
    <col min="5422" max="5632" width="8.88671875" style="3186"/>
    <col min="5633" max="5633" width="82.44140625" style="3186" customWidth="1"/>
    <col min="5634" max="5634" width="7.109375" style="3186" customWidth="1"/>
    <col min="5635" max="5635" width="13.33203125" style="3186" customWidth="1"/>
    <col min="5636" max="5636" width="7.109375" style="3186" customWidth="1"/>
    <col min="5637" max="5637" width="5.21875" style="3186" customWidth="1"/>
    <col min="5638" max="5638" width="82.44140625" style="3186" customWidth="1"/>
    <col min="5639" max="5639" width="9" style="3186" customWidth="1"/>
    <col min="5640" max="5640" width="12.21875" style="3186" customWidth="1"/>
    <col min="5641" max="5641" width="48.6640625" style="3186" customWidth="1"/>
    <col min="5642" max="5643" width="15.88671875" style="3186" customWidth="1"/>
    <col min="5644" max="5644" width="18.109375" style="3186" customWidth="1"/>
    <col min="5645" max="5645" width="9" style="3186" customWidth="1"/>
    <col min="5646" max="5646" width="20.33203125" style="3186" customWidth="1"/>
    <col min="5647" max="5647" width="20.109375" style="3186" customWidth="1"/>
    <col min="5648" max="5648" width="11" style="3186" customWidth="1"/>
    <col min="5649" max="5650" width="17.77734375" style="3186" customWidth="1"/>
    <col min="5651" max="5651" width="14.77734375" style="3186" customWidth="1"/>
    <col min="5652" max="5653" width="12.88671875" style="3186" customWidth="1"/>
    <col min="5654" max="5654" width="20.33203125" style="3186" customWidth="1"/>
    <col min="5655" max="5655" width="9" style="3186" customWidth="1"/>
    <col min="5656" max="5659" width="10.21875" style="3186" customWidth="1"/>
    <col min="5660" max="5660" width="22.88671875" style="3186" customWidth="1"/>
    <col min="5661" max="5661" width="9" style="3186" customWidth="1"/>
    <col min="5662" max="5662" width="46.109375" style="3186" customWidth="1"/>
    <col min="5663" max="5665" width="12.109375" style="3186" customWidth="1"/>
    <col min="5666" max="5667" width="18.21875" style="3186" customWidth="1"/>
    <col min="5668" max="5669" width="16.33203125" style="3186" customWidth="1"/>
    <col min="5670" max="5671" width="25" style="3186" customWidth="1"/>
    <col min="5672" max="5672" width="7.109375" style="3186" customWidth="1"/>
    <col min="5673" max="5673" width="18.44140625" style="3186" customWidth="1"/>
    <col min="5674" max="5674" width="19.21875" style="3186" customWidth="1"/>
    <col min="5675" max="5676" width="23" style="3186" customWidth="1"/>
    <col min="5677" max="5677" width="9" style="3186" customWidth="1"/>
    <col min="5678" max="5888" width="8.88671875" style="3186"/>
    <col min="5889" max="5889" width="82.44140625" style="3186" customWidth="1"/>
    <col min="5890" max="5890" width="7.109375" style="3186" customWidth="1"/>
    <col min="5891" max="5891" width="13.33203125" style="3186" customWidth="1"/>
    <col min="5892" max="5892" width="7.109375" style="3186" customWidth="1"/>
    <col min="5893" max="5893" width="5.21875" style="3186" customWidth="1"/>
    <col min="5894" max="5894" width="82.44140625" style="3186" customWidth="1"/>
    <col min="5895" max="5895" width="9" style="3186" customWidth="1"/>
    <col min="5896" max="5896" width="12.21875" style="3186" customWidth="1"/>
    <col min="5897" max="5897" width="48.6640625" style="3186" customWidth="1"/>
    <col min="5898" max="5899" width="15.88671875" style="3186" customWidth="1"/>
    <col min="5900" max="5900" width="18.109375" style="3186" customWidth="1"/>
    <col min="5901" max="5901" width="9" style="3186" customWidth="1"/>
    <col min="5902" max="5902" width="20.33203125" style="3186" customWidth="1"/>
    <col min="5903" max="5903" width="20.109375" style="3186" customWidth="1"/>
    <col min="5904" max="5904" width="11" style="3186" customWidth="1"/>
    <col min="5905" max="5906" width="17.77734375" style="3186" customWidth="1"/>
    <col min="5907" max="5907" width="14.77734375" style="3186" customWidth="1"/>
    <col min="5908" max="5909" width="12.88671875" style="3186" customWidth="1"/>
    <col min="5910" max="5910" width="20.33203125" style="3186" customWidth="1"/>
    <col min="5911" max="5911" width="9" style="3186" customWidth="1"/>
    <col min="5912" max="5915" width="10.21875" style="3186" customWidth="1"/>
    <col min="5916" max="5916" width="22.88671875" style="3186" customWidth="1"/>
    <col min="5917" max="5917" width="9" style="3186" customWidth="1"/>
    <col min="5918" max="5918" width="46.109375" style="3186" customWidth="1"/>
    <col min="5919" max="5921" width="12.109375" style="3186" customWidth="1"/>
    <col min="5922" max="5923" width="18.21875" style="3186" customWidth="1"/>
    <col min="5924" max="5925" width="16.33203125" style="3186" customWidth="1"/>
    <col min="5926" max="5927" width="25" style="3186" customWidth="1"/>
    <col min="5928" max="5928" width="7.109375" style="3186" customWidth="1"/>
    <col min="5929" max="5929" width="18.44140625" style="3186" customWidth="1"/>
    <col min="5930" max="5930" width="19.21875" style="3186" customWidth="1"/>
    <col min="5931" max="5932" width="23" style="3186" customWidth="1"/>
    <col min="5933" max="5933" width="9" style="3186" customWidth="1"/>
    <col min="5934" max="6144" width="8.88671875" style="3186"/>
    <col min="6145" max="6145" width="82.44140625" style="3186" customWidth="1"/>
    <col min="6146" max="6146" width="7.109375" style="3186" customWidth="1"/>
    <col min="6147" max="6147" width="13.33203125" style="3186" customWidth="1"/>
    <col min="6148" max="6148" width="7.109375" style="3186" customWidth="1"/>
    <col min="6149" max="6149" width="5.21875" style="3186" customWidth="1"/>
    <col min="6150" max="6150" width="82.44140625" style="3186" customWidth="1"/>
    <col min="6151" max="6151" width="9" style="3186" customWidth="1"/>
    <col min="6152" max="6152" width="12.21875" style="3186" customWidth="1"/>
    <col min="6153" max="6153" width="48.6640625" style="3186" customWidth="1"/>
    <col min="6154" max="6155" width="15.88671875" style="3186" customWidth="1"/>
    <col min="6156" max="6156" width="18.109375" style="3186" customWidth="1"/>
    <col min="6157" max="6157" width="9" style="3186" customWidth="1"/>
    <col min="6158" max="6158" width="20.33203125" style="3186" customWidth="1"/>
    <col min="6159" max="6159" width="20.109375" style="3186" customWidth="1"/>
    <col min="6160" max="6160" width="11" style="3186" customWidth="1"/>
    <col min="6161" max="6162" width="17.77734375" style="3186" customWidth="1"/>
    <col min="6163" max="6163" width="14.77734375" style="3186" customWidth="1"/>
    <col min="6164" max="6165" width="12.88671875" style="3186" customWidth="1"/>
    <col min="6166" max="6166" width="20.33203125" style="3186" customWidth="1"/>
    <col min="6167" max="6167" width="9" style="3186" customWidth="1"/>
    <col min="6168" max="6171" width="10.21875" style="3186" customWidth="1"/>
    <col min="6172" max="6172" width="22.88671875" style="3186" customWidth="1"/>
    <col min="6173" max="6173" width="9" style="3186" customWidth="1"/>
    <col min="6174" max="6174" width="46.109375" style="3186" customWidth="1"/>
    <col min="6175" max="6177" width="12.109375" style="3186" customWidth="1"/>
    <col min="6178" max="6179" width="18.21875" style="3186" customWidth="1"/>
    <col min="6180" max="6181" width="16.33203125" style="3186" customWidth="1"/>
    <col min="6182" max="6183" width="25" style="3186" customWidth="1"/>
    <col min="6184" max="6184" width="7.109375" style="3186" customWidth="1"/>
    <col min="6185" max="6185" width="18.44140625" style="3186" customWidth="1"/>
    <col min="6186" max="6186" width="19.21875" style="3186" customWidth="1"/>
    <col min="6187" max="6188" width="23" style="3186" customWidth="1"/>
    <col min="6189" max="6189" width="9" style="3186" customWidth="1"/>
    <col min="6190" max="6400" width="8.88671875" style="3186"/>
    <col min="6401" max="6401" width="82.44140625" style="3186" customWidth="1"/>
    <col min="6402" max="6402" width="7.109375" style="3186" customWidth="1"/>
    <col min="6403" max="6403" width="13.33203125" style="3186" customWidth="1"/>
    <col min="6404" max="6404" width="7.109375" style="3186" customWidth="1"/>
    <col min="6405" max="6405" width="5.21875" style="3186" customWidth="1"/>
    <col min="6406" max="6406" width="82.44140625" style="3186" customWidth="1"/>
    <col min="6407" max="6407" width="9" style="3186" customWidth="1"/>
    <col min="6408" max="6408" width="12.21875" style="3186" customWidth="1"/>
    <col min="6409" max="6409" width="48.6640625" style="3186" customWidth="1"/>
    <col min="6410" max="6411" width="15.88671875" style="3186" customWidth="1"/>
    <col min="6412" max="6412" width="18.109375" style="3186" customWidth="1"/>
    <col min="6413" max="6413" width="9" style="3186" customWidth="1"/>
    <col min="6414" max="6414" width="20.33203125" style="3186" customWidth="1"/>
    <col min="6415" max="6415" width="20.109375" style="3186" customWidth="1"/>
    <col min="6416" max="6416" width="11" style="3186" customWidth="1"/>
    <col min="6417" max="6418" width="17.77734375" style="3186" customWidth="1"/>
    <col min="6419" max="6419" width="14.77734375" style="3186" customWidth="1"/>
    <col min="6420" max="6421" width="12.88671875" style="3186" customWidth="1"/>
    <col min="6422" max="6422" width="20.33203125" style="3186" customWidth="1"/>
    <col min="6423" max="6423" width="9" style="3186" customWidth="1"/>
    <col min="6424" max="6427" width="10.21875" style="3186" customWidth="1"/>
    <col min="6428" max="6428" width="22.88671875" style="3186" customWidth="1"/>
    <col min="6429" max="6429" width="9" style="3186" customWidth="1"/>
    <col min="6430" max="6430" width="46.109375" style="3186" customWidth="1"/>
    <col min="6431" max="6433" width="12.109375" style="3186" customWidth="1"/>
    <col min="6434" max="6435" width="18.21875" style="3186" customWidth="1"/>
    <col min="6436" max="6437" width="16.33203125" style="3186" customWidth="1"/>
    <col min="6438" max="6439" width="25" style="3186" customWidth="1"/>
    <col min="6440" max="6440" width="7.109375" style="3186" customWidth="1"/>
    <col min="6441" max="6441" width="18.44140625" style="3186" customWidth="1"/>
    <col min="6442" max="6442" width="19.21875" style="3186" customWidth="1"/>
    <col min="6443" max="6444" width="23" style="3186" customWidth="1"/>
    <col min="6445" max="6445" width="9" style="3186" customWidth="1"/>
    <col min="6446" max="6656" width="8.88671875" style="3186"/>
    <col min="6657" max="6657" width="82.44140625" style="3186" customWidth="1"/>
    <col min="6658" max="6658" width="7.109375" style="3186" customWidth="1"/>
    <col min="6659" max="6659" width="13.33203125" style="3186" customWidth="1"/>
    <col min="6660" max="6660" width="7.109375" style="3186" customWidth="1"/>
    <col min="6661" max="6661" width="5.21875" style="3186" customWidth="1"/>
    <col min="6662" max="6662" width="82.44140625" style="3186" customWidth="1"/>
    <col min="6663" max="6663" width="9" style="3186" customWidth="1"/>
    <col min="6664" max="6664" width="12.21875" style="3186" customWidth="1"/>
    <col min="6665" max="6665" width="48.6640625" style="3186" customWidth="1"/>
    <col min="6666" max="6667" width="15.88671875" style="3186" customWidth="1"/>
    <col min="6668" max="6668" width="18.109375" style="3186" customWidth="1"/>
    <col min="6669" max="6669" width="9" style="3186" customWidth="1"/>
    <col min="6670" max="6670" width="20.33203125" style="3186" customWidth="1"/>
    <col min="6671" max="6671" width="20.109375" style="3186" customWidth="1"/>
    <col min="6672" max="6672" width="11" style="3186" customWidth="1"/>
    <col min="6673" max="6674" width="17.77734375" style="3186" customWidth="1"/>
    <col min="6675" max="6675" width="14.77734375" style="3186" customWidth="1"/>
    <col min="6676" max="6677" width="12.88671875" style="3186" customWidth="1"/>
    <col min="6678" max="6678" width="20.33203125" style="3186" customWidth="1"/>
    <col min="6679" max="6679" width="9" style="3186" customWidth="1"/>
    <col min="6680" max="6683" width="10.21875" style="3186" customWidth="1"/>
    <col min="6684" max="6684" width="22.88671875" style="3186" customWidth="1"/>
    <col min="6685" max="6685" width="9" style="3186" customWidth="1"/>
    <col min="6686" max="6686" width="46.109375" style="3186" customWidth="1"/>
    <col min="6687" max="6689" width="12.109375" style="3186" customWidth="1"/>
    <col min="6690" max="6691" width="18.21875" style="3186" customWidth="1"/>
    <col min="6692" max="6693" width="16.33203125" style="3186" customWidth="1"/>
    <col min="6694" max="6695" width="25" style="3186" customWidth="1"/>
    <col min="6696" max="6696" width="7.109375" style="3186" customWidth="1"/>
    <col min="6697" max="6697" width="18.44140625" style="3186" customWidth="1"/>
    <col min="6698" max="6698" width="19.21875" style="3186" customWidth="1"/>
    <col min="6699" max="6700" width="23" style="3186" customWidth="1"/>
    <col min="6701" max="6701" width="9" style="3186" customWidth="1"/>
    <col min="6702" max="6912" width="8.88671875" style="3186"/>
    <col min="6913" max="6913" width="82.44140625" style="3186" customWidth="1"/>
    <col min="6914" max="6914" width="7.109375" style="3186" customWidth="1"/>
    <col min="6915" max="6915" width="13.33203125" style="3186" customWidth="1"/>
    <col min="6916" max="6916" width="7.109375" style="3186" customWidth="1"/>
    <col min="6917" max="6917" width="5.21875" style="3186" customWidth="1"/>
    <col min="6918" max="6918" width="82.44140625" style="3186" customWidth="1"/>
    <col min="6919" max="6919" width="9" style="3186" customWidth="1"/>
    <col min="6920" max="6920" width="12.21875" style="3186" customWidth="1"/>
    <col min="6921" max="6921" width="48.6640625" style="3186" customWidth="1"/>
    <col min="6922" max="6923" width="15.88671875" style="3186" customWidth="1"/>
    <col min="6924" max="6924" width="18.109375" style="3186" customWidth="1"/>
    <col min="6925" max="6925" width="9" style="3186" customWidth="1"/>
    <col min="6926" max="6926" width="20.33203125" style="3186" customWidth="1"/>
    <col min="6927" max="6927" width="20.109375" style="3186" customWidth="1"/>
    <col min="6928" max="6928" width="11" style="3186" customWidth="1"/>
    <col min="6929" max="6930" width="17.77734375" style="3186" customWidth="1"/>
    <col min="6931" max="6931" width="14.77734375" style="3186" customWidth="1"/>
    <col min="6932" max="6933" width="12.88671875" style="3186" customWidth="1"/>
    <col min="6934" max="6934" width="20.33203125" style="3186" customWidth="1"/>
    <col min="6935" max="6935" width="9" style="3186" customWidth="1"/>
    <col min="6936" max="6939" width="10.21875" style="3186" customWidth="1"/>
    <col min="6940" max="6940" width="22.88671875" style="3186" customWidth="1"/>
    <col min="6941" max="6941" width="9" style="3186" customWidth="1"/>
    <col min="6942" max="6942" width="46.109375" style="3186" customWidth="1"/>
    <col min="6943" max="6945" width="12.109375" style="3186" customWidth="1"/>
    <col min="6946" max="6947" width="18.21875" style="3186" customWidth="1"/>
    <col min="6948" max="6949" width="16.33203125" style="3186" customWidth="1"/>
    <col min="6950" max="6951" width="25" style="3186" customWidth="1"/>
    <col min="6952" max="6952" width="7.109375" style="3186" customWidth="1"/>
    <col min="6953" max="6953" width="18.44140625" style="3186" customWidth="1"/>
    <col min="6954" max="6954" width="19.21875" style="3186" customWidth="1"/>
    <col min="6955" max="6956" width="23" style="3186" customWidth="1"/>
    <col min="6957" max="6957" width="9" style="3186" customWidth="1"/>
    <col min="6958" max="7168" width="8.88671875" style="3186"/>
    <col min="7169" max="7169" width="82.44140625" style="3186" customWidth="1"/>
    <col min="7170" max="7170" width="7.109375" style="3186" customWidth="1"/>
    <col min="7171" max="7171" width="13.33203125" style="3186" customWidth="1"/>
    <col min="7172" max="7172" width="7.109375" style="3186" customWidth="1"/>
    <col min="7173" max="7173" width="5.21875" style="3186" customWidth="1"/>
    <col min="7174" max="7174" width="82.44140625" style="3186" customWidth="1"/>
    <col min="7175" max="7175" width="9" style="3186" customWidth="1"/>
    <col min="7176" max="7176" width="12.21875" style="3186" customWidth="1"/>
    <col min="7177" max="7177" width="48.6640625" style="3186" customWidth="1"/>
    <col min="7178" max="7179" width="15.88671875" style="3186" customWidth="1"/>
    <col min="7180" max="7180" width="18.109375" style="3186" customWidth="1"/>
    <col min="7181" max="7181" width="9" style="3186" customWidth="1"/>
    <col min="7182" max="7182" width="20.33203125" style="3186" customWidth="1"/>
    <col min="7183" max="7183" width="20.109375" style="3186" customWidth="1"/>
    <col min="7184" max="7184" width="11" style="3186" customWidth="1"/>
    <col min="7185" max="7186" width="17.77734375" style="3186" customWidth="1"/>
    <col min="7187" max="7187" width="14.77734375" style="3186" customWidth="1"/>
    <col min="7188" max="7189" width="12.88671875" style="3186" customWidth="1"/>
    <col min="7190" max="7190" width="20.33203125" style="3186" customWidth="1"/>
    <col min="7191" max="7191" width="9" style="3186" customWidth="1"/>
    <col min="7192" max="7195" width="10.21875" style="3186" customWidth="1"/>
    <col min="7196" max="7196" width="22.88671875" style="3186" customWidth="1"/>
    <col min="7197" max="7197" width="9" style="3186" customWidth="1"/>
    <col min="7198" max="7198" width="46.109375" style="3186" customWidth="1"/>
    <col min="7199" max="7201" width="12.109375" style="3186" customWidth="1"/>
    <col min="7202" max="7203" width="18.21875" style="3186" customWidth="1"/>
    <col min="7204" max="7205" width="16.33203125" style="3186" customWidth="1"/>
    <col min="7206" max="7207" width="25" style="3186" customWidth="1"/>
    <col min="7208" max="7208" width="7.109375" style="3186" customWidth="1"/>
    <col min="7209" max="7209" width="18.44140625" style="3186" customWidth="1"/>
    <col min="7210" max="7210" width="19.21875" style="3186" customWidth="1"/>
    <col min="7211" max="7212" width="23" style="3186" customWidth="1"/>
    <col min="7213" max="7213" width="9" style="3186" customWidth="1"/>
    <col min="7214" max="7424" width="8.88671875" style="3186"/>
    <col min="7425" max="7425" width="82.44140625" style="3186" customWidth="1"/>
    <col min="7426" max="7426" width="7.109375" style="3186" customWidth="1"/>
    <col min="7427" max="7427" width="13.33203125" style="3186" customWidth="1"/>
    <col min="7428" max="7428" width="7.109375" style="3186" customWidth="1"/>
    <col min="7429" max="7429" width="5.21875" style="3186" customWidth="1"/>
    <col min="7430" max="7430" width="82.44140625" style="3186" customWidth="1"/>
    <col min="7431" max="7431" width="9" style="3186" customWidth="1"/>
    <col min="7432" max="7432" width="12.21875" style="3186" customWidth="1"/>
    <col min="7433" max="7433" width="48.6640625" style="3186" customWidth="1"/>
    <col min="7434" max="7435" width="15.88671875" style="3186" customWidth="1"/>
    <col min="7436" max="7436" width="18.109375" style="3186" customWidth="1"/>
    <col min="7437" max="7437" width="9" style="3186" customWidth="1"/>
    <col min="7438" max="7438" width="20.33203125" style="3186" customWidth="1"/>
    <col min="7439" max="7439" width="20.109375" style="3186" customWidth="1"/>
    <col min="7440" max="7440" width="11" style="3186" customWidth="1"/>
    <col min="7441" max="7442" width="17.77734375" style="3186" customWidth="1"/>
    <col min="7443" max="7443" width="14.77734375" style="3186" customWidth="1"/>
    <col min="7444" max="7445" width="12.88671875" style="3186" customWidth="1"/>
    <col min="7446" max="7446" width="20.33203125" style="3186" customWidth="1"/>
    <col min="7447" max="7447" width="9" style="3186" customWidth="1"/>
    <col min="7448" max="7451" width="10.21875" style="3186" customWidth="1"/>
    <col min="7452" max="7452" width="22.88671875" style="3186" customWidth="1"/>
    <col min="7453" max="7453" width="9" style="3186" customWidth="1"/>
    <col min="7454" max="7454" width="46.109375" style="3186" customWidth="1"/>
    <col min="7455" max="7457" width="12.109375" style="3186" customWidth="1"/>
    <col min="7458" max="7459" width="18.21875" style="3186" customWidth="1"/>
    <col min="7460" max="7461" width="16.33203125" style="3186" customWidth="1"/>
    <col min="7462" max="7463" width="25" style="3186" customWidth="1"/>
    <col min="7464" max="7464" width="7.109375" style="3186" customWidth="1"/>
    <col min="7465" max="7465" width="18.44140625" style="3186" customWidth="1"/>
    <col min="7466" max="7466" width="19.21875" style="3186" customWidth="1"/>
    <col min="7467" max="7468" width="23" style="3186" customWidth="1"/>
    <col min="7469" max="7469" width="9" style="3186" customWidth="1"/>
    <col min="7470" max="7680" width="8.88671875" style="3186"/>
    <col min="7681" max="7681" width="82.44140625" style="3186" customWidth="1"/>
    <col min="7682" max="7682" width="7.109375" style="3186" customWidth="1"/>
    <col min="7683" max="7683" width="13.33203125" style="3186" customWidth="1"/>
    <col min="7684" max="7684" width="7.109375" style="3186" customWidth="1"/>
    <col min="7685" max="7685" width="5.21875" style="3186" customWidth="1"/>
    <col min="7686" max="7686" width="82.44140625" style="3186" customWidth="1"/>
    <col min="7687" max="7687" width="9" style="3186" customWidth="1"/>
    <col min="7688" max="7688" width="12.21875" style="3186" customWidth="1"/>
    <col min="7689" max="7689" width="48.6640625" style="3186" customWidth="1"/>
    <col min="7690" max="7691" width="15.88671875" style="3186" customWidth="1"/>
    <col min="7692" max="7692" width="18.109375" style="3186" customWidth="1"/>
    <col min="7693" max="7693" width="9" style="3186" customWidth="1"/>
    <col min="7694" max="7694" width="20.33203125" style="3186" customWidth="1"/>
    <col min="7695" max="7695" width="20.109375" style="3186" customWidth="1"/>
    <col min="7696" max="7696" width="11" style="3186" customWidth="1"/>
    <col min="7697" max="7698" width="17.77734375" style="3186" customWidth="1"/>
    <col min="7699" max="7699" width="14.77734375" style="3186" customWidth="1"/>
    <col min="7700" max="7701" width="12.88671875" style="3186" customWidth="1"/>
    <col min="7702" max="7702" width="20.33203125" style="3186" customWidth="1"/>
    <col min="7703" max="7703" width="9" style="3186" customWidth="1"/>
    <col min="7704" max="7707" width="10.21875" style="3186" customWidth="1"/>
    <col min="7708" max="7708" width="22.88671875" style="3186" customWidth="1"/>
    <col min="7709" max="7709" width="9" style="3186" customWidth="1"/>
    <col min="7710" max="7710" width="46.109375" style="3186" customWidth="1"/>
    <col min="7711" max="7713" width="12.109375" style="3186" customWidth="1"/>
    <col min="7714" max="7715" width="18.21875" style="3186" customWidth="1"/>
    <col min="7716" max="7717" width="16.33203125" style="3186" customWidth="1"/>
    <col min="7718" max="7719" width="25" style="3186" customWidth="1"/>
    <col min="7720" max="7720" width="7.109375" style="3186" customWidth="1"/>
    <col min="7721" max="7721" width="18.44140625" style="3186" customWidth="1"/>
    <col min="7722" max="7722" width="19.21875" style="3186" customWidth="1"/>
    <col min="7723" max="7724" width="23" style="3186" customWidth="1"/>
    <col min="7725" max="7725" width="9" style="3186" customWidth="1"/>
    <col min="7726" max="7936" width="8.88671875" style="3186"/>
    <col min="7937" max="7937" width="82.44140625" style="3186" customWidth="1"/>
    <col min="7938" max="7938" width="7.109375" style="3186" customWidth="1"/>
    <col min="7939" max="7939" width="13.33203125" style="3186" customWidth="1"/>
    <col min="7940" max="7940" width="7.109375" style="3186" customWidth="1"/>
    <col min="7941" max="7941" width="5.21875" style="3186" customWidth="1"/>
    <col min="7942" max="7942" width="82.44140625" style="3186" customWidth="1"/>
    <col min="7943" max="7943" width="9" style="3186" customWidth="1"/>
    <col min="7944" max="7944" width="12.21875" style="3186" customWidth="1"/>
    <col min="7945" max="7945" width="48.6640625" style="3186" customWidth="1"/>
    <col min="7946" max="7947" width="15.88671875" style="3186" customWidth="1"/>
    <col min="7948" max="7948" width="18.109375" style="3186" customWidth="1"/>
    <col min="7949" max="7949" width="9" style="3186" customWidth="1"/>
    <col min="7950" max="7950" width="20.33203125" style="3186" customWidth="1"/>
    <col min="7951" max="7951" width="20.109375" style="3186" customWidth="1"/>
    <col min="7952" max="7952" width="11" style="3186" customWidth="1"/>
    <col min="7953" max="7954" width="17.77734375" style="3186" customWidth="1"/>
    <col min="7955" max="7955" width="14.77734375" style="3186" customWidth="1"/>
    <col min="7956" max="7957" width="12.88671875" style="3186" customWidth="1"/>
    <col min="7958" max="7958" width="20.33203125" style="3186" customWidth="1"/>
    <col min="7959" max="7959" width="9" style="3186" customWidth="1"/>
    <col min="7960" max="7963" width="10.21875" style="3186" customWidth="1"/>
    <col min="7964" max="7964" width="22.88671875" style="3186" customWidth="1"/>
    <col min="7965" max="7965" width="9" style="3186" customWidth="1"/>
    <col min="7966" max="7966" width="46.109375" style="3186" customWidth="1"/>
    <col min="7967" max="7969" width="12.109375" style="3186" customWidth="1"/>
    <col min="7970" max="7971" width="18.21875" style="3186" customWidth="1"/>
    <col min="7972" max="7973" width="16.33203125" style="3186" customWidth="1"/>
    <col min="7974" max="7975" width="25" style="3186" customWidth="1"/>
    <col min="7976" max="7976" width="7.109375" style="3186" customWidth="1"/>
    <col min="7977" max="7977" width="18.44140625" style="3186" customWidth="1"/>
    <col min="7978" max="7978" width="19.21875" style="3186" customWidth="1"/>
    <col min="7979" max="7980" width="23" style="3186" customWidth="1"/>
    <col min="7981" max="7981" width="9" style="3186" customWidth="1"/>
    <col min="7982" max="8192" width="8.88671875" style="3186"/>
    <col min="8193" max="8193" width="82.44140625" style="3186" customWidth="1"/>
    <col min="8194" max="8194" width="7.109375" style="3186" customWidth="1"/>
    <col min="8195" max="8195" width="13.33203125" style="3186" customWidth="1"/>
    <col min="8196" max="8196" width="7.109375" style="3186" customWidth="1"/>
    <col min="8197" max="8197" width="5.21875" style="3186" customWidth="1"/>
    <col min="8198" max="8198" width="82.44140625" style="3186" customWidth="1"/>
    <col min="8199" max="8199" width="9" style="3186" customWidth="1"/>
    <col min="8200" max="8200" width="12.21875" style="3186" customWidth="1"/>
    <col min="8201" max="8201" width="48.6640625" style="3186" customWidth="1"/>
    <col min="8202" max="8203" width="15.88671875" style="3186" customWidth="1"/>
    <col min="8204" max="8204" width="18.109375" style="3186" customWidth="1"/>
    <col min="8205" max="8205" width="9" style="3186" customWidth="1"/>
    <col min="8206" max="8206" width="20.33203125" style="3186" customWidth="1"/>
    <col min="8207" max="8207" width="20.109375" style="3186" customWidth="1"/>
    <col min="8208" max="8208" width="11" style="3186" customWidth="1"/>
    <col min="8209" max="8210" width="17.77734375" style="3186" customWidth="1"/>
    <col min="8211" max="8211" width="14.77734375" style="3186" customWidth="1"/>
    <col min="8212" max="8213" width="12.88671875" style="3186" customWidth="1"/>
    <col min="8214" max="8214" width="20.33203125" style="3186" customWidth="1"/>
    <col min="8215" max="8215" width="9" style="3186" customWidth="1"/>
    <col min="8216" max="8219" width="10.21875" style="3186" customWidth="1"/>
    <col min="8220" max="8220" width="22.88671875" style="3186" customWidth="1"/>
    <col min="8221" max="8221" width="9" style="3186" customWidth="1"/>
    <col min="8222" max="8222" width="46.109375" style="3186" customWidth="1"/>
    <col min="8223" max="8225" width="12.109375" style="3186" customWidth="1"/>
    <col min="8226" max="8227" width="18.21875" style="3186" customWidth="1"/>
    <col min="8228" max="8229" width="16.33203125" style="3186" customWidth="1"/>
    <col min="8230" max="8231" width="25" style="3186" customWidth="1"/>
    <col min="8232" max="8232" width="7.109375" style="3186" customWidth="1"/>
    <col min="8233" max="8233" width="18.44140625" style="3186" customWidth="1"/>
    <col min="8234" max="8234" width="19.21875" style="3186" customWidth="1"/>
    <col min="8235" max="8236" width="23" style="3186" customWidth="1"/>
    <col min="8237" max="8237" width="9" style="3186" customWidth="1"/>
    <col min="8238" max="8448" width="8.88671875" style="3186"/>
    <col min="8449" max="8449" width="82.44140625" style="3186" customWidth="1"/>
    <col min="8450" max="8450" width="7.109375" style="3186" customWidth="1"/>
    <col min="8451" max="8451" width="13.33203125" style="3186" customWidth="1"/>
    <col min="8452" max="8452" width="7.109375" style="3186" customWidth="1"/>
    <col min="8453" max="8453" width="5.21875" style="3186" customWidth="1"/>
    <col min="8454" max="8454" width="82.44140625" style="3186" customWidth="1"/>
    <col min="8455" max="8455" width="9" style="3186" customWidth="1"/>
    <col min="8456" max="8456" width="12.21875" style="3186" customWidth="1"/>
    <col min="8457" max="8457" width="48.6640625" style="3186" customWidth="1"/>
    <col min="8458" max="8459" width="15.88671875" style="3186" customWidth="1"/>
    <col min="8460" max="8460" width="18.109375" style="3186" customWidth="1"/>
    <col min="8461" max="8461" width="9" style="3186" customWidth="1"/>
    <col min="8462" max="8462" width="20.33203125" style="3186" customWidth="1"/>
    <col min="8463" max="8463" width="20.109375" style="3186" customWidth="1"/>
    <col min="8464" max="8464" width="11" style="3186" customWidth="1"/>
    <col min="8465" max="8466" width="17.77734375" style="3186" customWidth="1"/>
    <col min="8467" max="8467" width="14.77734375" style="3186" customWidth="1"/>
    <col min="8468" max="8469" width="12.88671875" style="3186" customWidth="1"/>
    <col min="8470" max="8470" width="20.33203125" style="3186" customWidth="1"/>
    <col min="8471" max="8471" width="9" style="3186" customWidth="1"/>
    <col min="8472" max="8475" width="10.21875" style="3186" customWidth="1"/>
    <col min="8476" max="8476" width="22.88671875" style="3186" customWidth="1"/>
    <col min="8477" max="8477" width="9" style="3186" customWidth="1"/>
    <col min="8478" max="8478" width="46.109375" style="3186" customWidth="1"/>
    <col min="8479" max="8481" width="12.109375" style="3186" customWidth="1"/>
    <col min="8482" max="8483" width="18.21875" style="3186" customWidth="1"/>
    <col min="8484" max="8485" width="16.33203125" style="3186" customWidth="1"/>
    <col min="8486" max="8487" width="25" style="3186" customWidth="1"/>
    <col min="8488" max="8488" width="7.109375" style="3186" customWidth="1"/>
    <col min="8489" max="8489" width="18.44140625" style="3186" customWidth="1"/>
    <col min="8490" max="8490" width="19.21875" style="3186" customWidth="1"/>
    <col min="8491" max="8492" width="23" style="3186" customWidth="1"/>
    <col min="8493" max="8493" width="9" style="3186" customWidth="1"/>
    <col min="8494" max="8704" width="8.88671875" style="3186"/>
    <col min="8705" max="8705" width="82.44140625" style="3186" customWidth="1"/>
    <col min="8706" max="8706" width="7.109375" style="3186" customWidth="1"/>
    <col min="8707" max="8707" width="13.33203125" style="3186" customWidth="1"/>
    <col min="8708" max="8708" width="7.109375" style="3186" customWidth="1"/>
    <col min="8709" max="8709" width="5.21875" style="3186" customWidth="1"/>
    <col min="8710" max="8710" width="82.44140625" style="3186" customWidth="1"/>
    <col min="8711" max="8711" width="9" style="3186" customWidth="1"/>
    <col min="8712" max="8712" width="12.21875" style="3186" customWidth="1"/>
    <col min="8713" max="8713" width="48.6640625" style="3186" customWidth="1"/>
    <col min="8714" max="8715" width="15.88671875" style="3186" customWidth="1"/>
    <col min="8716" max="8716" width="18.109375" style="3186" customWidth="1"/>
    <col min="8717" max="8717" width="9" style="3186" customWidth="1"/>
    <col min="8718" max="8718" width="20.33203125" style="3186" customWidth="1"/>
    <col min="8719" max="8719" width="20.109375" style="3186" customWidth="1"/>
    <col min="8720" max="8720" width="11" style="3186" customWidth="1"/>
    <col min="8721" max="8722" width="17.77734375" style="3186" customWidth="1"/>
    <col min="8723" max="8723" width="14.77734375" style="3186" customWidth="1"/>
    <col min="8724" max="8725" width="12.88671875" style="3186" customWidth="1"/>
    <col min="8726" max="8726" width="20.33203125" style="3186" customWidth="1"/>
    <col min="8727" max="8727" width="9" style="3186" customWidth="1"/>
    <col min="8728" max="8731" width="10.21875" style="3186" customWidth="1"/>
    <col min="8732" max="8732" width="22.88671875" style="3186" customWidth="1"/>
    <col min="8733" max="8733" width="9" style="3186" customWidth="1"/>
    <col min="8734" max="8734" width="46.109375" style="3186" customWidth="1"/>
    <col min="8735" max="8737" width="12.109375" style="3186" customWidth="1"/>
    <col min="8738" max="8739" width="18.21875" style="3186" customWidth="1"/>
    <col min="8740" max="8741" width="16.33203125" style="3186" customWidth="1"/>
    <col min="8742" max="8743" width="25" style="3186" customWidth="1"/>
    <col min="8744" max="8744" width="7.109375" style="3186" customWidth="1"/>
    <col min="8745" max="8745" width="18.44140625" style="3186" customWidth="1"/>
    <col min="8746" max="8746" width="19.21875" style="3186" customWidth="1"/>
    <col min="8747" max="8748" width="23" style="3186" customWidth="1"/>
    <col min="8749" max="8749" width="9" style="3186" customWidth="1"/>
    <col min="8750" max="8960" width="8.88671875" style="3186"/>
    <col min="8961" max="8961" width="82.44140625" style="3186" customWidth="1"/>
    <col min="8962" max="8962" width="7.109375" style="3186" customWidth="1"/>
    <col min="8963" max="8963" width="13.33203125" style="3186" customWidth="1"/>
    <col min="8964" max="8964" width="7.109375" style="3186" customWidth="1"/>
    <col min="8965" max="8965" width="5.21875" style="3186" customWidth="1"/>
    <col min="8966" max="8966" width="82.44140625" style="3186" customWidth="1"/>
    <col min="8967" max="8967" width="9" style="3186" customWidth="1"/>
    <col min="8968" max="8968" width="12.21875" style="3186" customWidth="1"/>
    <col min="8969" max="8969" width="48.6640625" style="3186" customWidth="1"/>
    <col min="8970" max="8971" width="15.88671875" style="3186" customWidth="1"/>
    <col min="8972" max="8972" width="18.109375" style="3186" customWidth="1"/>
    <col min="8973" max="8973" width="9" style="3186" customWidth="1"/>
    <col min="8974" max="8974" width="20.33203125" style="3186" customWidth="1"/>
    <col min="8975" max="8975" width="20.109375" style="3186" customWidth="1"/>
    <col min="8976" max="8976" width="11" style="3186" customWidth="1"/>
    <col min="8977" max="8978" width="17.77734375" style="3186" customWidth="1"/>
    <col min="8979" max="8979" width="14.77734375" style="3186" customWidth="1"/>
    <col min="8980" max="8981" width="12.88671875" style="3186" customWidth="1"/>
    <col min="8982" max="8982" width="20.33203125" style="3186" customWidth="1"/>
    <col min="8983" max="8983" width="9" style="3186" customWidth="1"/>
    <col min="8984" max="8987" width="10.21875" style="3186" customWidth="1"/>
    <col min="8988" max="8988" width="22.88671875" style="3186" customWidth="1"/>
    <col min="8989" max="8989" width="9" style="3186" customWidth="1"/>
    <col min="8990" max="8990" width="46.109375" style="3186" customWidth="1"/>
    <col min="8991" max="8993" width="12.109375" style="3186" customWidth="1"/>
    <col min="8994" max="8995" width="18.21875" style="3186" customWidth="1"/>
    <col min="8996" max="8997" width="16.33203125" style="3186" customWidth="1"/>
    <col min="8998" max="8999" width="25" style="3186" customWidth="1"/>
    <col min="9000" max="9000" width="7.109375" style="3186" customWidth="1"/>
    <col min="9001" max="9001" width="18.44140625" style="3186" customWidth="1"/>
    <col min="9002" max="9002" width="19.21875" style="3186" customWidth="1"/>
    <col min="9003" max="9004" width="23" style="3186" customWidth="1"/>
    <col min="9005" max="9005" width="9" style="3186" customWidth="1"/>
    <col min="9006" max="9216" width="8.88671875" style="3186"/>
    <col min="9217" max="9217" width="82.44140625" style="3186" customWidth="1"/>
    <col min="9218" max="9218" width="7.109375" style="3186" customWidth="1"/>
    <col min="9219" max="9219" width="13.33203125" style="3186" customWidth="1"/>
    <col min="9220" max="9220" width="7.109375" style="3186" customWidth="1"/>
    <col min="9221" max="9221" width="5.21875" style="3186" customWidth="1"/>
    <col min="9222" max="9222" width="82.44140625" style="3186" customWidth="1"/>
    <col min="9223" max="9223" width="9" style="3186" customWidth="1"/>
    <col min="9224" max="9224" width="12.21875" style="3186" customWidth="1"/>
    <col min="9225" max="9225" width="48.6640625" style="3186" customWidth="1"/>
    <col min="9226" max="9227" width="15.88671875" style="3186" customWidth="1"/>
    <col min="9228" max="9228" width="18.109375" style="3186" customWidth="1"/>
    <col min="9229" max="9229" width="9" style="3186" customWidth="1"/>
    <col min="9230" max="9230" width="20.33203125" style="3186" customWidth="1"/>
    <col min="9231" max="9231" width="20.109375" style="3186" customWidth="1"/>
    <col min="9232" max="9232" width="11" style="3186" customWidth="1"/>
    <col min="9233" max="9234" width="17.77734375" style="3186" customWidth="1"/>
    <col min="9235" max="9235" width="14.77734375" style="3186" customWidth="1"/>
    <col min="9236" max="9237" width="12.88671875" style="3186" customWidth="1"/>
    <col min="9238" max="9238" width="20.33203125" style="3186" customWidth="1"/>
    <col min="9239" max="9239" width="9" style="3186" customWidth="1"/>
    <col min="9240" max="9243" width="10.21875" style="3186" customWidth="1"/>
    <col min="9244" max="9244" width="22.88671875" style="3186" customWidth="1"/>
    <col min="9245" max="9245" width="9" style="3186" customWidth="1"/>
    <col min="9246" max="9246" width="46.109375" style="3186" customWidth="1"/>
    <col min="9247" max="9249" width="12.109375" style="3186" customWidth="1"/>
    <col min="9250" max="9251" width="18.21875" style="3186" customWidth="1"/>
    <col min="9252" max="9253" width="16.33203125" style="3186" customWidth="1"/>
    <col min="9254" max="9255" width="25" style="3186" customWidth="1"/>
    <col min="9256" max="9256" width="7.109375" style="3186" customWidth="1"/>
    <col min="9257" max="9257" width="18.44140625" style="3186" customWidth="1"/>
    <col min="9258" max="9258" width="19.21875" style="3186" customWidth="1"/>
    <col min="9259" max="9260" width="23" style="3186" customWidth="1"/>
    <col min="9261" max="9261" width="9" style="3186" customWidth="1"/>
    <col min="9262" max="9472" width="8.88671875" style="3186"/>
    <col min="9473" max="9473" width="82.44140625" style="3186" customWidth="1"/>
    <col min="9474" max="9474" width="7.109375" style="3186" customWidth="1"/>
    <col min="9475" max="9475" width="13.33203125" style="3186" customWidth="1"/>
    <col min="9476" max="9476" width="7.109375" style="3186" customWidth="1"/>
    <col min="9477" max="9477" width="5.21875" style="3186" customWidth="1"/>
    <col min="9478" max="9478" width="82.44140625" style="3186" customWidth="1"/>
    <col min="9479" max="9479" width="9" style="3186" customWidth="1"/>
    <col min="9480" max="9480" width="12.21875" style="3186" customWidth="1"/>
    <col min="9481" max="9481" width="48.6640625" style="3186" customWidth="1"/>
    <col min="9482" max="9483" width="15.88671875" style="3186" customWidth="1"/>
    <col min="9484" max="9484" width="18.109375" style="3186" customWidth="1"/>
    <col min="9485" max="9485" width="9" style="3186" customWidth="1"/>
    <col min="9486" max="9486" width="20.33203125" style="3186" customWidth="1"/>
    <col min="9487" max="9487" width="20.109375" style="3186" customWidth="1"/>
    <col min="9488" max="9488" width="11" style="3186" customWidth="1"/>
    <col min="9489" max="9490" width="17.77734375" style="3186" customWidth="1"/>
    <col min="9491" max="9491" width="14.77734375" style="3186" customWidth="1"/>
    <col min="9492" max="9493" width="12.88671875" style="3186" customWidth="1"/>
    <col min="9494" max="9494" width="20.33203125" style="3186" customWidth="1"/>
    <col min="9495" max="9495" width="9" style="3186" customWidth="1"/>
    <col min="9496" max="9499" width="10.21875" style="3186" customWidth="1"/>
    <col min="9500" max="9500" width="22.88671875" style="3186" customWidth="1"/>
    <col min="9501" max="9501" width="9" style="3186" customWidth="1"/>
    <col min="9502" max="9502" width="46.109375" style="3186" customWidth="1"/>
    <col min="9503" max="9505" width="12.109375" style="3186" customWidth="1"/>
    <col min="9506" max="9507" width="18.21875" style="3186" customWidth="1"/>
    <col min="9508" max="9509" width="16.33203125" style="3186" customWidth="1"/>
    <col min="9510" max="9511" width="25" style="3186" customWidth="1"/>
    <col min="9512" max="9512" width="7.109375" style="3186" customWidth="1"/>
    <col min="9513" max="9513" width="18.44140625" style="3186" customWidth="1"/>
    <col min="9514" max="9514" width="19.21875" style="3186" customWidth="1"/>
    <col min="9515" max="9516" width="23" style="3186" customWidth="1"/>
    <col min="9517" max="9517" width="9" style="3186" customWidth="1"/>
    <col min="9518" max="9728" width="8.88671875" style="3186"/>
    <col min="9729" max="9729" width="82.44140625" style="3186" customWidth="1"/>
    <col min="9730" max="9730" width="7.109375" style="3186" customWidth="1"/>
    <col min="9731" max="9731" width="13.33203125" style="3186" customWidth="1"/>
    <col min="9732" max="9732" width="7.109375" style="3186" customWidth="1"/>
    <col min="9733" max="9733" width="5.21875" style="3186" customWidth="1"/>
    <col min="9734" max="9734" width="82.44140625" style="3186" customWidth="1"/>
    <col min="9735" max="9735" width="9" style="3186" customWidth="1"/>
    <col min="9736" max="9736" width="12.21875" style="3186" customWidth="1"/>
    <col min="9737" max="9737" width="48.6640625" style="3186" customWidth="1"/>
    <col min="9738" max="9739" width="15.88671875" style="3186" customWidth="1"/>
    <col min="9740" max="9740" width="18.109375" style="3186" customWidth="1"/>
    <col min="9741" max="9741" width="9" style="3186" customWidth="1"/>
    <col min="9742" max="9742" width="20.33203125" style="3186" customWidth="1"/>
    <col min="9743" max="9743" width="20.109375" style="3186" customWidth="1"/>
    <col min="9744" max="9744" width="11" style="3186" customWidth="1"/>
    <col min="9745" max="9746" width="17.77734375" style="3186" customWidth="1"/>
    <col min="9747" max="9747" width="14.77734375" style="3186" customWidth="1"/>
    <col min="9748" max="9749" width="12.88671875" style="3186" customWidth="1"/>
    <col min="9750" max="9750" width="20.33203125" style="3186" customWidth="1"/>
    <col min="9751" max="9751" width="9" style="3186" customWidth="1"/>
    <col min="9752" max="9755" width="10.21875" style="3186" customWidth="1"/>
    <col min="9756" max="9756" width="22.88671875" style="3186" customWidth="1"/>
    <col min="9757" max="9757" width="9" style="3186" customWidth="1"/>
    <col min="9758" max="9758" width="46.109375" style="3186" customWidth="1"/>
    <col min="9759" max="9761" width="12.109375" style="3186" customWidth="1"/>
    <col min="9762" max="9763" width="18.21875" style="3186" customWidth="1"/>
    <col min="9764" max="9765" width="16.33203125" style="3186" customWidth="1"/>
    <col min="9766" max="9767" width="25" style="3186" customWidth="1"/>
    <col min="9768" max="9768" width="7.109375" style="3186" customWidth="1"/>
    <col min="9769" max="9769" width="18.44140625" style="3186" customWidth="1"/>
    <col min="9770" max="9770" width="19.21875" style="3186" customWidth="1"/>
    <col min="9771" max="9772" width="23" style="3186" customWidth="1"/>
    <col min="9773" max="9773" width="9" style="3186" customWidth="1"/>
    <col min="9774" max="9984" width="8.88671875" style="3186"/>
    <col min="9985" max="9985" width="82.44140625" style="3186" customWidth="1"/>
    <col min="9986" max="9986" width="7.109375" style="3186" customWidth="1"/>
    <col min="9987" max="9987" width="13.33203125" style="3186" customWidth="1"/>
    <col min="9988" max="9988" width="7.109375" style="3186" customWidth="1"/>
    <col min="9989" max="9989" width="5.21875" style="3186" customWidth="1"/>
    <col min="9990" max="9990" width="82.44140625" style="3186" customWidth="1"/>
    <col min="9991" max="9991" width="9" style="3186" customWidth="1"/>
    <col min="9992" max="9992" width="12.21875" style="3186" customWidth="1"/>
    <col min="9993" max="9993" width="48.6640625" style="3186" customWidth="1"/>
    <col min="9994" max="9995" width="15.88671875" style="3186" customWidth="1"/>
    <col min="9996" max="9996" width="18.109375" style="3186" customWidth="1"/>
    <col min="9997" max="9997" width="9" style="3186" customWidth="1"/>
    <col min="9998" max="9998" width="20.33203125" style="3186" customWidth="1"/>
    <col min="9999" max="9999" width="20.109375" style="3186" customWidth="1"/>
    <col min="10000" max="10000" width="11" style="3186" customWidth="1"/>
    <col min="10001" max="10002" width="17.77734375" style="3186" customWidth="1"/>
    <col min="10003" max="10003" width="14.77734375" style="3186" customWidth="1"/>
    <col min="10004" max="10005" width="12.88671875" style="3186" customWidth="1"/>
    <col min="10006" max="10006" width="20.33203125" style="3186" customWidth="1"/>
    <col min="10007" max="10007" width="9" style="3186" customWidth="1"/>
    <col min="10008" max="10011" width="10.21875" style="3186" customWidth="1"/>
    <col min="10012" max="10012" width="22.88671875" style="3186" customWidth="1"/>
    <col min="10013" max="10013" width="9" style="3186" customWidth="1"/>
    <col min="10014" max="10014" width="46.109375" style="3186" customWidth="1"/>
    <col min="10015" max="10017" width="12.109375" style="3186" customWidth="1"/>
    <col min="10018" max="10019" width="18.21875" style="3186" customWidth="1"/>
    <col min="10020" max="10021" width="16.33203125" style="3186" customWidth="1"/>
    <col min="10022" max="10023" width="25" style="3186" customWidth="1"/>
    <col min="10024" max="10024" width="7.109375" style="3186" customWidth="1"/>
    <col min="10025" max="10025" width="18.44140625" style="3186" customWidth="1"/>
    <col min="10026" max="10026" width="19.21875" style="3186" customWidth="1"/>
    <col min="10027" max="10028" width="23" style="3186" customWidth="1"/>
    <col min="10029" max="10029" width="9" style="3186" customWidth="1"/>
    <col min="10030" max="10240" width="8.88671875" style="3186"/>
    <col min="10241" max="10241" width="82.44140625" style="3186" customWidth="1"/>
    <col min="10242" max="10242" width="7.109375" style="3186" customWidth="1"/>
    <col min="10243" max="10243" width="13.33203125" style="3186" customWidth="1"/>
    <col min="10244" max="10244" width="7.109375" style="3186" customWidth="1"/>
    <col min="10245" max="10245" width="5.21875" style="3186" customWidth="1"/>
    <col min="10246" max="10246" width="82.44140625" style="3186" customWidth="1"/>
    <col min="10247" max="10247" width="9" style="3186" customWidth="1"/>
    <col min="10248" max="10248" width="12.21875" style="3186" customWidth="1"/>
    <col min="10249" max="10249" width="48.6640625" style="3186" customWidth="1"/>
    <col min="10250" max="10251" width="15.88671875" style="3186" customWidth="1"/>
    <col min="10252" max="10252" width="18.109375" style="3186" customWidth="1"/>
    <col min="10253" max="10253" width="9" style="3186" customWidth="1"/>
    <col min="10254" max="10254" width="20.33203125" style="3186" customWidth="1"/>
    <col min="10255" max="10255" width="20.109375" style="3186" customWidth="1"/>
    <col min="10256" max="10256" width="11" style="3186" customWidth="1"/>
    <col min="10257" max="10258" width="17.77734375" style="3186" customWidth="1"/>
    <col min="10259" max="10259" width="14.77734375" style="3186" customWidth="1"/>
    <col min="10260" max="10261" width="12.88671875" style="3186" customWidth="1"/>
    <col min="10262" max="10262" width="20.33203125" style="3186" customWidth="1"/>
    <col min="10263" max="10263" width="9" style="3186" customWidth="1"/>
    <col min="10264" max="10267" width="10.21875" style="3186" customWidth="1"/>
    <col min="10268" max="10268" width="22.88671875" style="3186" customWidth="1"/>
    <col min="10269" max="10269" width="9" style="3186" customWidth="1"/>
    <col min="10270" max="10270" width="46.109375" style="3186" customWidth="1"/>
    <col min="10271" max="10273" width="12.109375" style="3186" customWidth="1"/>
    <col min="10274" max="10275" width="18.21875" style="3186" customWidth="1"/>
    <col min="10276" max="10277" width="16.33203125" style="3186" customWidth="1"/>
    <col min="10278" max="10279" width="25" style="3186" customWidth="1"/>
    <col min="10280" max="10280" width="7.109375" style="3186" customWidth="1"/>
    <col min="10281" max="10281" width="18.44140625" style="3186" customWidth="1"/>
    <col min="10282" max="10282" width="19.21875" style="3186" customWidth="1"/>
    <col min="10283" max="10284" width="23" style="3186" customWidth="1"/>
    <col min="10285" max="10285" width="9" style="3186" customWidth="1"/>
    <col min="10286" max="10496" width="8.88671875" style="3186"/>
    <col min="10497" max="10497" width="82.44140625" style="3186" customWidth="1"/>
    <col min="10498" max="10498" width="7.109375" style="3186" customWidth="1"/>
    <col min="10499" max="10499" width="13.33203125" style="3186" customWidth="1"/>
    <col min="10500" max="10500" width="7.109375" style="3186" customWidth="1"/>
    <col min="10501" max="10501" width="5.21875" style="3186" customWidth="1"/>
    <col min="10502" max="10502" width="82.44140625" style="3186" customWidth="1"/>
    <col min="10503" max="10503" width="9" style="3186" customWidth="1"/>
    <col min="10504" max="10504" width="12.21875" style="3186" customWidth="1"/>
    <col min="10505" max="10505" width="48.6640625" style="3186" customWidth="1"/>
    <col min="10506" max="10507" width="15.88671875" style="3186" customWidth="1"/>
    <col min="10508" max="10508" width="18.109375" style="3186" customWidth="1"/>
    <col min="10509" max="10509" width="9" style="3186" customWidth="1"/>
    <col min="10510" max="10510" width="20.33203125" style="3186" customWidth="1"/>
    <col min="10511" max="10511" width="20.109375" style="3186" customWidth="1"/>
    <col min="10512" max="10512" width="11" style="3186" customWidth="1"/>
    <col min="10513" max="10514" width="17.77734375" style="3186" customWidth="1"/>
    <col min="10515" max="10515" width="14.77734375" style="3186" customWidth="1"/>
    <col min="10516" max="10517" width="12.88671875" style="3186" customWidth="1"/>
    <col min="10518" max="10518" width="20.33203125" style="3186" customWidth="1"/>
    <col min="10519" max="10519" width="9" style="3186" customWidth="1"/>
    <col min="10520" max="10523" width="10.21875" style="3186" customWidth="1"/>
    <col min="10524" max="10524" width="22.88671875" style="3186" customWidth="1"/>
    <col min="10525" max="10525" width="9" style="3186" customWidth="1"/>
    <col min="10526" max="10526" width="46.109375" style="3186" customWidth="1"/>
    <col min="10527" max="10529" width="12.109375" style="3186" customWidth="1"/>
    <col min="10530" max="10531" width="18.21875" style="3186" customWidth="1"/>
    <col min="10532" max="10533" width="16.33203125" style="3186" customWidth="1"/>
    <col min="10534" max="10535" width="25" style="3186" customWidth="1"/>
    <col min="10536" max="10536" width="7.109375" style="3186" customWidth="1"/>
    <col min="10537" max="10537" width="18.44140625" style="3186" customWidth="1"/>
    <col min="10538" max="10538" width="19.21875" style="3186" customWidth="1"/>
    <col min="10539" max="10540" width="23" style="3186" customWidth="1"/>
    <col min="10541" max="10541" width="9" style="3186" customWidth="1"/>
    <col min="10542" max="10752" width="8.88671875" style="3186"/>
    <col min="10753" max="10753" width="82.44140625" style="3186" customWidth="1"/>
    <col min="10754" max="10754" width="7.109375" style="3186" customWidth="1"/>
    <col min="10755" max="10755" width="13.33203125" style="3186" customWidth="1"/>
    <col min="10756" max="10756" width="7.109375" style="3186" customWidth="1"/>
    <col min="10757" max="10757" width="5.21875" style="3186" customWidth="1"/>
    <col min="10758" max="10758" width="82.44140625" style="3186" customWidth="1"/>
    <col min="10759" max="10759" width="9" style="3186" customWidth="1"/>
    <col min="10760" max="10760" width="12.21875" style="3186" customWidth="1"/>
    <col min="10761" max="10761" width="48.6640625" style="3186" customWidth="1"/>
    <col min="10762" max="10763" width="15.88671875" style="3186" customWidth="1"/>
    <col min="10764" max="10764" width="18.109375" style="3186" customWidth="1"/>
    <col min="10765" max="10765" width="9" style="3186" customWidth="1"/>
    <col min="10766" max="10766" width="20.33203125" style="3186" customWidth="1"/>
    <col min="10767" max="10767" width="20.109375" style="3186" customWidth="1"/>
    <col min="10768" max="10768" width="11" style="3186" customWidth="1"/>
    <col min="10769" max="10770" width="17.77734375" style="3186" customWidth="1"/>
    <col min="10771" max="10771" width="14.77734375" style="3186" customWidth="1"/>
    <col min="10772" max="10773" width="12.88671875" style="3186" customWidth="1"/>
    <col min="10774" max="10774" width="20.33203125" style="3186" customWidth="1"/>
    <col min="10775" max="10775" width="9" style="3186" customWidth="1"/>
    <col min="10776" max="10779" width="10.21875" style="3186" customWidth="1"/>
    <col min="10780" max="10780" width="22.88671875" style="3186" customWidth="1"/>
    <col min="10781" max="10781" width="9" style="3186" customWidth="1"/>
    <col min="10782" max="10782" width="46.109375" style="3186" customWidth="1"/>
    <col min="10783" max="10785" width="12.109375" style="3186" customWidth="1"/>
    <col min="10786" max="10787" width="18.21875" style="3186" customWidth="1"/>
    <col min="10788" max="10789" width="16.33203125" style="3186" customWidth="1"/>
    <col min="10790" max="10791" width="25" style="3186" customWidth="1"/>
    <col min="10792" max="10792" width="7.109375" style="3186" customWidth="1"/>
    <col min="10793" max="10793" width="18.44140625" style="3186" customWidth="1"/>
    <col min="10794" max="10794" width="19.21875" style="3186" customWidth="1"/>
    <col min="10795" max="10796" width="23" style="3186" customWidth="1"/>
    <col min="10797" max="10797" width="9" style="3186" customWidth="1"/>
    <col min="10798" max="11008" width="8.88671875" style="3186"/>
    <col min="11009" max="11009" width="82.44140625" style="3186" customWidth="1"/>
    <col min="11010" max="11010" width="7.109375" style="3186" customWidth="1"/>
    <col min="11011" max="11011" width="13.33203125" style="3186" customWidth="1"/>
    <col min="11012" max="11012" width="7.109375" style="3186" customWidth="1"/>
    <col min="11013" max="11013" width="5.21875" style="3186" customWidth="1"/>
    <col min="11014" max="11014" width="82.44140625" style="3186" customWidth="1"/>
    <col min="11015" max="11015" width="9" style="3186" customWidth="1"/>
    <col min="11016" max="11016" width="12.21875" style="3186" customWidth="1"/>
    <col min="11017" max="11017" width="48.6640625" style="3186" customWidth="1"/>
    <col min="11018" max="11019" width="15.88671875" style="3186" customWidth="1"/>
    <col min="11020" max="11020" width="18.109375" style="3186" customWidth="1"/>
    <col min="11021" max="11021" width="9" style="3186" customWidth="1"/>
    <col min="11022" max="11022" width="20.33203125" style="3186" customWidth="1"/>
    <col min="11023" max="11023" width="20.109375" style="3186" customWidth="1"/>
    <col min="11024" max="11024" width="11" style="3186" customWidth="1"/>
    <col min="11025" max="11026" width="17.77734375" style="3186" customWidth="1"/>
    <col min="11027" max="11027" width="14.77734375" style="3186" customWidth="1"/>
    <col min="11028" max="11029" width="12.88671875" style="3186" customWidth="1"/>
    <col min="11030" max="11030" width="20.33203125" style="3186" customWidth="1"/>
    <col min="11031" max="11031" width="9" style="3186" customWidth="1"/>
    <col min="11032" max="11035" width="10.21875" style="3186" customWidth="1"/>
    <col min="11036" max="11036" width="22.88671875" style="3186" customWidth="1"/>
    <col min="11037" max="11037" width="9" style="3186" customWidth="1"/>
    <col min="11038" max="11038" width="46.109375" style="3186" customWidth="1"/>
    <col min="11039" max="11041" width="12.109375" style="3186" customWidth="1"/>
    <col min="11042" max="11043" width="18.21875" style="3186" customWidth="1"/>
    <col min="11044" max="11045" width="16.33203125" style="3186" customWidth="1"/>
    <col min="11046" max="11047" width="25" style="3186" customWidth="1"/>
    <col min="11048" max="11048" width="7.109375" style="3186" customWidth="1"/>
    <col min="11049" max="11049" width="18.44140625" style="3186" customWidth="1"/>
    <col min="11050" max="11050" width="19.21875" style="3186" customWidth="1"/>
    <col min="11051" max="11052" width="23" style="3186" customWidth="1"/>
    <col min="11053" max="11053" width="9" style="3186" customWidth="1"/>
    <col min="11054" max="11264" width="8.88671875" style="3186"/>
    <col min="11265" max="11265" width="82.44140625" style="3186" customWidth="1"/>
    <col min="11266" max="11266" width="7.109375" style="3186" customWidth="1"/>
    <col min="11267" max="11267" width="13.33203125" style="3186" customWidth="1"/>
    <col min="11268" max="11268" width="7.109375" style="3186" customWidth="1"/>
    <col min="11269" max="11269" width="5.21875" style="3186" customWidth="1"/>
    <col min="11270" max="11270" width="82.44140625" style="3186" customWidth="1"/>
    <col min="11271" max="11271" width="9" style="3186" customWidth="1"/>
    <col min="11272" max="11272" width="12.21875" style="3186" customWidth="1"/>
    <col min="11273" max="11273" width="48.6640625" style="3186" customWidth="1"/>
    <col min="11274" max="11275" width="15.88671875" style="3186" customWidth="1"/>
    <col min="11276" max="11276" width="18.109375" style="3186" customWidth="1"/>
    <col min="11277" max="11277" width="9" style="3186" customWidth="1"/>
    <col min="11278" max="11278" width="20.33203125" style="3186" customWidth="1"/>
    <col min="11279" max="11279" width="20.109375" style="3186" customWidth="1"/>
    <col min="11280" max="11280" width="11" style="3186" customWidth="1"/>
    <col min="11281" max="11282" width="17.77734375" style="3186" customWidth="1"/>
    <col min="11283" max="11283" width="14.77734375" style="3186" customWidth="1"/>
    <col min="11284" max="11285" width="12.88671875" style="3186" customWidth="1"/>
    <col min="11286" max="11286" width="20.33203125" style="3186" customWidth="1"/>
    <col min="11287" max="11287" width="9" style="3186" customWidth="1"/>
    <col min="11288" max="11291" width="10.21875" style="3186" customWidth="1"/>
    <col min="11292" max="11292" width="22.88671875" style="3186" customWidth="1"/>
    <col min="11293" max="11293" width="9" style="3186" customWidth="1"/>
    <col min="11294" max="11294" width="46.109375" style="3186" customWidth="1"/>
    <col min="11295" max="11297" width="12.109375" style="3186" customWidth="1"/>
    <col min="11298" max="11299" width="18.21875" style="3186" customWidth="1"/>
    <col min="11300" max="11301" width="16.33203125" style="3186" customWidth="1"/>
    <col min="11302" max="11303" width="25" style="3186" customWidth="1"/>
    <col min="11304" max="11304" width="7.109375" style="3186" customWidth="1"/>
    <col min="11305" max="11305" width="18.44140625" style="3186" customWidth="1"/>
    <col min="11306" max="11306" width="19.21875" style="3186" customWidth="1"/>
    <col min="11307" max="11308" width="23" style="3186" customWidth="1"/>
    <col min="11309" max="11309" width="9" style="3186" customWidth="1"/>
    <col min="11310" max="11520" width="8.88671875" style="3186"/>
    <col min="11521" max="11521" width="82.44140625" style="3186" customWidth="1"/>
    <col min="11522" max="11522" width="7.109375" style="3186" customWidth="1"/>
    <col min="11523" max="11523" width="13.33203125" style="3186" customWidth="1"/>
    <col min="11524" max="11524" width="7.109375" style="3186" customWidth="1"/>
    <col min="11525" max="11525" width="5.21875" style="3186" customWidth="1"/>
    <col min="11526" max="11526" width="82.44140625" style="3186" customWidth="1"/>
    <col min="11527" max="11527" width="9" style="3186" customWidth="1"/>
    <col min="11528" max="11528" width="12.21875" style="3186" customWidth="1"/>
    <col min="11529" max="11529" width="48.6640625" style="3186" customWidth="1"/>
    <col min="11530" max="11531" width="15.88671875" style="3186" customWidth="1"/>
    <col min="11532" max="11532" width="18.109375" style="3186" customWidth="1"/>
    <col min="11533" max="11533" width="9" style="3186" customWidth="1"/>
    <col min="11534" max="11534" width="20.33203125" style="3186" customWidth="1"/>
    <col min="11535" max="11535" width="20.109375" style="3186" customWidth="1"/>
    <col min="11536" max="11536" width="11" style="3186" customWidth="1"/>
    <col min="11537" max="11538" width="17.77734375" style="3186" customWidth="1"/>
    <col min="11539" max="11539" width="14.77734375" style="3186" customWidth="1"/>
    <col min="11540" max="11541" width="12.88671875" style="3186" customWidth="1"/>
    <col min="11542" max="11542" width="20.33203125" style="3186" customWidth="1"/>
    <col min="11543" max="11543" width="9" style="3186" customWidth="1"/>
    <col min="11544" max="11547" width="10.21875" style="3186" customWidth="1"/>
    <col min="11548" max="11548" width="22.88671875" style="3186" customWidth="1"/>
    <col min="11549" max="11549" width="9" style="3186" customWidth="1"/>
    <col min="11550" max="11550" width="46.109375" style="3186" customWidth="1"/>
    <col min="11551" max="11553" width="12.109375" style="3186" customWidth="1"/>
    <col min="11554" max="11555" width="18.21875" style="3186" customWidth="1"/>
    <col min="11556" max="11557" width="16.33203125" style="3186" customWidth="1"/>
    <col min="11558" max="11559" width="25" style="3186" customWidth="1"/>
    <col min="11560" max="11560" width="7.109375" style="3186" customWidth="1"/>
    <col min="11561" max="11561" width="18.44140625" style="3186" customWidth="1"/>
    <col min="11562" max="11562" width="19.21875" style="3186" customWidth="1"/>
    <col min="11563" max="11564" width="23" style="3186" customWidth="1"/>
    <col min="11565" max="11565" width="9" style="3186" customWidth="1"/>
    <col min="11566" max="11776" width="8.88671875" style="3186"/>
    <col min="11777" max="11777" width="82.44140625" style="3186" customWidth="1"/>
    <col min="11778" max="11778" width="7.109375" style="3186" customWidth="1"/>
    <col min="11779" max="11779" width="13.33203125" style="3186" customWidth="1"/>
    <col min="11780" max="11780" width="7.109375" style="3186" customWidth="1"/>
    <col min="11781" max="11781" width="5.21875" style="3186" customWidth="1"/>
    <col min="11782" max="11782" width="82.44140625" style="3186" customWidth="1"/>
    <col min="11783" max="11783" width="9" style="3186" customWidth="1"/>
    <col min="11784" max="11784" width="12.21875" style="3186" customWidth="1"/>
    <col min="11785" max="11785" width="48.6640625" style="3186" customWidth="1"/>
    <col min="11786" max="11787" width="15.88671875" style="3186" customWidth="1"/>
    <col min="11788" max="11788" width="18.109375" style="3186" customWidth="1"/>
    <col min="11789" max="11789" width="9" style="3186" customWidth="1"/>
    <col min="11790" max="11790" width="20.33203125" style="3186" customWidth="1"/>
    <col min="11791" max="11791" width="20.109375" style="3186" customWidth="1"/>
    <col min="11792" max="11792" width="11" style="3186" customWidth="1"/>
    <col min="11793" max="11794" width="17.77734375" style="3186" customWidth="1"/>
    <col min="11795" max="11795" width="14.77734375" style="3186" customWidth="1"/>
    <col min="11796" max="11797" width="12.88671875" style="3186" customWidth="1"/>
    <col min="11798" max="11798" width="20.33203125" style="3186" customWidth="1"/>
    <col min="11799" max="11799" width="9" style="3186" customWidth="1"/>
    <col min="11800" max="11803" width="10.21875" style="3186" customWidth="1"/>
    <col min="11804" max="11804" width="22.88671875" style="3186" customWidth="1"/>
    <col min="11805" max="11805" width="9" style="3186" customWidth="1"/>
    <col min="11806" max="11806" width="46.109375" style="3186" customWidth="1"/>
    <col min="11807" max="11809" width="12.109375" style="3186" customWidth="1"/>
    <col min="11810" max="11811" width="18.21875" style="3186" customWidth="1"/>
    <col min="11812" max="11813" width="16.33203125" style="3186" customWidth="1"/>
    <col min="11814" max="11815" width="25" style="3186" customWidth="1"/>
    <col min="11816" max="11816" width="7.109375" style="3186" customWidth="1"/>
    <col min="11817" max="11817" width="18.44140625" style="3186" customWidth="1"/>
    <col min="11818" max="11818" width="19.21875" style="3186" customWidth="1"/>
    <col min="11819" max="11820" width="23" style="3186" customWidth="1"/>
    <col min="11821" max="11821" width="9" style="3186" customWidth="1"/>
    <col min="11822" max="12032" width="8.88671875" style="3186"/>
    <col min="12033" max="12033" width="82.44140625" style="3186" customWidth="1"/>
    <col min="12034" max="12034" width="7.109375" style="3186" customWidth="1"/>
    <col min="12035" max="12035" width="13.33203125" style="3186" customWidth="1"/>
    <col min="12036" max="12036" width="7.109375" style="3186" customWidth="1"/>
    <col min="12037" max="12037" width="5.21875" style="3186" customWidth="1"/>
    <col min="12038" max="12038" width="82.44140625" style="3186" customWidth="1"/>
    <col min="12039" max="12039" width="9" style="3186" customWidth="1"/>
    <col min="12040" max="12040" width="12.21875" style="3186" customWidth="1"/>
    <col min="12041" max="12041" width="48.6640625" style="3186" customWidth="1"/>
    <col min="12042" max="12043" width="15.88671875" style="3186" customWidth="1"/>
    <col min="12044" max="12044" width="18.109375" style="3186" customWidth="1"/>
    <col min="12045" max="12045" width="9" style="3186" customWidth="1"/>
    <col min="12046" max="12046" width="20.33203125" style="3186" customWidth="1"/>
    <col min="12047" max="12047" width="20.109375" style="3186" customWidth="1"/>
    <col min="12048" max="12048" width="11" style="3186" customWidth="1"/>
    <col min="12049" max="12050" width="17.77734375" style="3186" customWidth="1"/>
    <col min="12051" max="12051" width="14.77734375" style="3186" customWidth="1"/>
    <col min="12052" max="12053" width="12.88671875" style="3186" customWidth="1"/>
    <col min="12054" max="12054" width="20.33203125" style="3186" customWidth="1"/>
    <col min="12055" max="12055" width="9" style="3186" customWidth="1"/>
    <col min="12056" max="12059" width="10.21875" style="3186" customWidth="1"/>
    <col min="12060" max="12060" width="22.88671875" style="3186" customWidth="1"/>
    <col min="12061" max="12061" width="9" style="3186" customWidth="1"/>
    <col min="12062" max="12062" width="46.109375" style="3186" customWidth="1"/>
    <col min="12063" max="12065" width="12.109375" style="3186" customWidth="1"/>
    <col min="12066" max="12067" width="18.21875" style="3186" customWidth="1"/>
    <col min="12068" max="12069" width="16.33203125" style="3186" customWidth="1"/>
    <col min="12070" max="12071" width="25" style="3186" customWidth="1"/>
    <col min="12072" max="12072" width="7.109375" style="3186" customWidth="1"/>
    <col min="12073" max="12073" width="18.44140625" style="3186" customWidth="1"/>
    <col min="12074" max="12074" width="19.21875" style="3186" customWidth="1"/>
    <col min="12075" max="12076" width="23" style="3186" customWidth="1"/>
    <col min="12077" max="12077" width="9" style="3186" customWidth="1"/>
    <col min="12078" max="12288" width="8.88671875" style="3186"/>
    <col min="12289" max="12289" width="82.44140625" style="3186" customWidth="1"/>
    <col min="12290" max="12290" width="7.109375" style="3186" customWidth="1"/>
    <col min="12291" max="12291" width="13.33203125" style="3186" customWidth="1"/>
    <col min="12292" max="12292" width="7.109375" style="3186" customWidth="1"/>
    <col min="12293" max="12293" width="5.21875" style="3186" customWidth="1"/>
    <col min="12294" max="12294" width="82.44140625" style="3186" customWidth="1"/>
    <col min="12295" max="12295" width="9" style="3186" customWidth="1"/>
    <col min="12296" max="12296" width="12.21875" style="3186" customWidth="1"/>
    <col min="12297" max="12297" width="48.6640625" style="3186" customWidth="1"/>
    <col min="12298" max="12299" width="15.88671875" style="3186" customWidth="1"/>
    <col min="12300" max="12300" width="18.109375" style="3186" customWidth="1"/>
    <col min="12301" max="12301" width="9" style="3186" customWidth="1"/>
    <col min="12302" max="12302" width="20.33203125" style="3186" customWidth="1"/>
    <col min="12303" max="12303" width="20.109375" style="3186" customWidth="1"/>
    <col min="12304" max="12304" width="11" style="3186" customWidth="1"/>
    <col min="12305" max="12306" width="17.77734375" style="3186" customWidth="1"/>
    <col min="12307" max="12307" width="14.77734375" style="3186" customWidth="1"/>
    <col min="12308" max="12309" width="12.88671875" style="3186" customWidth="1"/>
    <col min="12310" max="12310" width="20.33203125" style="3186" customWidth="1"/>
    <col min="12311" max="12311" width="9" style="3186" customWidth="1"/>
    <col min="12312" max="12315" width="10.21875" style="3186" customWidth="1"/>
    <col min="12316" max="12316" width="22.88671875" style="3186" customWidth="1"/>
    <col min="12317" max="12317" width="9" style="3186" customWidth="1"/>
    <col min="12318" max="12318" width="46.109375" style="3186" customWidth="1"/>
    <col min="12319" max="12321" width="12.109375" style="3186" customWidth="1"/>
    <col min="12322" max="12323" width="18.21875" style="3186" customWidth="1"/>
    <col min="12324" max="12325" width="16.33203125" style="3186" customWidth="1"/>
    <col min="12326" max="12327" width="25" style="3186" customWidth="1"/>
    <col min="12328" max="12328" width="7.109375" style="3186" customWidth="1"/>
    <col min="12329" max="12329" width="18.44140625" style="3186" customWidth="1"/>
    <col min="12330" max="12330" width="19.21875" style="3186" customWidth="1"/>
    <col min="12331" max="12332" width="23" style="3186" customWidth="1"/>
    <col min="12333" max="12333" width="9" style="3186" customWidth="1"/>
    <col min="12334" max="12544" width="8.88671875" style="3186"/>
    <col min="12545" max="12545" width="82.44140625" style="3186" customWidth="1"/>
    <col min="12546" max="12546" width="7.109375" style="3186" customWidth="1"/>
    <col min="12547" max="12547" width="13.33203125" style="3186" customWidth="1"/>
    <col min="12548" max="12548" width="7.109375" style="3186" customWidth="1"/>
    <col min="12549" max="12549" width="5.21875" style="3186" customWidth="1"/>
    <col min="12550" max="12550" width="82.44140625" style="3186" customWidth="1"/>
    <col min="12551" max="12551" width="9" style="3186" customWidth="1"/>
    <col min="12552" max="12552" width="12.21875" style="3186" customWidth="1"/>
    <col min="12553" max="12553" width="48.6640625" style="3186" customWidth="1"/>
    <col min="12554" max="12555" width="15.88671875" style="3186" customWidth="1"/>
    <col min="12556" max="12556" width="18.109375" style="3186" customWidth="1"/>
    <col min="12557" max="12557" width="9" style="3186" customWidth="1"/>
    <col min="12558" max="12558" width="20.33203125" style="3186" customWidth="1"/>
    <col min="12559" max="12559" width="20.109375" style="3186" customWidth="1"/>
    <col min="12560" max="12560" width="11" style="3186" customWidth="1"/>
    <col min="12561" max="12562" width="17.77734375" style="3186" customWidth="1"/>
    <col min="12563" max="12563" width="14.77734375" style="3186" customWidth="1"/>
    <col min="12564" max="12565" width="12.88671875" style="3186" customWidth="1"/>
    <col min="12566" max="12566" width="20.33203125" style="3186" customWidth="1"/>
    <col min="12567" max="12567" width="9" style="3186" customWidth="1"/>
    <col min="12568" max="12571" width="10.21875" style="3186" customWidth="1"/>
    <col min="12572" max="12572" width="22.88671875" style="3186" customWidth="1"/>
    <col min="12573" max="12573" width="9" style="3186" customWidth="1"/>
    <col min="12574" max="12574" width="46.109375" style="3186" customWidth="1"/>
    <col min="12575" max="12577" width="12.109375" style="3186" customWidth="1"/>
    <col min="12578" max="12579" width="18.21875" style="3186" customWidth="1"/>
    <col min="12580" max="12581" width="16.33203125" style="3186" customWidth="1"/>
    <col min="12582" max="12583" width="25" style="3186" customWidth="1"/>
    <col min="12584" max="12584" width="7.109375" style="3186" customWidth="1"/>
    <col min="12585" max="12585" width="18.44140625" style="3186" customWidth="1"/>
    <col min="12586" max="12586" width="19.21875" style="3186" customWidth="1"/>
    <col min="12587" max="12588" width="23" style="3186" customWidth="1"/>
    <col min="12589" max="12589" width="9" style="3186" customWidth="1"/>
    <col min="12590" max="12800" width="8.88671875" style="3186"/>
    <col min="12801" max="12801" width="82.44140625" style="3186" customWidth="1"/>
    <col min="12802" max="12802" width="7.109375" style="3186" customWidth="1"/>
    <col min="12803" max="12803" width="13.33203125" style="3186" customWidth="1"/>
    <col min="12804" max="12804" width="7.109375" style="3186" customWidth="1"/>
    <col min="12805" max="12805" width="5.21875" style="3186" customWidth="1"/>
    <col min="12806" max="12806" width="82.44140625" style="3186" customWidth="1"/>
    <col min="12807" max="12807" width="9" style="3186" customWidth="1"/>
    <col min="12808" max="12808" width="12.21875" style="3186" customWidth="1"/>
    <col min="12809" max="12809" width="48.6640625" style="3186" customWidth="1"/>
    <col min="12810" max="12811" width="15.88671875" style="3186" customWidth="1"/>
    <col min="12812" max="12812" width="18.109375" style="3186" customWidth="1"/>
    <col min="12813" max="12813" width="9" style="3186" customWidth="1"/>
    <col min="12814" max="12814" width="20.33203125" style="3186" customWidth="1"/>
    <col min="12815" max="12815" width="20.109375" style="3186" customWidth="1"/>
    <col min="12816" max="12816" width="11" style="3186" customWidth="1"/>
    <col min="12817" max="12818" width="17.77734375" style="3186" customWidth="1"/>
    <col min="12819" max="12819" width="14.77734375" style="3186" customWidth="1"/>
    <col min="12820" max="12821" width="12.88671875" style="3186" customWidth="1"/>
    <col min="12822" max="12822" width="20.33203125" style="3186" customWidth="1"/>
    <col min="12823" max="12823" width="9" style="3186" customWidth="1"/>
    <col min="12824" max="12827" width="10.21875" style="3186" customWidth="1"/>
    <col min="12828" max="12828" width="22.88671875" style="3186" customWidth="1"/>
    <col min="12829" max="12829" width="9" style="3186" customWidth="1"/>
    <col min="12830" max="12830" width="46.109375" style="3186" customWidth="1"/>
    <col min="12831" max="12833" width="12.109375" style="3186" customWidth="1"/>
    <col min="12834" max="12835" width="18.21875" style="3186" customWidth="1"/>
    <col min="12836" max="12837" width="16.33203125" style="3186" customWidth="1"/>
    <col min="12838" max="12839" width="25" style="3186" customWidth="1"/>
    <col min="12840" max="12840" width="7.109375" style="3186" customWidth="1"/>
    <col min="12841" max="12841" width="18.44140625" style="3186" customWidth="1"/>
    <col min="12842" max="12842" width="19.21875" style="3186" customWidth="1"/>
    <col min="12843" max="12844" width="23" style="3186" customWidth="1"/>
    <col min="12845" max="12845" width="9" style="3186" customWidth="1"/>
    <col min="12846" max="13056" width="8.88671875" style="3186"/>
    <col min="13057" max="13057" width="82.44140625" style="3186" customWidth="1"/>
    <col min="13058" max="13058" width="7.109375" style="3186" customWidth="1"/>
    <col min="13059" max="13059" width="13.33203125" style="3186" customWidth="1"/>
    <col min="13060" max="13060" width="7.109375" style="3186" customWidth="1"/>
    <col min="13061" max="13061" width="5.21875" style="3186" customWidth="1"/>
    <col min="13062" max="13062" width="82.44140625" style="3186" customWidth="1"/>
    <col min="13063" max="13063" width="9" style="3186" customWidth="1"/>
    <col min="13064" max="13064" width="12.21875" style="3186" customWidth="1"/>
    <col min="13065" max="13065" width="48.6640625" style="3186" customWidth="1"/>
    <col min="13066" max="13067" width="15.88671875" style="3186" customWidth="1"/>
    <col min="13068" max="13068" width="18.109375" style="3186" customWidth="1"/>
    <col min="13069" max="13069" width="9" style="3186" customWidth="1"/>
    <col min="13070" max="13070" width="20.33203125" style="3186" customWidth="1"/>
    <col min="13071" max="13071" width="20.109375" style="3186" customWidth="1"/>
    <col min="13072" max="13072" width="11" style="3186" customWidth="1"/>
    <col min="13073" max="13074" width="17.77734375" style="3186" customWidth="1"/>
    <col min="13075" max="13075" width="14.77734375" style="3186" customWidth="1"/>
    <col min="13076" max="13077" width="12.88671875" style="3186" customWidth="1"/>
    <col min="13078" max="13078" width="20.33203125" style="3186" customWidth="1"/>
    <col min="13079" max="13079" width="9" style="3186" customWidth="1"/>
    <col min="13080" max="13083" width="10.21875" style="3186" customWidth="1"/>
    <col min="13084" max="13084" width="22.88671875" style="3186" customWidth="1"/>
    <col min="13085" max="13085" width="9" style="3186" customWidth="1"/>
    <col min="13086" max="13086" width="46.109375" style="3186" customWidth="1"/>
    <col min="13087" max="13089" width="12.109375" style="3186" customWidth="1"/>
    <col min="13090" max="13091" width="18.21875" style="3186" customWidth="1"/>
    <col min="13092" max="13093" width="16.33203125" style="3186" customWidth="1"/>
    <col min="13094" max="13095" width="25" style="3186" customWidth="1"/>
    <col min="13096" max="13096" width="7.109375" style="3186" customWidth="1"/>
    <col min="13097" max="13097" width="18.44140625" style="3186" customWidth="1"/>
    <col min="13098" max="13098" width="19.21875" style="3186" customWidth="1"/>
    <col min="13099" max="13100" width="23" style="3186" customWidth="1"/>
    <col min="13101" max="13101" width="9" style="3186" customWidth="1"/>
    <col min="13102" max="13312" width="8.88671875" style="3186"/>
    <col min="13313" max="13313" width="82.44140625" style="3186" customWidth="1"/>
    <col min="13314" max="13314" width="7.109375" style="3186" customWidth="1"/>
    <col min="13315" max="13315" width="13.33203125" style="3186" customWidth="1"/>
    <col min="13316" max="13316" width="7.109375" style="3186" customWidth="1"/>
    <col min="13317" max="13317" width="5.21875" style="3186" customWidth="1"/>
    <col min="13318" max="13318" width="82.44140625" style="3186" customWidth="1"/>
    <col min="13319" max="13319" width="9" style="3186" customWidth="1"/>
    <col min="13320" max="13320" width="12.21875" style="3186" customWidth="1"/>
    <col min="13321" max="13321" width="48.6640625" style="3186" customWidth="1"/>
    <col min="13322" max="13323" width="15.88671875" style="3186" customWidth="1"/>
    <col min="13324" max="13324" width="18.109375" style="3186" customWidth="1"/>
    <col min="13325" max="13325" width="9" style="3186" customWidth="1"/>
    <col min="13326" max="13326" width="20.33203125" style="3186" customWidth="1"/>
    <col min="13327" max="13327" width="20.109375" style="3186" customWidth="1"/>
    <col min="13328" max="13328" width="11" style="3186" customWidth="1"/>
    <col min="13329" max="13330" width="17.77734375" style="3186" customWidth="1"/>
    <col min="13331" max="13331" width="14.77734375" style="3186" customWidth="1"/>
    <col min="13332" max="13333" width="12.88671875" style="3186" customWidth="1"/>
    <col min="13334" max="13334" width="20.33203125" style="3186" customWidth="1"/>
    <col min="13335" max="13335" width="9" style="3186" customWidth="1"/>
    <col min="13336" max="13339" width="10.21875" style="3186" customWidth="1"/>
    <col min="13340" max="13340" width="22.88671875" style="3186" customWidth="1"/>
    <col min="13341" max="13341" width="9" style="3186" customWidth="1"/>
    <col min="13342" max="13342" width="46.109375" style="3186" customWidth="1"/>
    <col min="13343" max="13345" width="12.109375" style="3186" customWidth="1"/>
    <col min="13346" max="13347" width="18.21875" style="3186" customWidth="1"/>
    <col min="13348" max="13349" width="16.33203125" style="3186" customWidth="1"/>
    <col min="13350" max="13351" width="25" style="3186" customWidth="1"/>
    <col min="13352" max="13352" width="7.109375" style="3186" customWidth="1"/>
    <col min="13353" max="13353" width="18.44140625" style="3186" customWidth="1"/>
    <col min="13354" max="13354" width="19.21875" style="3186" customWidth="1"/>
    <col min="13355" max="13356" width="23" style="3186" customWidth="1"/>
    <col min="13357" max="13357" width="9" style="3186" customWidth="1"/>
    <col min="13358" max="13568" width="8.88671875" style="3186"/>
    <col min="13569" max="13569" width="82.44140625" style="3186" customWidth="1"/>
    <col min="13570" max="13570" width="7.109375" style="3186" customWidth="1"/>
    <col min="13571" max="13571" width="13.33203125" style="3186" customWidth="1"/>
    <col min="13572" max="13572" width="7.109375" style="3186" customWidth="1"/>
    <col min="13573" max="13573" width="5.21875" style="3186" customWidth="1"/>
    <col min="13574" max="13574" width="82.44140625" style="3186" customWidth="1"/>
    <col min="13575" max="13575" width="9" style="3186" customWidth="1"/>
    <col min="13576" max="13576" width="12.21875" style="3186" customWidth="1"/>
    <col min="13577" max="13577" width="48.6640625" style="3186" customWidth="1"/>
    <col min="13578" max="13579" width="15.88671875" style="3186" customWidth="1"/>
    <col min="13580" max="13580" width="18.109375" style="3186" customWidth="1"/>
    <col min="13581" max="13581" width="9" style="3186" customWidth="1"/>
    <col min="13582" max="13582" width="20.33203125" style="3186" customWidth="1"/>
    <col min="13583" max="13583" width="20.109375" style="3186" customWidth="1"/>
    <col min="13584" max="13584" width="11" style="3186" customWidth="1"/>
    <col min="13585" max="13586" width="17.77734375" style="3186" customWidth="1"/>
    <col min="13587" max="13587" width="14.77734375" style="3186" customWidth="1"/>
    <col min="13588" max="13589" width="12.88671875" style="3186" customWidth="1"/>
    <col min="13590" max="13590" width="20.33203125" style="3186" customWidth="1"/>
    <col min="13591" max="13591" width="9" style="3186" customWidth="1"/>
    <col min="13592" max="13595" width="10.21875" style="3186" customWidth="1"/>
    <col min="13596" max="13596" width="22.88671875" style="3186" customWidth="1"/>
    <col min="13597" max="13597" width="9" style="3186" customWidth="1"/>
    <col min="13598" max="13598" width="46.109375" style="3186" customWidth="1"/>
    <col min="13599" max="13601" width="12.109375" style="3186" customWidth="1"/>
    <col min="13602" max="13603" width="18.21875" style="3186" customWidth="1"/>
    <col min="13604" max="13605" width="16.33203125" style="3186" customWidth="1"/>
    <col min="13606" max="13607" width="25" style="3186" customWidth="1"/>
    <col min="13608" max="13608" width="7.109375" style="3186" customWidth="1"/>
    <col min="13609" max="13609" width="18.44140625" style="3186" customWidth="1"/>
    <col min="13610" max="13610" width="19.21875" style="3186" customWidth="1"/>
    <col min="13611" max="13612" width="23" style="3186" customWidth="1"/>
    <col min="13613" max="13613" width="9" style="3186" customWidth="1"/>
    <col min="13614" max="13824" width="8.88671875" style="3186"/>
    <col min="13825" max="13825" width="82.44140625" style="3186" customWidth="1"/>
    <col min="13826" max="13826" width="7.109375" style="3186" customWidth="1"/>
    <col min="13827" max="13827" width="13.33203125" style="3186" customWidth="1"/>
    <col min="13828" max="13828" width="7.109375" style="3186" customWidth="1"/>
    <col min="13829" max="13829" width="5.21875" style="3186" customWidth="1"/>
    <col min="13830" max="13830" width="82.44140625" style="3186" customWidth="1"/>
    <col min="13831" max="13831" width="9" style="3186" customWidth="1"/>
    <col min="13832" max="13832" width="12.21875" style="3186" customWidth="1"/>
    <col min="13833" max="13833" width="48.6640625" style="3186" customWidth="1"/>
    <col min="13834" max="13835" width="15.88671875" style="3186" customWidth="1"/>
    <col min="13836" max="13836" width="18.109375" style="3186" customWidth="1"/>
    <col min="13837" max="13837" width="9" style="3186" customWidth="1"/>
    <col min="13838" max="13838" width="20.33203125" style="3186" customWidth="1"/>
    <col min="13839" max="13839" width="20.109375" style="3186" customWidth="1"/>
    <col min="13840" max="13840" width="11" style="3186" customWidth="1"/>
    <col min="13841" max="13842" width="17.77734375" style="3186" customWidth="1"/>
    <col min="13843" max="13843" width="14.77734375" style="3186" customWidth="1"/>
    <col min="13844" max="13845" width="12.88671875" style="3186" customWidth="1"/>
    <col min="13846" max="13846" width="20.33203125" style="3186" customWidth="1"/>
    <col min="13847" max="13847" width="9" style="3186" customWidth="1"/>
    <col min="13848" max="13851" width="10.21875" style="3186" customWidth="1"/>
    <col min="13852" max="13852" width="22.88671875" style="3186" customWidth="1"/>
    <col min="13853" max="13853" width="9" style="3186" customWidth="1"/>
    <col min="13854" max="13854" width="46.109375" style="3186" customWidth="1"/>
    <col min="13855" max="13857" width="12.109375" style="3186" customWidth="1"/>
    <col min="13858" max="13859" width="18.21875" style="3186" customWidth="1"/>
    <col min="13860" max="13861" width="16.33203125" style="3186" customWidth="1"/>
    <col min="13862" max="13863" width="25" style="3186" customWidth="1"/>
    <col min="13864" max="13864" width="7.109375" style="3186" customWidth="1"/>
    <col min="13865" max="13865" width="18.44140625" style="3186" customWidth="1"/>
    <col min="13866" max="13866" width="19.21875" style="3186" customWidth="1"/>
    <col min="13867" max="13868" width="23" style="3186" customWidth="1"/>
    <col min="13869" max="13869" width="9" style="3186" customWidth="1"/>
    <col min="13870" max="14080" width="8.88671875" style="3186"/>
    <col min="14081" max="14081" width="82.44140625" style="3186" customWidth="1"/>
    <col min="14082" max="14082" width="7.109375" style="3186" customWidth="1"/>
    <col min="14083" max="14083" width="13.33203125" style="3186" customWidth="1"/>
    <col min="14084" max="14084" width="7.109375" style="3186" customWidth="1"/>
    <col min="14085" max="14085" width="5.21875" style="3186" customWidth="1"/>
    <col min="14086" max="14086" width="82.44140625" style="3186" customWidth="1"/>
    <col min="14087" max="14087" width="9" style="3186" customWidth="1"/>
    <col min="14088" max="14088" width="12.21875" style="3186" customWidth="1"/>
    <col min="14089" max="14089" width="48.6640625" style="3186" customWidth="1"/>
    <col min="14090" max="14091" width="15.88671875" style="3186" customWidth="1"/>
    <col min="14092" max="14092" width="18.109375" style="3186" customWidth="1"/>
    <col min="14093" max="14093" width="9" style="3186" customWidth="1"/>
    <col min="14094" max="14094" width="20.33203125" style="3186" customWidth="1"/>
    <col min="14095" max="14095" width="20.109375" style="3186" customWidth="1"/>
    <col min="14096" max="14096" width="11" style="3186" customWidth="1"/>
    <col min="14097" max="14098" width="17.77734375" style="3186" customWidth="1"/>
    <col min="14099" max="14099" width="14.77734375" style="3186" customWidth="1"/>
    <col min="14100" max="14101" width="12.88671875" style="3186" customWidth="1"/>
    <col min="14102" max="14102" width="20.33203125" style="3186" customWidth="1"/>
    <col min="14103" max="14103" width="9" style="3186" customWidth="1"/>
    <col min="14104" max="14107" width="10.21875" style="3186" customWidth="1"/>
    <col min="14108" max="14108" width="22.88671875" style="3186" customWidth="1"/>
    <col min="14109" max="14109" width="9" style="3186" customWidth="1"/>
    <col min="14110" max="14110" width="46.109375" style="3186" customWidth="1"/>
    <col min="14111" max="14113" width="12.109375" style="3186" customWidth="1"/>
    <col min="14114" max="14115" width="18.21875" style="3186" customWidth="1"/>
    <col min="14116" max="14117" width="16.33203125" style="3186" customWidth="1"/>
    <col min="14118" max="14119" width="25" style="3186" customWidth="1"/>
    <col min="14120" max="14120" width="7.109375" style="3186" customWidth="1"/>
    <col min="14121" max="14121" width="18.44140625" style="3186" customWidth="1"/>
    <col min="14122" max="14122" width="19.21875" style="3186" customWidth="1"/>
    <col min="14123" max="14124" width="23" style="3186" customWidth="1"/>
    <col min="14125" max="14125" width="9" style="3186" customWidth="1"/>
    <col min="14126" max="14336" width="8.88671875" style="3186"/>
    <col min="14337" max="14337" width="82.44140625" style="3186" customWidth="1"/>
    <col min="14338" max="14338" width="7.109375" style="3186" customWidth="1"/>
    <col min="14339" max="14339" width="13.33203125" style="3186" customWidth="1"/>
    <col min="14340" max="14340" width="7.109375" style="3186" customWidth="1"/>
    <col min="14341" max="14341" width="5.21875" style="3186" customWidth="1"/>
    <col min="14342" max="14342" width="82.44140625" style="3186" customWidth="1"/>
    <col min="14343" max="14343" width="9" style="3186" customWidth="1"/>
    <col min="14344" max="14344" width="12.21875" style="3186" customWidth="1"/>
    <col min="14345" max="14345" width="48.6640625" style="3186" customWidth="1"/>
    <col min="14346" max="14347" width="15.88671875" style="3186" customWidth="1"/>
    <col min="14348" max="14348" width="18.109375" style="3186" customWidth="1"/>
    <col min="14349" max="14349" width="9" style="3186" customWidth="1"/>
    <col min="14350" max="14350" width="20.33203125" style="3186" customWidth="1"/>
    <col min="14351" max="14351" width="20.109375" style="3186" customWidth="1"/>
    <col min="14352" max="14352" width="11" style="3186" customWidth="1"/>
    <col min="14353" max="14354" width="17.77734375" style="3186" customWidth="1"/>
    <col min="14355" max="14355" width="14.77734375" style="3186" customWidth="1"/>
    <col min="14356" max="14357" width="12.88671875" style="3186" customWidth="1"/>
    <col min="14358" max="14358" width="20.33203125" style="3186" customWidth="1"/>
    <col min="14359" max="14359" width="9" style="3186" customWidth="1"/>
    <col min="14360" max="14363" width="10.21875" style="3186" customWidth="1"/>
    <col min="14364" max="14364" width="22.88671875" style="3186" customWidth="1"/>
    <col min="14365" max="14365" width="9" style="3186" customWidth="1"/>
    <col min="14366" max="14366" width="46.109375" style="3186" customWidth="1"/>
    <col min="14367" max="14369" width="12.109375" style="3186" customWidth="1"/>
    <col min="14370" max="14371" width="18.21875" style="3186" customWidth="1"/>
    <col min="14372" max="14373" width="16.33203125" style="3186" customWidth="1"/>
    <col min="14374" max="14375" width="25" style="3186" customWidth="1"/>
    <col min="14376" max="14376" width="7.109375" style="3186" customWidth="1"/>
    <col min="14377" max="14377" width="18.44140625" style="3186" customWidth="1"/>
    <col min="14378" max="14378" width="19.21875" style="3186" customWidth="1"/>
    <col min="14379" max="14380" width="23" style="3186" customWidth="1"/>
    <col min="14381" max="14381" width="9" style="3186" customWidth="1"/>
    <col min="14382" max="14592" width="8.88671875" style="3186"/>
    <col min="14593" max="14593" width="82.44140625" style="3186" customWidth="1"/>
    <col min="14594" max="14594" width="7.109375" style="3186" customWidth="1"/>
    <col min="14595" max="14595" width="13.33203125" style="3186" customWidth="1"/>
    <col min="14596" max="14596" width="7.109375" style="3186" customWidth="1"/>
    <col min="14597" max="14597" width="5.21875" style="3186" customWidth="1"/>
    <col min="14598" max="14598" width="82.44140625" style="3186" customWidth="1"/>
    <col min="14599" max="14599" width="9" style="3186" customWidth="1"/>
    <col min="14600" max="14600" width="12.21875" style="3186" customWidth="1"/>
    <col min="14601" max="14601" width="48.6640625" style="3186" customWidth="1"/>
    <col min="14602" max="14603" width="15.88671875" style="3186" customWidth="1"/>
    <col min="14604" max="14604" width="18.109375" style="3186" customWidth="1"/>
    <col min="14605" max="14605" width="9" style="3186" customWidth="1"/>
    <col min="14606" max="14606" width="20.33203125" style="3186" customWidth="1"/>
    <col min="14607" max="14607" width="20.109375" style="3186" customWidth="1"/>
    <col min="14608" max="14608" width="11" style="3186" customWidth="1"/>
    <col min="14609" max="14610" width="17.77734375" style="3186" customWidth="1"/>
    <col min="14611" max="14611" width="14.77734375" style="3186" customWidth="1"/>
    <col min="14612" max="14613" width="12.88671875" style="3186" customWidth="1"/>
    <col min="14614" max="14614" width="20.33203125" style="3186" customWidth="1"/>
    <col min="14615" max="14615" width="9" style="3186" customWidth="1"/>
    <col min="14616" max="14619" width="10.21875" style="3186" customWidth="1"/>
    <col min="14620" max="14620" width="22.88671875" style="3186" customWidth="1"/>
    <col min="14621" max="14621" width="9" style="3186" customWidth="1"/>
    <col min="14622" max="14622" width="46.109375" style="3186" customWidth="1"/>
    <col min="14623" max="14625" width="12.109375" style="3186" customWidth="1"/>
    <col min="14626" max="14627" width="18.21875" style="3186" customWidth="1"/>
    <col min="14628" max="14629" width="16.33203125" style="3186" customWidth="1"/>
    <col min="14630" max="14631" width="25" style="3186" customWidth="1"/>
    <col min="14632" max="14632" width="7.109375" style="3186" customWidth="1"/>
    <col min="14633" max="14633" width="18.44140625" style="3186" customWidth="1"/>
    <col min="14634" max="14634" width="19.21875" style="3186" customWidth="1"/>
    <col min="14635" max="14636" width="23" style="3186" customWidth="1"/>
    <col min="14637" max="14637" width="9" style="3186" customWidth="1"/>
    <col min="14638" max="14848" width="8.88671875" style="3186"/>
    <col min="14849" max="14849" width="82.44140625" style="3186" customWidth="1"/>
    <col min="14850" max="14850" width="7.109375" style="3186" customWidth="1"/>
    <col min="14851" max="14851" width="13.33203125" style="3186" customWidth="1"/>
    <col min="14852" max="14852" width="7.109375" style="3186" customWidth="1"/>
    <col min="14853" max="14853" width="5.21875" style="3186" customWidth="1"/>
    <col min="14854" max="14854" width="82.44140625" style="3186" customWidth="1"/>
    <col min="14855" max="14855" width="9" style="3186" customWidth="1"/>
    <col min="14856" max="14856" width="12.21875" style="3186" customWidth="1"/>
    <col min="14857" max="14857" width="48.6640625" style="3186" customWidth="1"/>
    <col min="14858" max="14859" width="15.88671875" style="3186" customWidth="1"/>
    <col min="14860" max="14860" width="18.109375" style="3186" customWidth="1"/>
    <col min="14861" max="14861" width="9" style="3186" customWidth="1"/>
    <col min="14862" max="14862" width="20.33203125" style="3186" customWidth="1"/>
    <col min="14863" max="14863" width="20.109375" style="3186" customWidth="1"/>
    <col min="14864" max="14864" width="11" style="3186" customWidth="1"/>
    <col min="14865" max="14866" width="17.77734375" style="3186" customWidth="1"/>
    <col min="14867" max="14867" width="14.77734375" style="3186" customWidth="1"/>
    <col min="14868" max="14869" width="12.88671875" style="3186" customWidth="1"/>
    <col min="14870" max="14870" width="20.33203125" style="3186" customWidth="1"/>
    <col min="14871" max="14871" width="9" style="3186" customWidth="1"/>
    <col min="14872" max="14875" width="10.21875" style="3186" customWidth="1"/>
    <col min="14876" max="14876" width="22.88671875" style="3186" customWidth="1"/>
    <col min="14877" max="14877" width="9" style="3186" customWidth="1"/>
    <col min="14878" max="14878" width="46.109375" style="3186" customWidth="1"/>
    <col min="14879" max="14881" width="12.109375" style="3186" customWidth="1"/>
    <col min="14882" max="14883" width="18.21875" style="3186" customWidth="1"/>
    <col min="14884" max="14885" width="16.33203125" style="3186" customWidth="1"/>
    <col min="14886" max="14887" width="25" style="3186" customWidth="1"/>
    <col min="14888" max="14888" width="7.109375" style="3186" customWidth="1"/>
    <col min="14889" max="14889" width="18.44140625" style="3186" customWidth="1"/>
    <col min="14890" max="14890" width="19.21875" style="3186" customWidth="1"/>
    <col min="14891" max="14892" width="23" style="3186" customWidth="1"/>
    <col min="14893" max="14893" width="9" style="3186" customWidth="1"/>
    <col min="14894" max="15104" width="8.88671875" style="3186"/>
    <col min="15105" max="15105" width="82.44140625" style="3186" customWidth="1"/>
    <col min="15106" max="15106" width="7.109375" style="3186" customWidth="1"/>
    <col min="15107" max="15107" width="13.33203125" style="3186" customWidth="1"/>
    <col min="15108" max="15108" width="7.109375" style="3186" customWidth="1"/>
    <col min="15109" max="15109" width="5.21875" style="3186" customWidth="1"/>
    <col min="15110" max="15110" width="82.44140625" style="3186" customWidth="1"/>
    <col min="15111" max="15111" width="9" style="3186" customWidth="1"/>
    <col min="15112" max="15112" width="12.21875" style="3186" customWidth="1"/>
    <col min="15113" max="15113" width="48.6640625" style="3186" customWidth="1"/>
    <col min="15114" max="15115" width="15.88671875" style="3186" customWidth="1"/>
    <col min="15116" max="15116" width="18.109375" style="3186" customWidth="1"/>
    <col min="15117" max="15117" width="9" style="3186" customWidth="1"/>
    <col min="15118" max="15118" width="20.33203125" style="3186" customWidth="1"/>
    <col min="15119" max="15119" width="20.109375" style="3186" customWidth="1"/>
    <col min="15120" max="15120" width="11" style="3186" customWidth="1"/>
    <col min="15121" max="15122" width="17.77734375" style="3186" customWidth="1"/>
    <col min="15123" max="15123" width="14.77734375" style="3186" customWidth="1"/>
    <col min="15124" max="15125" width="12.88671875" style="3186" customWidth="1"/>
    <col min="15126" max="15126" width="20.33203125" style="3186" customWidth="1"/>
    <col min="15127" max="15127" width="9" style="3186" customWidth="1"/>
    <col min="15128" max="15131" width="10.21875" style="3186" customWidth="1"/>
    <col min="15132" max="15132" width="22.88671875" style="3186" customWidth="1"/>
    <col min="15133" max="15133" width="9" style="3186" customWidth="1"/>
    <col min="15134" max="15134" width="46.109375" style="3186" customWidth="1"/>
    <col min="15135" max="15137" width="12.109375" style="3186" customWidth="1"/>
    <col min="15138" max="15139" width="18.21875" style="3186" customWidth="1"/>
    <col min="15140" max="15141" width="16.33203125" style="3186" customWidth="1"/>
    <col min="15142" max="15143" width="25" style="3186" customWidth="1"/>
    <col min="15144" max="15144" width="7.109375" style="3186" customWidth="1"/>
    <col min="15145" max="15145" width="18.44140625" style="3186" customWidth="1"/>
    <col min="15146" max="15146" width="19.21875" style="3186" customWidth="1"/>
    <col min="15147" max="15148" width="23" style="3186" customWidth="1"/>
    <col min="15149" max="15149" width="9" style="3186" customWidth="1"/>
    <col min="15150" max="15360" width="8.88671875" style="3186"/>
    <col min="15361" max="15361" width="82.44140625" style="3186" customWidth="1"/>
    <col min="15362" max="15362" width="7.109375" style="3186" customWidth="1"/>
    <col min="15363" max="15363" width="13.33203125" style="3186" customWidth="1"/>
    <col min="15364" max="15364" width="7.109375" style="3186" customWidth="1"/>
    <col min="15365" max="15365" width="5.21875" style="3186" customWidth="1"/>
    <col min="15366" max="15366" width="82.44140625" style="3186" customWidth="1"/>
    <col min="15367" max="15367" width="9" style="3186" customWidth="1"/>
    <col min="15368" max="15368" width="12.21875" style="3186" customWidth="1"/>
    <col min="15369" max="15369" width="48.6640625" style="3186" customWidth="1"/>
    <col min="15370" max="15371" width="15.88671875" style="3186" customWidth="1"/>
    <col min="15372" max="15372" width="18.109375" style="3186" customWidth="1"/>
    <col min="15373" max="15373" width="9" style="3186" customWidth="1"/>
    <col min="15374" max="15374" width="20.33203125" style="3186" customWidth="1"/>
    <col min="15375" max="15375" width="20.109375" style="3186" customWidth="1"/>
    <col min="15376" max="15376" width="11" style="3186" customWidth="1"/>
    <col min="15377" max="15378" width="17.77734375" style="3186" customWidth="1"/>
    <col min="15379" max="15379" width="14.77734375" style="3186" customWidth="1"/>
    <col min="15380" max="15381" width="12.88671875" style="3186" customWidth="1"/>
    <col min="15382" max="15382" width="20.33203125" style="3186" customWidth="1"/>
    <col min="15383" max="15383" width="9" style="3186" customWidth="1"/>
    <col min="15384" max="15387" width="10.21875" style="3186" customWidth="1"/>
    <col min="15388" max="15388" width="22.88671875" style="3186" customWidth="1"/>
    <col min="15389" max="15389" width="9" style="3186" customWidth="1"/>
    <col min="15390" max="15390" width="46.109375" style="3186" customWidth="1"/>
    <col min="15391" max="15393" width="12.109375" style="3186" customWidth="1"/>
    <col min="15394" max="15395" width="18.21875" style="3186" customWidth="1"/>
    <col min="15396" max="15397" width="16.33203125" style="3186" customWidth="1"/>
    <col min="15398" max="15399" width="25" style="3186" customWidth="1"/>
    <col min="15400" max="15400" width="7.109375" style="3186" customWidth="1"/>
    <col min="15401" max="15401" width="18.44140625" style="3186" customWidth="1"/>
    <col min="15402" max="15402" width="19.21875" style="3186" customWidth="1"/>
    <col min="15403" max="15404" width="23" style="3186" customWidth="1"/>
    <col min="15405" max="15405" width="9" style="3186" customWidth="1"/>
    <col min="15406" max="15616" width="8.88671875" style="3186"/>
    <col min="15617" max="15617" width="82.44140625" style="3186" customWidth="1"/>
    <col min="15618" max="15618" width="7.109375" style="3186" customWidth="1"/>
    <col min="15619" max="15619" width="13.33203125" style="3186" customWidth="1"/>
    <col min="15620" max="15620" width="7.109375" style="3186" customWidth="1"/>
    <col min="15621" max="15621" width="5.21875" style="3186" customWidth="1"/>
    <col min="15622" max="15622" width="82.44140625" style="3186" customWidth="1"/>
    <col min="15623" max="15623" width="9" style="3186" customWidth="1"/>
    <col min="15624" max="15624" width="12.21875" style="3186" customWidth="1"/>
    <col min="15625" max="15625" width="48.6640625" style="3186" customWidth="1"/>
    <col min="15626" max="15627" width="15.88671875" style="3186" customWidth="1"/>
    <col min="15628" max="15628" width="18.109375" style="3186" customWidth="1"/>
    <col min="15629" max="15629" width="9" style="3186" customWidth="1"/>
    <col min="15630" max="15630" width="20.33203125" style="3186" customWidth="1"/>
    <col min="15631" max="15631" width="20.109375" style="3186" customWidth="1"/>
    <col min="15632" max="15632" width="11" style="3186" customWidth="1"/>
    <col min="15633" max="15634" width="17.77734375" style="3186" customWidth="1"/>
    <col min="15635" max="15635" width="14.77734375" style="3186" customWidth="1"/>
    <col min="15636" max="15637" width="12.88671875" style="3186" customWidth="1"/>
    <col min="15638" max="15638" width="20.33203125" style="3186" customWidth="1"/>
    <col min="15639" max="15639" width="9" style="3186" customWidth="1"/>
    <col min="15640" max="15643" width="10.21875" style="3186" customWidth="1"/>
    <col min="15644" max="15644" width="22.88671875" style="3186" customWidth="1"/>
    <col min="15645" max="15645" width="9" style="3186" customWidth="1"/>
    <col min="15646" max="15646" width="46.109375" style="3186" customWidth="1"/>
    <col min="15647" max="15649" width="12.109375" style="3186" customWidth="1"/>
    <col min="15650" max="15651" width="18.21875" style="3186" customWidth="1"/>
    <col min="15652" max="15653" width="16.33203125" style="3186" customWidth="1"/>
    <col min="15654" max="15655" width="25" style="3186" customWidth="1"/>
    <col min="15656" max="15656" width="7.109375" style="3186" customWidth="1"/>
    <col min="15657" max="15657" width="18.44140625" style="3186" customWidth="1"/>
    <col min="15658" max="15658" width="19.21875" style="3186" customWidth="1"/>
    <col min="15659" max="15660" width="23" style="3186" customWidth="1"/>
    <col min="15661" max="15661" width="9" style="3186" customWidth="1"/>
    <col min="15662" max="15872" width="8.88671875" style="3186"/>
    <col min="15873" max="15873" width="82.44140625" style="3186" customWidth="1"/>
    <col min="15874" max="15874" width="7.109375" style="3186" customWidth="1"/>
    <col min="15875" max="15875" width="13.33203125" style="3186" customWidth="1"/>
    <col min="15876" max="15876" width="7.109375" style="3186" customWidth="1"/>
    <col min="15877" max="15877" width="5.21875" style="3186" customWidth="1"/>
    <col min="15878" max="15878" width="82.44140625" style="3186" customWidth="1"/>
    <col min="15879" max="15879" width="9" style="3186" customWidth="1"/>
    <col min="15880" max="15880" width="12.21875" style="3186" customWidth="1"/>
    <col min="15881" max="15881" width="48.6640625" style="3186" customWidth="1"/>
    <col min="15882" max="15883" width="15.88671875" style="3186" customWidth="1"/>
    <col min="15884" max="15884" width="18.109375" style="3186" customWidth="1"/>
    <col min="15885" max="15885" width="9" style="3186" customWidth="1"/>
    <col min="15886" max="15886" width="20.33203125" style="3186" customWidth="1"/>
    <col min="15887" max="15887" width="20.109375" style="3186" customWidth="1"/>
    <col min="15888" max="15888" width="11" style="3186" customWidth="1"/>
    <col min="15889" max="15890" width="17.77734375" style="3186" customWidth="1"/>
    <col min="15891" max="15891" width="14.77734375" style="3186" customWidth="1"/>
    <col min="15892" max="15893" width="12.88671875" style="3186" customWidth="1"/>
    <col min="15894" max="15894" width="20.33203125" style="3186" customWidth="1"/>
    <col min="15895" max="15895" width="9" style="3186" customWidth="1"/>
    <col min="15896" max="15899" width="10.21875" style="3186" customWidth="1"/>
    <col min="15900" max="15900" width="22.88671875" style="3186" customWidth="1"/>
    <col min="15901" max="15901" width="9" style="3186" customWidth="1"/>
    <col min="15902" max="15902" width="46.109375" style="3186" customWidth="1"/>
    <col min="15903" max="15905" width="12.109375" style="3186" customWidth="1"/>
    <col min="15906" max="15907" width="18.21875" style="3186" customWidth="1"/>
    <col min="15908" max="15909" width="16.33203125" style="3186" customWidth="1"/>
    <col min="15910" max="15911" width="25" style="3186" customWidth="1"/>
    <col min="15912" max="15912" width="7.109375" style="3186" customWidth="1"/>
    <col min="15913" max="15913" width="18.44140625" style="3186" customWidth="1"/>
    <col min="15914" max="15914" width="19.21875" style="3186" customWidth="1"/>
    <col min="15915" max="15916" width="23" style="3186" customWidth="1"/>
    <col min="15917" max="15917" width="9" style="3186" customWidth="1"/>
    <col min="15918" max="16128" width="8.88671875" style="3186"/>
    <col min="16129" max="16129" width="82.44140625" style="3186" customWidth="1"/>
    <col min="16130" max="16130" width="7.109375" style="3186" customWidth="1"/>
    <col min="16131" max="16131" width="13.33203125" style="3186" customWidth="1"/>
    <col min="16132" max="16132" width="7.109375" style="3186" customWidth="1"/>
    <col min="16133" max="16133" width="5.21875" style="3186" customWidth="1"/>
    <col min="16134" max="16134" width="82.44140625" style="3186" customWidth="1"/>
    <col min="16135" max="16135" width="9" style="3186" customWidth="1"/>
    <col min="16136" max="16136" width="12.21875" style="3186" customWidth="1"/>
    <col min="16137" max="16137" width="48.6640625" style="3186" customWidth="1"/>
    <col min="16138" max="16139" width="15.88671875" style="3186" customWidth="1"/>
    <col min="16140" max="16140" width="18.109375" style="3186" customWidth="1"/>
    <col min="16141" max="16141" width="9" style="3186" customWidth="1"/>
    <col min="16142" max="16142" width="20.33203125" style="3186" customWidth="1"/>
    <col min="16143" max="16143" width="20.109375" style="3186" customWidth="1"/>
    <col min="16144" max="16144" width="11" style="3186" customWidth="1"/>
    <col min="16145" max="16146" width="17.77734375" style="3186" customWidth="1"/>
    <col min="16147" max="16147" width="14.77734375" style="3186" customWidth="1"/>
    <col min="16148" max="16149" width="12.88671875" style="3186" customWidth="1"/>
    <col min="16150" max="16150" width="20.33203125" style="3186" customWidth="1"/>
    <col min="16151" max="16151" width="9" style="3186" customWidth="1"/>
    <col min="16152" max="16155" width="10.21875" style="3186" customWidth="1"/>
    <col min="16156" max="16156" width="22.88671875" style="3186" customWidth="1"/>
    <col min="16157" max="16157" width="9" style="3186" customWidth="1"/>
    <col min="16158" max="16158" width="46.109375" style="3186" customWidth="1"/>
    <col min="16159" max="16161" width="12.109375" style="3186" customWidth="1"/>
    <col min="16162" max="16163" width="18.21875" style="3186" customWidth="1"/>
    <col min="16164" max="16165" width="16.33203125" style="3186" customWidth="1"/>
    <col min="16166" max="16167" width="25" style="3186" customWidth="1"/>
    <col min="16168" max="16168" width="7.109375" style="3186" customWidth="1"/>
    <col min="16169" max="16169" width="18.44140625" style="3186" customWidth="1"/>
    <col min="16170" max="16170" width="19.21875" style="3186" customWidth="1"/>
    <col min="16171" max="16172" width="23" style="3186" customWidth="1"/>
    <col min="16173" max="16173" width="9" style="3186" customWidth="1"/>
    <col min="16174" max="16384" width="8.88671875" style="3186"/>
  </cols>
  <sheetData>
    <row r="1" spans="1:45">
      <c r="A1" s="3186" t="s">
        <v>3020</v>
      </c>
      <c r="B1" s="3186" t="s">
        <v>3021</v>
      </c>
      <c r="C1" s="3186" t="s">
        <v>3022</v>
      </c>
      <c r="D1" s="3186" t="s">
        <v>3023</v>
      </c>
      <c r="E1" s="3186" t="s">
        <v>3024</v>
      </c>
      <c r="F1" s="3186" t="s">
        <v>3025</v>
      </c>
      <c r="G1" s="3186" t="s">
        <v>3026</v>
      </c>
      <c r="H1" s="3186" t="s">
        <v>3027</v>
      </c>
      <c r="I1" s="3186" t="s">
        <v>3028</v>
      </c>
      <c r="J1" s="3186" t="s">
        <v>3029</v>
      </c>
      <c r="K1" s="3186" t="s">
        <v>3030</v>
      </c>
      <c r="L1" s="3186" t="s">
        <v>1994</v>
      </c>
      <c r="M1" s="3186" t="s">
        <v>3031</v>
      </c>
      <c r="N1" s="3186" t="s">
        <v>3032</v>
      </c>
      <c r="O1" s="3186" t="s">
        <v>3033</v>
      </c>
      <c r="P1" s="3186" t="s">
        <v>3034</v>
      </c>
      <c r="Q1" s="3186" t="s">
        <v>3035</v>
      </c>
      <c r="R1" s="3186" t="s">
        <v>3036</v>
      </c>
      <c r="S1" s="3186" t="s">
        <v>3037</v>
      </c>
      <c r="T1" s="3186" t="s">
        <v>3038</v>
      </c>
      <c r="U1" s="3186" t="s">
        <v>3039</v>
      </c>
      <c r="V1" s="3186" t="s">
        <v>3040</v>
      </c>
      <c r="W1" s="3186" t="s">
        <v>3041</v>
      </c>
      <c r="X1" s="3186" t="s">
        <v>3042</v>
      </c>
      <c r="Y1" s="3186" t="s">
        <v>3043</v>
      </c>
      <c r="Z1" s="3186" t="s">
        <v>3044</v>
      </c>
      <c r="AA1" s="3186" t="s">
        <v>3045</v>
      </c>
      <c r="AB1" s="3186" t="s">
        <v>3046</v>
      </c>
      <c r="AC1" s="3186" t="s">
        <v>3047</v>
      </c>
      <c r="AD1" s="3186" t="s">
        <v>3048</v>
      </c>
      <c r="AE1" s="3186" t="s">
        <v>3049</v>
      </c>
      <c r="AF1" s="3186" t="s">
        <v>3050</v>
      </c>
      <c r="AG1" s="3186" t="s">
        <v>3051</v>
      </c>
      <c r="AH1" s="3186" t="s">
        <v>3052</v>
      </c>
      <c r="AI1" s="3186" t="s">
        <v>3053</v>
      </c>
      <c r="AJ1" s="3186" t="s">
        <v>3054</v>
      </c>
      <c r="AK1" s="3186" t="s">
        <v>3055</v>
      </c>
      <c r="AL1" s="3186" t="s">
        <v>3056</v>
      </c>
      <c r="AM1" s="3186" t="s">
        <v>3057</v>
      </c>
      <c r="AN1" s="3186" t="s">
        <v>3058</v>
      </c>
      <c r="AO1" s="3186" t="s">
        <v>3059</v>
      </c>
      <c r="AP1" s="3186" t="s">
        <v>3060</v>
      </c>
      <c r="AQ1" s="3186" t="s">
        <v>3061</v>
      </c>
      <c r="AR1" s="3186" t="s">
        <v>3062</v>
      </c>
      <c r="AS1" s="3186" t="s">
        <v>3323</v>
      </c>
    </row>
    <row r="2" spans="1:45">
      <c r="A2" s="3186" t="s">
        <v>3324</v>
      </c>
      <c r="B2" s="3186" t="s">
        <v>3084</v>
      </c>
      <c r="C2" s="3186" t="s">
        <v>3099</v>
      </c>
      <c r="D2" s="3186" t="s">
        <v>3189</v>
      </c>
      <c r="E2" s="3186" t="s">
        <v>2780</v>
      </c>
      <c r="F2" s="3186" t="s">
        <v>3324</v>
      </c>
      <c r="G2" s="3186" t="s">
        <v>3063</v>
      </c>
      <c r="H2" s="3186" t="s">
        <v>3325</v>
      </c>
      <c r="I2" s="3186" t="s">
        <v>3144</v>
      </c>
      <c r="J2" s="3186">
        <v>103410</v>
      </c>
      <c r="K2" s="3186">
        <v>56875.49</v>
      </c>
      <c r="L2" s="3186" t="s">
        <v>3326</v>
      </c>
      <c r="M2" s="3186" t="s">
        <v>2780</v>
      </c>
      <c r="N2" s="3186" t="s">
        <v>3064</v>
      </c>
      <c r="O2" s="3186" t="s">
        <v>3327</v>
      </c>
      <c r="P2" s="3186" t="s">
        <v>2780</v>
      </c>
      <c r="Q2" s="3186" t="s">
        <v>2780</v>
      </c>
      <c r="R2" s="3186" t="s">
        <v>2780</v>
      </c>
      <c r="S2" s="3186" t="s">
        <v>2780</v>
      </c>
      <c r="T2" s="3186" t="s">
        <v>2780</v>
      </c>
      <c r="U2" s="3186" t="s">
        <v>2780</v>
      </c>
      <c r="V2" s="3186" t="s">
        <v>2780</v>
      </c>
      <c r="W2" s="3186" t="s">
        <v>3065</v>
      </c>
      <c r="X2" s="3186" t="s">
        <v>3328</v>
      </c>
      <c r="Y2" s="3186" t="s">
        <v>3329</v>
      </c>
      <c r="Z2" s="3186" t="s">
        <v>3330</v>
      </c>
      <c r="AA2" s="3186" t="s">
        <v>3330</v>
      </c>
      <c r="AB2" s="3186" t="s">
        <v>3331</v>
      </c>
      <c r="AC2" s="3186" t="s">
        <v>3066</v>
      </c>
      <c r="AD2" s="3186" t="s">
        <v>3332</v>
      </c>
      <c r="AE2" s="3186">
        <v>12676</v>
      </c>
      <c r="AF2" s="3186" t="s">
        <v>2780</v>
      </c>
      <c r="AG2" s="3186">
        <v>22220</v>
      </c>
      <c r="AH2" s="3186" t="s">
        <v>2780</v>
      </c>
      <c r="AI2" s="3186">
        <v>143.25</v>
      </c>
      <c r="AJ2" s="3186" t="s">
        <v>2780</v>
      </c>
      <c r="AK2" s="3186">
        <v>3906.78</v>
      </c>
      <c r="AL2" s="3186" t="s">
        <v>2780</v>
      </c>
      <c r="AM2" s="3186" t="s">
        <v>2780</v>
      </c>
      <c r="AN2" s="3186" t="s">
        <v>2780</v>
      </c>
      <c r="AO2" s="3186" t="s">
        <v>3105</v>
      </c>
      <c r="AP2" s="3186" t="s">
        <v>2780</v>
      </c>
      <c r="AQ2" s="3186" t="s">
        <v>2780</v>
      </c>
      <c r="AR2" s="3186" t="s">
        <v>2780</v>
      </c>
      <c r="AS2" s="3186" t="s">
        <v>3333</v>
      </c>
    </row>
    <row r="3" spans="1:45" s="3193" customFormat="1">
      <c r="A3" s="3193" t="s">
        <v>3334</v>
      </c>
      <c r="B3" s="3193" t="s">
        <v>3084</v>
      </c>
      <c r="C3" s="3193" t="s">
        <v>3099</v>
      </c>
      <c r="D3" s="3193" t="s">
        <v>3189</v>
      </c>
      <c r="E3" s="3193" t="s">
        <v>2780</v>
      </c>
      <c r="F3" s="3193" t="s">
        <v>3334</v>
      </c>
      <c r="G3" s="3193" t="s">
        <v>3063</v>
      </c>
      <c r="H3" s="3193" t="s">
        <v>3335</v>
      </c>
      <c r="I3" s="3193" t="s">
        <v>3169</v>
      </c>
      <c r="J3" s="3193">
        <v>66057.919999999998</v>
      </c>
      <c r="K3" s="3193">
        <v>36331.86</v>
      </c>
      <c r="L3" s="3193" t="s">
        <v>3326</v>
      </c>
      <c r="M3" s="3193" t="s">
        <v>2780</v>
      </c>
      <c r="N3" s="3193" t="s">
        <v>3102</v>
      </c>
      <c r="O3" s="3193" t="s">
        <v>3121</v>
      </c>
      <c r="P3" s="3193" t="s">
        <v>2780</v>
      </c>
      <c r="Q3" s="3193" t="s">
        <v>2780</v>
      </c>
      <c r="R3" s="3193" t="s">
        <v>2780</v>
      </c>
      <c r="S3" s="3193" t="s">
        <v>2780</v>
      </c>
      <c r="T3" s="3193" t="s">
        <v>2780</v>
      </c>
      <c r="U3" s="3193" t="s">
        <v>2780</v>
      </c>
      <c r="V3" s="3193" t="s">
        <v>2780</v>
      </c>
      <c r="W3" s="3193" t="s">
        <v>3065</v>
      </c>
      <c r="X3" s="3193" t="s">
        <v>3328</v>
      </c>
      <c r="Y3" s="3193" t="s">
        <v>3329</v>
      </c>
      <c r="Z3" s="3193" t="s">
        <v>3330</v>
      </c>
      <c r="AA3" s="3193" t="s">
        <v>3330</v>
      </c>
      <c r="AB3" s="3193" t="s">
        <v>3336</v>
      </c>
      <c r="AC3" s="3193" t="s">
        <v>3066</v>
      </c>
      <c r="AD3" s="3193" t="s">
        <v>3337</v>
      </c>
      <c r="AE3" s="3193">
        <v>15062</v>
      </c>
      <c r="AF3" s="3193" t="s">
        <v>2780</v>
      </c>
      <c r="AG3" s="3193">
        <v>27120</v>
      </c>
      <c r="AH3" s="3193" t="s">
        <v>2780</v>
      </c>
      <c r="AI3" s="3193">
        <v>273.7</v>
      </c>
      <c r="AJ3" s="3193" t="s">
        <v>2780</v>
      </c>
      <c r="AK3" s="3193">
        <v>7464.52</v>
      </c>
      <c r="AL3" s="3193" t="s">
        <v>2780</v>
      </c>
      <c r="AM3" s="3193" t="s">
        <v>2780</v>
      </c>
      <c r="AN3" s="3193" t="s">
        <v>2780</v>
      </c>
      <c r="AO3" s="3193" t="s">
        <v>3105</v>
      </c>
      <c r="AP3" s="3193" t="s">
        <v>2780</v>
      </c>
      <c r="AQ3" s="3193" t="s">
        <v>2780</v>
      </c>
      <c r="AR3" s="3193" t="s">
        <v>2780</v>
      </c>
      <c r="AS3" s="3193" t="s">
        <v>3333</v>
      </c>
    </row>
    <row r="4" spans="1:45" s="3193" customFormat="1">
      <c r="A4" s="3193" t="s">
        <v>3083</v>
      </c>
      <c r="B4" s="3193" t="s">
        <v>3084</v>
      </c>
      <c r="C4" s="3193" t="s">
        <v>3085</v>
      </c>
      <c r="D4" s="3193" t="s">
        <v>3086</v>
      </c>
      <c r="E4" s="3193" t="s">
        <v>2780</v>
      </c>
      <c r="F4" s="3193" t="s">
        <v>3083</v>
      </c>
      <c r="G4" s="3193" t="s">
        <v>3063</v>
      </c>
      <c r="H4" s="3193" t="s">
        <v>3087</v>
      </c>
      <c r="I4" s="3193" t="s">
        <v>3088</v>
      </c>
      <c r="J4" s="3193">
        <v>74746.149999999994</v>
      </c>
      <c r="K4" s="3193">
        <v>33635.769999999997</v>
      </c>
      <c r="L4" s="3193" t="s">
        <v>3089</v>
      </c>
      <c r="M4" s="3193" t="s">
        <v>2780</v>
      </c>
      <c r="N4" s="3193" t="s">
        <v>3090</v>
      </c>
      <c r="O4" s="3193" t="s">
        <v>3091</v>
      </c>
      <c r="P4" s="3193" t="s">
        <v>2780</v>
      </c>
      <c r="Q4" s="3193" t="s">
        <v>2780</v>
      </c>
      <c r="R4" s="3193" t="s">
        <v>2780</v>
      </c>
      <c r="S4" s="3193" t="s">
        <v>2780</v>
      </c>
      <c r="T4" s="3193" t="s">
        <v>2780</v>
      </c>
      <c r="U4" s="3193" t="s">
        <v>2780</v>
      </c>
      <c r="V4" s="3193" t="s">
        <v>2780</v>
      </c>
      <c r="W4" s="3193" t="s">
        <v>3065</v>
      </c>
      <c r="X4" s="3193" t="s">
        <v>3092</v>
      </c>
      <c r="Y4" s="3193" t="s">
        <v>3093</v>
      </c>
      <c r="Z4" s="3193" t="s">
        <v>3094</v>
      </c>
      <c r="AA4" s="3193" t="s">
        <v>3094</v>
      </c>
      <c r="AB4" s="3193" t="s">
        <v>3095</v>
      </c>
      <c r="AC4" s="3193" t="s">
        <v>3066</v>
      </c>
      <c r="AD4" s="3193" t="s">
        <v>3096</v>
      </c>
      <c r="AE4" s="3193">
        <v>44258</v>
      </c>
      <c r="AF4" s="3193" t="s">
        <v>2780</v>
      </c>
      <c r="AG4" s="3193">
        <v>12801</v>
      </c>
      <c r="AH4" s="3193" t="s">
        <v>2780</v>
      </c>
      <c r="AI4" s="3193">
        <v>114.17</v>
      </c>
      <c r="AJ4" s="3193" t="s">
        <v>2780</v>
      </c>
      <c r="AK4" s="3193">
        <v>3805.76</v>
      </c>
      <c r="AL4" s="3193" t="s">
        <v>2780</v>
      </c>
      <c r="AM4" s="3193" t="s">
        <v>2780</v>
      </c>
      <c r="AN4" s="3193" t="s">
        <v>2780</v>
      </c>
      <c r="AO4" s="3193" t="s">
        <v>3097</v>
      </c>
      <c r="AP4" s="3193" t="s">
        <v>2780</v>
      </c>
      <c r="AQ4" s="3193" t="s">
        <v>2780</v>
      </c>
      <c r="AR4" s="3193" t="s">
        <v>2780</v>
      </c>
      <c r="AS4" s="3193" t="s">
        <v>3338</v>
      </c>
    </row>
    <row r="5" spans="1:45" s="3193" customFormat="1">
      <c r="A5" s="3193" t="s">
        <v>3098</v>
      </c>
      <c r="B5" s="3193" t="s">
        <v>3084</v>
      </c>
      <c r="C5" s="3193" t="s">
        <v>3099</v>
      </c>
      <c r="D5" s="3193" t="s">
        <v>3086</v>
      </c>
      <c r="E5" s="3193" t="s">
        <v>2780</v>
      </c>
      <c r="F5" s="3193" t="s">
        <v>3098</v>
      </c>
      <c r="G5" s="3193" t="s">
        <v>3063</v>
      </c>
      <c r="H5" s="3193" t="s">
        <v>3087</v>
      </c>
      <c r="I5" s="3193" t="s">
        <v>3100</v>
      </c>
      <c r="J5" s="3193">
        <v>74514.399999999994</v>
      </c>
      <c r="K5" s="3193">
        <v>89417.279999999999</v>
      </c>
      <c r="L5" s="3193" t="s">
        <v>3101</v>
      </c>
      <c r="M5" s="3193" t="s">
        <v>2780</v>
      </c>
      <c r="N5" s="3193" t="s">
        <v>3102</v>
      </c>
      <c r="O5" s="3193" t="s">
        <v>3103</v>
      </c>
      <c r="P5" s="3193" t="s">
        <v>2780</v>
      </c>
      <c r="Q5" s="3193" t="s">
        <v>2780</v>
      </c>
      <c r="R5" s="3193" t="s">
        <v>2780</v>
      </c>
      <c r="S5" s="3193" t="s">
        <v>2780</v>
      </c>
      <c r="T5" s="3193" t="s">
        <v>2780</v>
      </c>
      <c r="U5" s="3193" t="s">
        <v>2780</v>
      </c>
      <c r="V5" s="3193" t="s">
        <v>2780</v>
      </c>
      <c r="W5" s="3193" t="s">
        <v>3065</v>
      </c>
      <c r="X5" s="3193" t="s">
        <v>3092</v>
      </c>
      <c r="Y5" s="3193" t="s">
        <v>3093</v>
      </c>
      <c r="Z5" s="3193" t="s">
        <v>3094</v>
      </c>
      <c r="AA5" s="3193" t="s">
        <v>3094</v>
      </c>
      <c r="AB5" s="3193" t="s">
        <v>3104</v>
      </c>
      <c r="AC5" s="3193" t="s">
        <v>3066</v>
      </c>
      <c r="AD5" s="3193" t="s">
        <v>3096</v>
      </c>
      <c r="AE5" s="3193">
        <v>44258</v>
      </c>
      <c r="AF5" s="3193" t="s">
        <v>2780</v>
      </c>
      <c r="AG5" s="3193">
        <v>63949</v>
      </c>
      <c r="AH5" s="3193" t="s">
        <v>2780</v>
      </c>
      <c r="AI5" s="3193">
        <v>572.14</v>
      </c>
      <c r="AJ5" s="3193" t="s">
        <v>2780</v>
      </c>
      <c r="AK5" s="3193">
        <v>7151.75</v>
      </c>
      <c r="AL5" s="3193" t="s">
        <v>2780</v>
      </c>
      <c r="AM5" s="3193" t="s">
        <v>2780</v>
      </c>
      <c r="AN5" s="3193" t="s">
        <v>2780</v>
      </c>
      <c r="AO5" s="3193" t="s">
        <v>3105</v>
      </c>
      <c r="AP5" s="3193" t="s">
        <v>2780</v>
      </c>
      <c r="AQ5" s="3193" t="s">
        <v>2780</v>
      </c>
      <c r="AR5" s="3193" t="s">
        <v>2780</v>
      </c>
      <c r="AS5" s="3193" t="s">
        <v>3338</v>
      </c>
    </row>
    <row r="6" spans="1:45" s="3187" customFormat="1">
      <c r="A6" s="3187" t="s">
        <v>3106</v>
      </c>
      <c r="B6" s="3187" t="s">
        <v>3084</v>
      </c>
      <c r="C6" s="3187" t="s">
        <v>3099</v>
      </c>
      <c r="D6" s="3187" t="s">
        <v>3107</v>
      </c>
      <c r="E6" s="3187" t="s">
        <v>2780</v>
      </c>
      <c r="F6" s="3187" t="s">
        <v>3106</v>
      </c>
      <c r="G6" s="3187" t="s">
        <v>3063</v>
      </c>
      <c r="H6" s="3187" t="s">
        <v>3108</v>
      </c>
      <c r="I6" s="3187" t="s">
        <v>3100</v>
      </c>
      <c r="J6" s="3187">
        <v>5039.78</v>
      </c>
      <c r="K6" s="3187">
        <v>15068.94</v>
      </c>
      <c r="L6" s="3187" t="s">
        <v>3109</v>
      </c>
      <c r="M6" s="3187" t="s">
        <v>2780</v>
      </c>
      <c r="N6" s="3187" t="s">
        <v>3110</v>
      </c>
      <c r="O6" s="3187" t="s">
        <v>3339</v>
      </c>
      <c r="P6" s="3186" t="s">
        <v>2780</v>
      </c>
      <c r="Q6" s="3186" t="s">
        <v>2780</v>
      </c>
      <c r="R6" s="3186" t="s">
        <v>2780</v>
      </c>
      <c r="S6" s="3186" t="s">
        <v>2780</v>
      </c>
      <c r="T6" s="3186" t="s">
        <v>2780</v>
      </c>
      <c r="U6" s="3186" t="s">
        <v>2780</v>
      </c>
      <c r="V6" s="3186" t="s">
        <v>2780</v>
      </c>
      <c r="W6" s="3187" t="s">
        <v>3065</v>
      </c>
      <c r="X6" s="3187" t="s">
        <v>3111</v>
      </c>
      <c r="Y6" s="3187" t="s">
        <v>3112</v>
      </c>
      <c r="Z6" s="3187" t="s">
        <v>3113</v>
      </c>
      <c r="AA6" s="3187" t="s">
        <v>3113</v>
      </c>
      <c r="AB6" s="3187" t="s">
        <v>3114</v>
      </c>
      <c r="AC6" s="3187" t="s">
        <v>3066</v>
      </c>
      <c r="AD6" s="3187" t="s">
        <v>3115</v>
      </c>
      <c r="AE6" s="3187">
        <v>7449</v>
      </c>
      <c r="AF6" s="3186" t="s">
        <v>2780</v>
      </c>
      <c r="AG6" s="3187">
        <v>8950</v>
      </c>
      <c r="AH6" s="3186" t="s">
        <v>2780</v>
      </c>
      <c r="AI6" s="3187">
        <v>1183.9100000000001</v>
      </c>
      <c r="AJ6" s="3186" t="s">
        <v>2780</v>
      </c>
      <c r="AK6" s="3187">
        <v>5939.36</v>
      </c>
      <c r="AL6" s="3186" t="s">
        <v>2780</v>
      </c>
      <c r="AM6" s="3186" t="s">
        <v>2780</v>
      </c>
      <c r="AN6" s="3187" t="s">
        <v>2780</v>
      </c>
      <c r="AO6" s="3187" t="s">
        <v>3105</v>
      </c>
      <c r="AP6" s="3186" t="s">
        <v>2780</v>
      </c>
      <c r="AQ6" s="3186" t="s">
        <v>2780</v>
      </c>
      <c r="AR6" s="3186" t="s">
        <v>2780</v>
      </c>
      <c r="AS6" s="3187" t="s">
        <v>3340</v>
      </c>
    </row>
    <row r="7" spans="1:45">
      <c r="A7" s="3186" t="s">
        <v>3116</v>
      </c>
      <c r="B7" s="3186" t="s">
        <v>3084</v>
      </c>
      <c r="C7" s="3186" t="s">
        <v>3085</v>
      </c>
      <c r="D7" s="3186" t="s">
        <v>3117</v>
      </c>
      <c r="E7" s="3186" t="s">
        <v>2780</v>
      </c>
      <c r="F7" s="3186" t="s">
        <v>3116</v>
      </c>
      <c r="G7" s="3186" t="s">
        <v>3063</v>
      </c>
      <c r="H7" s="3186" t="s">
        <v>3118</v>
      </c>
      <c r="I7" s="3186" t="s">
        <v>3119</v>
      </c>
      <c r="J7" s="3186">
        <v>45974.77</v>
      </c>
      <c r="K7" s="3186">
        <v>27584.86</v>
      </c>
      <c r="L7" s="3186" t="s">
        <v>3120</v>
      </c>
      <c r="M7" s="3186" t="s">
        <v>2780</v>
      </c>
      <c r="N7" s="3186" t="s">
        <v>3102</v>
      </c>
      <c r="O7" s="3186" t="s">
        <v>3121</v>
      </c>
      <c r="P7" s="3186" t="s">
        <v>2780</v>
      </c>
      <c r="Q7" s="3186" t="s">
        <v>2780</v>
      </c>
      <c r="R7" s="3186" t="s">
        <v>2780</v>
      </c>
      <c r="S7" s="3186" t="s">
        <v>2780</v>
      </c>
      <c r="T7" s="3186" t="s">
        <v>2780</v>
      </c>
      <c r="U7" s="3186" t="s">
        <v>2780</v>
      </c>
      <c r="V7" s="3186" t="s">
        <v>2780</v>
      </c>
      <c r="W7" s="3186" t="s">
        <v>3065</v>
      </c>
      <c r="X7" s="3186" t="s">
        <v>3122</v>
      </c>
      <c r="Y7" s="3186" t="s">
        <v>3123</v>
      </c>
      <c r="Z7" s="3186" t="s">
        <v>3124</v>
      </c>
      <c r="AA7" s="3186" t="s">
        <v>3124</v>
      </c>
      <c r="AB7" s="3186" t="s">
        <v>3125</v>
      </c>
      <c r="AC7" s="3186" t="s">
        <v>3066</v>
      </c>
      <c r="AD7" s="3186" t="s">
        <v>3126</v>
      </c>
      <c r="AE7" s="3186">
        <v>3631</v>
      </c>
      <c r="AF7" s="3186" t="s">
        <v>2780</v>
      </c>
      <c r="AG7" s="3186">
        <v>6053</v>
      </c>
      <c r="AH7" s="3186" t="s">
        <v>2780</v>
      </c>
      <c r="AI7" s="3186">
        <v>87.77</v>
      </c>
      <c r="AJ7" s="3186" t="s">
        <v>2780</v>
      </c>
      <c r="AK7" s="3186">
        <v>2194.3200000000002</v>
      </c>
      <c r="AL7" s="3186" t="s">
        <v>2780</v>
      </c>
      <c r="AM7" s="3186" t="s">
        <v>2780</v>
      </c>
      <c r="AN7" s="3186" t="s">
        <v>2780</v>
      </c>
      <c r="AO7" s="3186" t="s">
        <v>3097</v>
      </c>
      <c r="AP7" s="3186" t="s">
        <v>2780</v>
      </c>
      <c r="AQ7" s="3186" t="s">
        <v>2780</v>
      </c>
      <c r="AR7" s="3186" t="s">
        <v>2780</v>
      </c>
      <c r="AS7" s="3186" t="s">
        <v>3341</v>
      </c>
    </row>
    <row r="8" spans="1:45">
      <c r="A8" s="3186" t="s">
        <v>3127</v>
      </c>
      <c r="B8" s="3186" t="s">
        <v>3084</v>
      </c>
      <c r="C8" s="3186" t="s">
        <v>3085</v>
      </c>
      <c r="D8" s="3186" t="s">
        <v>3117</v>
      </c>
      <c r="E8" s="3186" t="s">
        <v>2780</v>
      </c>
      <c r="F8" s="3186" t="s">
        <v>3127</v>
      </c>
      <c r="G8" s="3186" t="s">
        <v>3063</v>
      </c>
      <c r="H8" s="3186" t="s">
        <v>3128</v>
      </c>
      <c r="I8" s="3186" t="s">
        <v>3129</v>
      </c>
      <c r="J8" s="3186">
        <v>177818.2</v>
      </c>
      <c r="K8" s="3186">
        <v>213381.8</v>
      </c>
      <c r="L8" s="3186" t="s">
        <v>3101</v>
      </c>
      <c r="M8" s="3186" t="s">
        <v>2780</v>
      </c>
      <c r="N8" s="3186" t="s">
        <v>3064</v>
      </c>
      <c r="O8" s="3186" t="s">
        <v>3130</v>
      </c>
      <c r="P8" s="3186" t="s">
        <v>2780</v>
      </c>
      <c r="Q8" s="3186" t="s">
        <v>2780</v>
      </c>
      <c r="R8" s="3186" t="s">
        <v>2780</v>
      </c>
      <c r="S8" s="3186" t="s">
        <v>2780</v>
      </c>
      <c r="T8" s="3186" t="s">
        <v>2780</v>
      </c>
      <c r="U8" s="3186" t="s">
        <v>2780</v>
      </c>
      <c r="V8" s="3186" t="s">
        <v>2780</v>
      </c>
      <c r="W8" s="3186" t="s">
        <v>3065</v>
      </c>
      <c r="X8" s="3186" t="s">
        <v>3122</v>
      </c>
      <c r="Y8" s="3186" t="s">
        <v>3123</v>
      </c>
      <c r="Z8" s="3186" t="s">
        <v>3124</v>
      </c>
      <c r="AA8" s="3186" t="s">
        <v>3124</v>
      </c>
      <c r="AB8" s="3186" t="s">
        <v>3131</v>
      </c>
      <c r="AC8" s="3186" t="s">
        <v>3066</v>
      </c>
      <c r="AD8" s="3186" t="s">
        <v>3126</v>
      </c>
      <c r="AE8" s="3186">
        <v>14873</v>
      </c>
      <c r="AF8" s="3186" t="s">
        <v>2780</v>
      </c>
      <c r="AG8" s="3186">
        <v>25398</v>
      </c>
      <c r="AH8" s="3186" t="s">
        <v>2780</v>
      </c>
      <c r="AI8" s="3186">
        <v>95.22</v>
      </c>
      <c r="AJ8" s="3186" t="s">
        <v>2780</v>
      </c>
      <c r="AK8" s="3186">
        <v>1190.25</v>
      </c>
      <c r="AL8" s="3186" t="s">
        <v>2780</v>
      </c>
      <c r="AM8" s="3186" t="s">
        <v>2780</v>
      </c>
      <c r="AN8" s="3186" t="s">
        <v>2780</v>
      </c>
      <c r="AO8" s="3186" t="s">
        <v>3097</v>
      </c>
      <c r="AP8" s="3186" t="s">
        <v>2780</v>
      </c>
      <c r="AQ8" s="3186" t="s">
        <v>2780</v>
      </c>
      <c r="AR8" s="3186" t="s">
        <v>2780</v>
      </c>
      <c r="AS8" s="3186" t="s">
        <v>3341</v>
      </c>
    </row>
    <row r="9" spans="1:45">
      <c r="A9" s="3186" t="s">
        <v>3132</v>
      </c>
      <c r="B9" s="3186" t="s">
        <v>3084</v>
      </c>
      <c r="C9" s="3186" t="s">
        <v>3085</v>
      </c>
      <c r="D9" s="3186" t="s">
        <v>3086</v>
      </c>
      <c r="E9" s="3186" t="s">
        <v>2780</v>
      </c>
      <c r="F9" s="3186" t="s">
        <v>3132</v>
      </c>
      <c r="G9" s="3186" t="s">
        <v>3063</v>
      </c>
      <c r="H9" s="3186" t="s">
        <v>3133</v>
      </c>
      <c r="I9" s="3186" t="s">
        <v>3134</v>
      </c>
      <c r="J9" s="3186">
        <v>92671.9</v>
      </c>
      <c r="K9" s="3186">
        <v>74137.52</v>
      </c>
      <c r="L9" s="3186" t="s">
        <v>3135</v>
      </c>
      <c r="M9" s="3186" t="s">
        <v>2780</v>
      </c>
      <c r="N9" s="3186" t="s">
        <v>3102</v>
      </c>
      <c r="O9" s="3186" t="s">
        <v>3136</v>
      </c>
      <c r="P9" s="3186" t="s">
        <v>2780</v>
      </c>
      <c r="Q9" s="3186" t="s">
        <v>2780</v>
      </c>
      <c r="R9" s="3186" t="s">
        <v>2780</v>
      </c>
      <c r="S9" s="3186" t="s">
        <v>2780</v>
      </c>
      <c r="T9" s="3186" t="s">
        <v>2780</v>
      </c>
      <c r="U9" s="3186" t="s">
        <v>2780</v>
      </c>
      <c r="V9" s="3186" t="s">
        <v>2780</v>
      </c>
      <c r="W9" s="3186" t="s">
        <v>3068</v>
      </c>
      <c r="X9" s="3186" t="s">
        <v>3137</v>
      </c>
      <c r="Y9" s="3186" t="s">
        <v>3138</v>
      </c>
      <c r="Z9" s="3186" t="s">
        <v>3139</v>
      </c>
      <c r="AA9" s="3186" t="s">
        <v>3139</v>
      </c>
      <c r="AB9" s="3186" t="s">
        <v>3140</v>
      </c>
      <c r="AC9" s="3186" t="s">
        <v>3066</v>
      </c>
      <c r="AD9" s="3186" t="s">
        <v>3141</v>
      </c>
      <c r="AE9" s="3186">
        <v>9959</v>
      </c>
      <c r="AF9" s="3186" t="s">
        <v>2780</v>
      </c>
      <c r="AG9" s="3186">
        <v>18150</v>
      </c>
      <c r="AH9" s="3186" t="s">
        <v>2780</v>
      </c>
      <c r="AI9" s="3186">
        <v>130.57</v>
      </c>
      <c r="AJ9" s="3186" t="s">
        <v>2780</v>
      </c>
      <c r="AK9" s="3186">
        <v>2448.15</v>
      </c>
      <c r="AL9" s="3186" t="s">
        <v>2780</v>
      </c>
      <c r="AM9" s="3186" t="s">
        <v>2780</v>
      </c>
      <c r="AN9" s="3186" t="s">
        <v>2780</v>
      </c>
      <c r="AO9" s="3186" t="s">
        <v>3097</v>
      </c>
      <c r="AP9" s="3186" t="s">
        <v>2780</v>
      </c>
      <c r="AQ9" s="3186" t="s">
        <v>2780</v>
      </c>
      <c r="AR9" s="3186" t="s">
        <v>2780</v>
      </c>
      <c r="AS9" s="3186" t="s">
        <v>3341</v>
      </c>
    </row>
    <row r="10" spans="1:45">
      <c r="A10" s="3186" t="s">
        <v>3142</v>
      </c>
      <c r="B10" s="3186" t="s">
        <v>3084</v>
      </c>
      <c r="C10" s="3186" t="s">
        <v>3099</v>
      </c>
      <c r="D10" s="3186" t="s">
        <v>3086</v>
      </c>
      <c r="E10" s="3186" t="s">
        <v>2780</v>
      </c>
      <c r="F10" s="3186" t="s">
        <v>3142</v>
      </c>
      <c r="G10" s="3186" t="s">
        <v>3063</v>
      </c>
      <c r="H10" s="3186" t="s">
        <v>3143</v>
      </c>
      <c r="I10" s="3186" t="s">
        <v>3144</v>
      </c>
      <c r="J10" s="3186">
        <v>143540.9</v>
      </c>
      <c r="K10" s="3186">
        <v>100478.6</v>
      </c>
      <c r="L10" s="3186" t="s">
        <v>3145</v>
      </c>
      <c r="M10" s="3186" t="s">
        <v>2780</v>
      </c>
      <c r="N10" s="3186" t="s">
        <v>3110</v>
      </c>
      <c r="O10" s="3186" t="s">
        <v>3146</v>
      </c>
      <c r="P10" s="3186" t="s">
        <v>2780</v>
      </c>
      <c r="Q10" s="3186" t="s">
        <v>2780</v>
      </c>
      <c r="R10" s="3186" t="s">
        <v>2780</v>
      </c>
      <c r="S10" s="3186" t="s">
        <v>2780</v>
      </c>
      <c r="T10" s="3186" t="s">
        <v>2780</v>
      </c>
      <c r="U10" s="3186" t="s">
        <v>2780</v>
      </c>
      <c r="V10" s="3186" t="s">
        <v>2780</v>
      </c>
      <c r="W10" s="3186" t="s">
        <v>3068</v>
      </c>
      <c r="X10" s="3186" t="s">
        <v>3137</v>
      </c>
      <c r="Y10" s="3186" t="s">
        <v>3147</v>
      </c>
      <c r="Z10" s="3186" t="s">
        <v>3148</v>
      </c>
      <c r="AA10" s="3186" t="s">
        <v>3148</v>
      </c>
      <c r="AB10" s="3186" t="s">
        <v>3149</v>
      </c>
      <c r="AC10" s="3186" t="s">
        <v>3066</v>
      </c>
      <c r="AD10" s="3186" t="s">
        <v>3150</v>
      </c>
      <c r="AE10" s="3186">
        <v>49953</v>
      </c>
      <c r="AF10" s="3186" t="s">
        <v>2780</v>
      </c>
      <c r="AG10" s="3186">
        <v>84458</v>
      </c>
      <c r="AH10" s="3186" t="s">
        <v>2780</v>
      </c>
      <c r="AI10" s="3186">
        <v>392.26</v>
      </c>
      <c r="AJ10" s="3186" t="s">
        <v>2780</v>
      </c>
      <c r="AK10" s="3186">
        <v>8405.56</v>
      </c>
      <c r="AL10" s="3186" t="s">
        <v>2780</v>
      </c>
      <c r="AM10" s="3186" t="s">
        <v>2780</v>
      </c>
      <c r="AN10" s="3186" t="s">
        <v>2780</v>
      </c>
      <c r="AO10" s="3186" t="s">
        <v>3105</v>
      </c>
      <c r="AP10" s="3186" t="s">
        <v>2780</v>
      </c>
      <c r="AQ10" s="3186" t="s">
        <v>2780</v>
      </c>
      <c r="AR10" s="3186" t="s">
        <v>2780</v>
      </c>
      <c r="AS10" s="3186" t="s">
        <v>3333</v>
      </c>
    </row>
    <row r="11" spans="1:45">
      <c r="A11" s="3186" t="s">
        <v>3151</v>
      </c>
      <c r="B11" s="3186" t="s">
        <v>3084</v>
      </c>
      <c r="C11" s="3186" t="s">
        <v>3085</v>
      </c>
      <c r="D11" s="3186" t="s">
        <v>3117</v>
      </c>
      <c r="E11" s="3186" t="s">
        <v>2780</v>
      </c>
      <c r="F11" s="3186" t="s">
        <v>3151</v>
      </c>
      <c r="G11" s="3186" t="s">
        <v>3063</v>
      </c>
      <c r="H11" s="3186" t="s">
        <v>3152</v>
      </c>
      <c r="I11" s="3186" t="s">
        <v>3129</v>
      </c>
      <c r="J11" s="3186">
        <v>111993</v>
      </c>
      <c r="K11" s="3186">
        <v>167989.5</v>
      </c>
      <c r="L11" s="3186" t="s">
        <v>3153</v>
      </c>
      <c r="M11" s="3186" t="s">
        <v>2780</v>
      </c>
      <c r="N11" s="3186" t="s">
        <v>3154</v>
      </c>
      <c r="O11" s="3186" t="s">
        <v>3136</v>
      </c>
      <c r="P11" s="3186" t="s">
        <v>2780</v>
      </c>
      <c r="Q11" s="3186" t="s">
        <v>2780</v>
      </c>
      <c r="R11" s="3186" t="s">
        <v>2780</v>
      </c>
      <c r="S11" s="3186" t="s">
        <v>2780</v>
      </c>
      <c r="T11" s="3186" t="s">
        <v>2780</v>
      </c>
      <c r="U11" s="3186" t="s">
        <v>2780</v>
      </c>
      <c r="V11" s="3186" t="s">
        <v>2780</v>
      </c>
      <c r="W11" s="3186" t="s">
        <v>3068</v>
      </c>
      <c r="X11" s="3186" t="s">
        <v>3155</v>
      </c>
      <c r="Y11" s="3186" t="s">
        <v>3156</v>
      </c>
      <c r="Z11" s="3186" t="s">
        <v>3157</v>
      </c>
      <c r="AA11" s="3186" t="s">
        <v>3157</v>
      </c>
      <c r="AB11" s="3186" t="s">
        <v>3158</v>
      </c>
      <c r="AC11" s="3186" t="s">
        <v>3066</v>
      </c>
      <c r="AD11" s="3186" t="s">
        <v>3159</v>
      </c>
      <c r="AE11" s="3186">
        <v>9327</v>
      </c>
      <c r="AF11" s="3186" t="s">
        <v>2780</v>
      </c>
      <c r="AG11" s="3186">
        <v>15788</v>
      </c>
      <c r="AH11" s="3186" t="s">
        <v>2780</v>
      </c>
      <c r="AI11" s="3186">
        <v>93.98</v>
      </c>
      <c r="AJ11" s="3186" t="s">
        <v>2780</v>
      </c>
      <c r="AK11" s="3186">
        <v>939.82</v>
      </c>
      <c r="AL11" s="3186" t="s">
        <v>2780</v>
      </c>
      <c r="AM11" s="3186" t="s">
        <v>2780</v>
      </c>
      <c r="AN11" s="3186" t="s">
        <v>2780</v>
      </c>
      <c r="AO11" s="3186" t="s">
        <v>3097</v>
      </c>
      <c r="AP11" s="3186" t="s">
        <v>2780</v>
      </c>
      <c r="AQ11" s="3186" t="s">
        <v>2780</v>
      </c>
      <c r="AR11" s="3186" t="s">
        <v>2780</v>
      </c>
      <c r="AS11" s="3186" t="s">
        <v>3341</v>
      </c>
    </row>
    <row r="12" spans="1:45">
      <c r="A12" s="3186" t="s">
        <v>3160</v>
      </c>
      <c r="B12" s="3186" t="s">
        <v>3084</v>
      </c>
      <c r="C12" s="3186" t="s">
        <v>3085</v>
      </c>
      <c r="D12" s="3186" t="s">
        <v>3107</v>
      </c>
      <c r="E12" s="3186" t="s">
        <v>2780</v>
      </c>
      <c r="F12" s="3186" t="s">
        <v>3160</v>
      </c>
      <c r="G12" s="3186" t="s">
        <v>3063</v>
      </c>
      <c r="H12" s="3186" t="s">
        <v>3161</v>
      </c>
      <c r="I12" s="3186" t="s">
        <v>3129</v>
      </c>
      <c r="J12" s="3186">
        <v>3704.73</v>
      </c>
      <c r="K12" s="3186">
        <v>2963.78</v>
      </c>
      <c r="L12" s="3186" t="s">
        <v>3135</v>
      </c>
      <c r="M12" s="3186" t="s">
        <v>2780</v>
      </c>
      <c r="N12" s="3186" t="s">
        <v>3064</v>
      </c>
      <c r="O12" s="3186" t="s">
        <v>3162</v>
      </c>
      <c r="P12" s="3186" t="s">
        <v>2780</v>
      </c>
      <c r="Q12" s="3186" t="s">
        <v>2780</v>
      </c>
      <c r="R12" s="3186" t="s">
        <v>2780</v>
      </c>
      <c r="S12" s="3186" t="s">
        <v>2780</v>
      </c>
      <c r="T12" s="3186" t="s">
        <v>2780</v>
      </c>
      <c r="U12" s="3186" t="s">
        <v>2780</v>
      </c>
      <c r="V12" s="3186" t="s">
        <v>2780</v>
      </c>
      <c r="W12" s="3186" t="s">
        <v>3068</v>
      </c>
      <c r="X12" s="3186" t="s">
        <v>3163</v>
      </c>
      <c r="Y12" s="3186" t="s">
        <v>3137</v>
      </c>
      <c r="Z12" s="3186" t="s">
        <v>3164</v>
      </c>
      <c r="AA12" s="3186" t="s">
        <v>3164</v>
      </c>
      <c r="AB12" s="3186" t="s">
        <v>3165</v>
      </c>
      <c r="AC12" s="3186" t="s">
        <v>3066</v>
      </c>
      <c r="AD12" s="3186" t="s">
        <v>3166</v>
      </c>
      <c r="AE12" s="3186">
        <v>367</v>
      </c>
      <c r="AF12" s="3186" t="s">
        <v>2780</v>
      </c>
      <c r="AG12" s="3186">
        <v>627</v>
      </c>
      <c r="AH12" s="3186" t="s">
        <v>2780</v>
      </c>
      <c r="AI12" s="3186">
        <v>112.83</v>
      </c>
      <c r="AJ12" s="3186" t="s">
        <v>2780</v>
      </c>
      <c r="AK12" s="3186">
        <v>2115.5300000000002</v>
      </c>
      <c r="AL12" s="3186" t="s">
        <v>2780</v>
      </c>
      <c r="AM12" s="3186" t="s">
        <v>2780</v>
      </c>
      <c r="AN12" s="3186" t="s">
        <v>2780</v>
      </c>
      <c r="AO12" s="3186" t="s">
        <v>3097</v>
      </c>
      <c r="AP12" s="3186" t="s">
        <v>2780</v>
      </c>
      <c r="AQ12" s="3186" t="s">
        <v>2780</v>
      </c>
      <c r="AR12" s="3186" t="s">
        <v>2780</v>
      </c>
      <c r="AS12" s="3186" t="s">
        <v>3341</v>
      </c>
    </row>
    <row r="13" spans="1:45">
      <c r="A13" s="3186" t="s">
        <v>3167</v>
      </c>
      <c r="B13" s="3186" t="s">
        <v>3084</v>
      </c>
      <c r="C13" s="3186" t="s">
        <v>3099</v>
      </c>
      <c r="D13" s="3186" t="s">
        <v>3107</v>
      </c>
      <c r="E13" s="3186" t="s">
        <v>2780</v>
      </c>
      <c r="F13" s="3186" t="s">
        <v>3167</v>
      </c>
      <c r="G13" s="3186" t="s">
        <v>3063</v>
      </c>
      <c r="H13" s="3186" t="s">
        <v>3168</v>
      </c>
      <c r="I13" s="3186" t="s">
        <v>3169</v>
      </c>
      <c r="J13" s="3186">
        <v>3101.42</v>
      </c>
      <c r="K13" s="3186">
        <v>1240.57</v>
      </c>
      <c r="L13" s="3186" t="s">
        <v>3170</v>
      </c>
      <c r="M13" s="3186" t="s">
        <v>2780</v>
      </c>
      <c r="N13" s="3186" t="s">
        <v>3064</v>
      </c>
      <c r="O13" s="3186" t="s">
        <v>3171</v>
      </c>
      <c r="P13" s="3186" t="s">
        <v>2780</v>
      </c>
      <c r="Q13" s="3186" t="s">
        <v>2780</v>
      </c>
      <c r="R13" s="3186" t="s">
        <v>2780</v>
      </c>
      <c r="S13" s="3186" t="s">
        <v>2780</v>
      </c>
      <c r="T13" s="3186" t="s">
        <v>2780</v>
      </c>
      <c r="U13" s="3186" t="s">
        <v>2780</v>
      </c>
      <c r="V13" s="3186" t="s">
        <v>2780</v>
      </c>
      <c r="W13" s="3186" t="s">
        <v>3068</v>
      </c>
      <c r="X13" s="3186" t="s">
        <v>3172</v>
      </c>
      <c r="Y13" s="3186" t="s">
        <v>3173</v>
      </c>
      <c r="Z13" s="3186" t="s">
        <v>3174</v>
      </c>
      <c r="AA13" s="3186" t="s">
        <v>3174</v>
      </c>
      <c r="AB13" s="3186" t="s">
        <v>3175</v>
      </c>
      <c r="AC13" s="3186" t="s">
        <v>3066</v>
      </c>
      <c r="AD13" s="3186" t="s">
        <v>3176</v>
      </c>
      <c r="AE13" s="3186">
        <v>514</v>
      </c>
      <c r="AF13" s="3186" t="s">
        <v>2780</v>
      </c>
      <c r="AG13" s="3186">
        <v>4780</v>
      </c>
      <c r="AH13" s="3186" t="s">
        <v>2780</v>
      </c>
      <c r="AI13" s="3186">
        <v>1027.49</v>
      </c>
      <c r="AJ13" s="3186" t="s">
        <v>2780</v>
      </c>
      <c r="AK13" s="3186">
        <v>38530.68</v>
      </c>
      <c r="AL13" s="3186" t="s">
        <v>2780</v>
      </c>
      <c r="AM13" s="3186" t="s">
        <v>2780</v>
      </c>
      <c r="AN13" s="3186" t="s">
        <v>2780</v>
      </c>
      <c r="AO13" s="3186" t="s">
        <v>3105</v>
      </c>
      <c r="AP13" s="3186" t="s">
        <v>2780</v>
      </c>
      <c r="AQ13" s="3186" t="s">
        <v>2780</v>
      </c>
      <c r="AR13" s="3186" t="s">
        <v>2780</v>
      </c>
      <c r="AS13" s="3186" t="s">
        <v>3333</v>
      </c>
    </row>
    <row r="14" spans="1:45">
      <c r="A14" s="3186" t="s">
        <v>3177</v>
      </c>
      <c r="B14" s="3186" t="s">
        <v>3084</v>
      </c>
      <c r="C14" s="3186" t="s">
        <v>3085</v>
      </c>
      <c r="D14" s="3186" t="s">
        <v>3107</v>
      </c>
      <c r="E14" s="3186" t="s">
        <v>2780</v>
      </c>
      <c r="F14" s="3186" t="s">
        <v>3177</v>
      </c>
      <c r="G14" s="3186" t="s">
        <v>3063</v>
      </c>
      <c r="H14" s="3186" t="s">
        <v>3178</v>
      </c>
      <c r="I14" s="3186" t="s">
        <v>3179</v>
      </c>
      <c r="J14" s="3186">
        <v>6677.02</v>
      </c>
      <c r="K14" s="3186">
        <v>14021.74</v>
      </c>
      <c r="L14" s="3186" t="s">
        <v>3180</v>
      </c>
      <c r="M14" s="3186" t="s">
        <v>2780</v>
      </c>
      <c r="N14" s="3186" t="s">
        <v>3181</v>
      </c>
      <c r="O14" s="3186" t="s">
        <v>3182</v>
      </c>
      <c r="P14" s="3186" t="s">
        <v>2780</v>
      </c>
      <c r="Q14" s="3186" t="s">
        <v>2780</v>
      </c>
      <c r="R14" s="3186" t="s">
        <v>2780</v>
      </c>
      <c r="S14" s="3186" t="s">
        <v>2780</v>
      </c>
      <c r="T14" s="3186" t="s">
        <v>2780</v>
      </c>
      <c r="U14" s="3186" t="s">
        <v>2780</v>
      </c>
      <c r="V14" s="3186" t="s">
        <v>2780</v>
      </c>
      <c r="W14" s="3186" t="s">
        <v>3068</v>
      </c>
      <c r="X14" s="3186" t="s">
        <v>3183</v>
      </c>
      <c r="Y14" s="3186" t="s">
        <v>3184</v>
      </c>
      <c r="Z14" s="3186" t="s">
        <v>3185</v>
      </c>
      <c r="AA14" s="3186" t="s">
        <v>3185</v>
      </c>
      <c r="AB14" s="3186" t="s">
        <v>3186</v>
      </c>
      <c r="AC14" s="3186" t="s">
        <v>3066</v>
      </c>
      <c r="AD14" s="3186" t="s">
        <v>3187</v>
      </c>
      <c r="AE14" s="3186">
        <v>543</v>
      </c>
      <c r="AF14" s="3186" t="s">
        <v>2780</v>
      </c>
      <c r="AG14" s="3186">
        <v>940</v>
      </c>
      <c r="AH14" s="3186" t="s">
        <v>2780</v>
      </c>
      <c r="AI14" s="3186">
        <v>93.85</v>
      </c>
      <c r="AJ14" s="3186" t="s">
        <v>2780</v>
      </c>
      <c r="AK14" s="3186">
        <v>670.38</v>
      </c>
      <c r="AL14" s="3186" t="s">
        <v>2780</v>
      </c>
      <c r="AM14" s="3186" t="s">
        <v>2780</v>
      </c>
      <c r="AN14" s="3186" t="s">
        <v>2780</v>
      </c>
      <c r="AO14" s="3186" t="s">
        <v>3097</v>
      </c>
      <c r="AP14" s="3186" t="s">
        <v>2780</v>
      </c>
      <c r="AQ14" s="3186" t="s">
        <v>2780</v>
      </c>
      <c r="AR14" s="3186" t="s">
        <v>2780</v>
      </c>
      <c r="AS14" s="3186" t="s">
        <v>3341</v>
      </c>
    </row>
    <row r="15" spans="1:45">
      <c r="A15" s="3186" t="s">
        <v>3188</v>
      </c>
      <c r="B15" s="3186" t="s">
        <v>3084</v>
      </c>
      <c r="C15" s="3186" t="s">
        <v>3099</v>
      </c>
      <c r="D15" s="3186" t="s">
        <v>3189</v>
      </c>
      <c r="E15" s="3186" t="s">
        <v>2780</v>
      </c>
      <c r="F15" s="3186" t="s">
        <v>3188</v>
      </c>
      <c r="G15" s="3186" t="s">
        <v>3063</v>
      </c>
      <c r="H15" s="3186" t="s">
        <v>3190</v>
      </c>
      <c r="I15" s="3186" t="s">
        <v>3191</v>
      </c>
      <c r="J15" s="3186">
        <v>20077.669999999998</v>
      </c>
      <c r="K15" s="3186">
        <v>30116.5</v>
      </c>
      <c r="L15" s="3186" t="s">
        <v>3153</v>
      </c>
      <c r="M15" s="3186" t="s">
        <v>2780</v>
      </c>
      <c r="N15" s="3186" t="s">
        <v>3102</v>
      </c>
      <c r="O15" s="3186" t="s">
        <v>3146</v>
      </c>
      <c r="P15" s="3186" t="s">
        <v>2780</v>
      </c>
      <c r="Q15" s="3186" t="s">
        <v>2780</v>
      </c>
      <c r="R15" s="3186" t="s">
        <v>2780</v>
      </c>
      <c r="S15" s="3186" t="s">
        <v>2780</v>
      </c>
      <c r="T15" s="3186" t="s">
        <v>2780</v>
      </c>
      <c r="U15" s="3186" t="s">
        <v>2780</v>
      </c>
      <c r="V15" s="3186" t="s">
        <v>2780</v>
      </c>
      <c r="W15" s="3186" t="s">
        <v>3068</v>
      </c>
      <c r="X15" s="3186" t="s">
        <v>3192</v>
      </c>
      <c r="Y15" s="3186" t="s">
        <v>3193</v>
      </c>
      <c r="Z15" s="3186" t="s">
        <v>3194</v>
      </c>
      <c r="AA15" s="3186" t="s">
        <v>3194</v>
      </c>
      <c r="AB15" s="3186" t="s">
        <v>3195</v>
      </c>
      <c r="AC15" s="3186" t="s">
        <v>3066</v>
      </c>
      <c r="AD15" s="3186" t="s">
        <v>3196</v>
      </c>
      <c r="AE15" s="3186">
        <v>7096</v>
      </c>
      <c r="AF15" s="3186" t="s">
        <v>2780</v>
      </c>
      <c r="AG15" s="3186">
        <v>11880</v>
      </c>
      <c r="AH15" s="3186" t="s">
        <v>2780</v>
      </c>
      <c r="AI15" s="3186">
        <v>394.47</v>
      </c>
      <c r="AJ15" s="3186" t="s">
        <v>2780</v>
      </c>
      <c r="AK15" s="3186">
        <v>3944.67</v>
      </c>
      <c r="AL15" s="3186" t="s">
        <v>2780</v>
      </c>
      <c r="AM15" s="3186" t="s">
        <v>2780</v>
      </c>
      <c r="AN15" s="3186" t="s">
        <v>2780</v>
      </c>
      <c r="AO15" s="3186" t="s">
        <v>3105</v>
      </c>
      <c r="AP15" s="3186" t="s">
        <v>2780</v>
      </c>
      <c r="AQ15" s="3186" t="s">
        <v>2780</v>
      </c>
      <c r="AR15" s="3186" t="s">
        <v>2780</v>
      </c>
      <c r="AS15" s="3186" t="s">
        <v>3333</v>
      </c>
    </row>
    <row r="16" spans="1:45">
      <c r="A16" s="3186" t="s">
        <v>3197</v>
      </c>
      <c r="B16" s="3186" t="s">
        <v>3084</v>
      </c>
      <c r="C16" s="3186" t="s">
        <v>3099</v>
      </c>
      <c r="D16" s="3186" t="s">
        <v>3189</v>
      </c>
      <c r="E16" s="3186" t="s">
        <v>2780</v>
      </c>
      <c r="F16" s="3186" t="s">
        <v>3197</v>
      </c>
      <c r="G16" s="3186" t="s">
        <v>3063</v>
      </c>
      <c r="H16" s="3186" t="s">
        <v>3198</v>
      </c>
      <c r="I16" s="3186" t="s">
        <v>3100</v>
      </c>
      <c r="J16" s="3186">
        <v>153624</v>
      </c>
      <c r="K16" s="3186">
        <v>384060</v>
      </c>
      <c r="L16" s="3186" t="s">
        <v>3199</v>
      </c>
      <c r="M16" s="3186" t="s">
        <v>2780</v>
      </c>
      <c r="N16" s="3186" t="s">
        <v>3102</v>
      </c>
      <c r="O16" s="3186" t="s">
        <v>3200</v>
      </c>
      <c r="P16" s="3186" t="s">
        <v>2780</v>
      </c>
      <c r="Q16" s="3186" t="s">
        <v>2780</v>
      </c>
      <c r="R16" s="3186" t="s">
        <v>2780</v>
      </c>
      <c r="S16" s="3186" t="s">
        <v>2780</v>
      </c>
      <c r="T16" s="3186" t="s">
        <v>2780</v>
      </c>
      <c r="U16" s="3186" t="s">
        <v>2780</v>
      </c>
      <c r="V16" s="3186" t="s">
        <v>2780</v>
      </c>
      <c r="W16" s="3186" t="s">
        <v>3068</v>
      </c>
      <c r="X16" s="3186" t="s">
        <v>3201</v>
      </c>
      <c r="Y16" s="3186" t="s">
        <v>3202</v>
      </c>
      <c r="Z16" s="3186" t="s">
        <v>3203</v>
      </c>
      <c r="AA16" s="3186" t="s">
        <v>3203</v>
      </c>
      <c r="AB16" s="3186" t="s">
        <v>3204</v>
      </c>
      <c r="AC16" s="3186" t="s">
        <v>3066</v>
      </c>
      <c r="AD16" s="3186" t="s">
        <v>3205</v>
      </c>
      <c r="AE16" s="3186">
        <v>287072</v>
      </c>
      <c r="AF16" s="3186" t="s">
        <v>2780</v>
      </c>
      <c r="AG16" s="3186">
        <v>520000</v>
      </c>
      <c r="AH16" s="3186" t="s">
        <v>2780</v>
      </c>
      <c r="AI16" s="3186">
        <v>2256.59</v>
      </c>
      <c r="AJ16" s="3186" t="s">
        <v>2780</v>
      </c>
      <c r="AK16" s="3186">
        <v>13539.54</v>
      </c>
      <c r="AL16" s="3186" t="s">
        <v>2780</v>
      </c>
      <c r="AM16" s="3186" t="s">
        <v>2780</v>
      </c>
      <c r="AN16" s="3186" t="s">
        <v>2780</v>
      </c>
      <c r="AO16" s="3186" t="s">
        <v>3105</v>
      </c>
      <c r="AP16" s="3186" t="s">
        <v>2780</v>
      </c>
      <c r="AQ16" s="3186" t="s">
        <v>2780</v>
      </c>
      <c r="AR16" s="3186" t="s">
        <v>2780</v>
      </c>
      <c r="AS16" s="3186" t="s">
        <v>3333</v>
      </c>
    </row>
    <row r="17" spans="1:45">
      <c r="A17" s="3186" t="s">
        <v>3206</v>
      </c>
      <c r="B17" s="3186" t="s">
        <v>3084</v>
      </c>
      <c r="C17" s="3186" t="s">
        <v>3099</v>
      </c>
      <c r="D17" s="3186" t="s">
        <v>3189</v>
      </c>
      <c r="E17" s="3186" t="s">
        <v>2780</v>
      </c>
      <c r="F17" s="3186" t="s">
        <v>3206</v>
      </c>
      <c r="G17" s="3186" t="s">
        <v>3063</v>
      </c>
      <c r="H17" s="3186" t="s">
        <v>3207</v>
      </c>
      <c r="I17" s="3186" t="s">
        <v>3191</v>
      </c>
      <c r="J17" s="3186">
        <v>33413.25</v>
      </c>
      <c r="K17" s="3186">
        <v>120287.7</v>
      </c>
      <c r="L17" s="3186" t="s">
        <v>3208</v>
      </c>
      <c r="M17" s="3186" t="s">
        <v>2780</v>
      </c>
      <c r="N17" s="3186" t="s">
        <v>3071</v>
      </c>
      <c r="O17" s="3186">
        <v>170</v>
      </c>
      <c r="P17" s="3186" t="s">
        <v>2780</v>
      </c>
      <c r="Q17" s="3186" t="s">
        <v>2780</v>
      </c>
      <c r="R17" s="3186" t="s">
        <v>2780</v>
      </c>
      <c r="S17" s="3186" t="s">
        <v>2780</v>
      </c>
      <c r="T17" s="3186" t="s">
        <v>2780</v>
      </c>
      <c r="U17" s="3186" t="s">
        <v>2780</v>
      </c>
      <c r="V17" s="3186" t="s">
        <v>2780</v>
      </c>
      <c r="W17" s="3186" t="s">
        <v>3068</v>
      </c>
      <c r="X17" s="3186" t="s">
        <v>3069</v>
      </c>
      <c r="Y17" s="3186" t="s">
        <v>3070</v>
      </c>
      <c r="Z17" s="3186" t="s">
        <v>3209</v>
      </c>
      <c r="AA17" s="3186" t="s">
        <v>3209</v>
      </c>
      <c r="AB17" s="3186" t="s">
        <v>3210</v>
      </c>
      <c r="AC17" s="3186" t="s">
        <v>3066</v>
      </c>
      <c r="AD17" s="3186" t="s">
        <v>3211</v>
      </c>
      <c r="AE17" s="3186">
        <v>24556</v>
      </c>
      <c r="AF17" s="3186" t="s">
        <v>2780</v>
      </c>
      <c r="AG17" s="3186">
        <v>41210</v>
      </c>
      <c r="AH17" s="3186" t="s">
        <v>2780</v>
      </c>
      <c r="AI17" s="3186">
        <v>822.23</v>
      </c>
      <c r="AJ17" s="3186" t="s">
        <v>2780</v>
      </c>
      <c r="AK17" s="3186">
        <v>3425.94</v>
      </c>
      <c r="AL17" s="3186" t="s">
        <v>2780</v>
      </c>
      <c r="AM17" s="3186" t="s">
        <v>2780</v>
      </c>
      <c r="AN17" s="3186" t="s">
        <v>2780</v>
      </c>
      <c r="AO17" s="3186" t="s">
        <v>3105</v>
      </c>
      <c r="AP17" s="3186" t="s">
        <v>2780</v>
      </c>
      <c r="AQ17" s="3186" t="s">
        <v>2780</v>
      </c>
      <c r="AR17" s="3186" t="s">
        <v>2780</v>
      </c>
      <c r="AS17" s="3186" t="s">
        <v>3340</v>
      </c>
    </row>
    <row r="18" spans="1:45">
      <c r="A18" s="3186" t="s">
        <v>3212</v>
      </c>
      <c r="B18" s="3186" t="s">
        <v>3084</v>
      </c>
      <c r="C18" s="3186" t="s">
        <v>3099</v>
      </c>
      <c r="D18" s="3186" t="s">
        <v>3086</v>
      </c>
      <c r="E18" s="3186" t="s">
        <v>2780</v>
      </c>
      <c r="F18" s="3186" t="s">
        <v>3212</v>
      </c>
      <c r="G18" s="3186" t="s">
        <v>3063</v>
      </c>
      <c r="H18" s="3186" t="s">
        <v>3213</v>
      </c>
      <c r="I18" s="3186" t="s">
        <v>3100</v>
      </c>
      <c r="J18" s="3186">
        <v>160639.6</v>
      </c>
      <c r="K18" s="3186">
        <v>77107.009999999995</v>
      </c>
      <c r="L18" s="3186" t="s">
        <v>3214</v>
      </c>
      <c r="M18" s="3186" t="s">
        <v>2780</v>
      </c>
      <c r="N18" s="3186" t="s">
        <v>3215</v>
      </c>
      <c r="O18" s="3186">
        <v>12</v>
      </c>
      <c r="P18" s="3186" t="s">
        <v>2780</v>
      </c>
      <c r="Q18" s="3186" t="s">
        <v>2780</v>
      </c>
      <c r="R18" s="3186" t="s">
        <v>2780</v>
      </c>
      <c r="S18" s="3186" t="s">
        <v>2780</v>
      </c>
      <c r="T18" s="3186" t="s">
        <v>2780</v>
      </c>
      <c r="U18" s="3186" t="s">
        <v>2780</v>
      </c>
      <c r="V18" s="3186" t="s">
        <v>2780</v>
      </c>
      <c r="W18" s="3186" t="s">
        <v>3068</v>
      </c>
      <c r="X18" s="3186" t="s">
        <v>3216</v>
      </c>
      <c r="Y18" s="3186" t="s">
        <v>3217</v>
      </c>
      <c r="Z18" s="3186" t="s">
        <v>3218</v>
      </c>
      <c r="AA18" s="3186" t="s">
        <v>3218</v>
      </c>
      <c r="AB18" s="3186" t="s">
        <v>3219</v>
      </c>
      <c r="AC18" s="3186" t="s">
        <v>3066</v>
      </c>
      <c r="AD18" s="3186" t="s">
        <v>3220</v>
      </c>
      <c r="AE18" s="3186">
        <v>38729</v>
      </c>
      <c r="AF18" s="3186" t="s">
        <v>2780</v>
      </c>
      <c r="AG18" s="3186">
        <v>64820</v>
      </c>
      <c r="AH18" s="3186" t="s">
        <v>2780</v>
      </c>
      <c r="AI18" s="3186">
        <v>269.01</v>
      </c>
      <c r="AJ18" s="3186" t="s">
        <v>2780</v>
      </c>
      <c r="AK18" s="3186">
        <v>8406.5</v>
      </c>
      <c r="AL18" s="3186" t="s">
        <v>2780</v>
      </c>
      <c r="AM18" s="3186" t="s">
        <v>2780</v>
      </c>
      <c r="AN18" s="3186" t="s">
        <v>2780</v>
      </c>
      <c r="AO18" s="3186" t="s">
        <v>3105</v>
      </c>
      <c r="AP18" s="3186" t="s">
        <v>2780</v>
      </c>
      <c r="AQ18" s="3186" t="s">
        <v>2780</v>
      </c>
      <c r="AR18" s="3186" t="s">
        <v>2780</v>
      </c>
      <c r="AS18" s="3186" t="s">
        <v>3338</v>
      </c>
    </row>
    <row r="19" spans="1:45" s="3187" customFormat="1">
      <c r="A19" s="3187" t="s">
        <v>3221</v>
      </c>
      <c r="B19" s="3187" t="s">
        <v>3084</v>
      </c>
      <c r="C19" s="3187" t="s">
        <v>3099</v>
      </c>
      <c r="D19" s="3187" t="s">
        <v>3107</v>
      </c>
      <c r="E19" s="3187" t="s">
        <v>2780</v>
      </c>
      <c r="F19" s="3187" t="s">
        <v>3221</v>
      </c>
      <c r="G19" s="3187" t="s">
        <v>3063</v>
      </c>
      <c r="H19" s="3187" t="s">
        <v>3222</v>
      </c>
      <c r="I19" s="3187" t="s">
        <v>3144</v>
      </c>
      <c r="J19" s="3187">
        <v>174045.7</v>
      </c>
      <c r="K19" s="3187">
        <v>87022.85</v>
      </c>
      <c r="L19" s="3187" t="s">
        <v>3223</v>
      </c>
      <c r="M19" s="3187" t="s">
        <v>2780</v>
      </c>
      <c r="N19" s="3187" t="s">
        <v>3067</v>
      </c>
      <c r="O19" s="3187" t="s">
        <v>3171</v>
      </c>
      <c r="P19" s="3186" t="s">
        <v>2780</v>
      </c>
      <c r="Q19" s="3186" t="s">
        <v>2780</v>
      </c>
      <c r="R19" s="3186" t="s">
        <v>2780</v>
      </c>
      <c r="S19" s="3186" t="s">
        <v>2780</v>
      </c>
      <c r="T19" s="3186" t="s">
        <v>2780</v>
      </c>
      <c r="U19" s="3186" t="s">
        <v>2780</v>
      </c>
      <c r="V19" s="3186" t="s">
        <v>2780</v>
      </c>
      <c r="W19" s="3187" t="s">
        <v>3068</v>
      </c>
      <c r="X19" s="3187" t="s">
        <v>3224</v>
      </c>
      <c r="Y19" s="3187" t="s">
        <v>3225</v>
      </c>
      <c r="Z19" s="3187" t="s">
        <v>3226</v>
      </c>
      <c r="AA19" s="3187" t="s">
        <v>3226</v>
      </c>
      <c r="AB19" s="3187" t="s">
        <v>3227</v>
      </c>
      <c r="AC19" s="3187" t="s">
        <v>3066</v>
      </c>
      <c r="AD19" s="3187" t="s">
        <v>3228</v>
      </c>
      <c r="AE19" s="3187">
        <v>35757</v>
      </c>
      <c r="AF19" s="3186" t="s">
        <v>2780</v>
      </c>
      <c r="AG19" s="3187">
        <v>60006</v>
      </c>
      <c r="AH19" s="3186" t="s">
        <v>2780</v>
      </c>
      <c r="AI19" s="3187">
        <v>229.85</v>
      </c>
      <c r="AJ19" s="3186" t="s">
        <v>2780</v>
      </c>
      <c r="AK19" s="3187">
        <v>6895.43</v>
      </c>
      <c r="AL19" s="3186" t="s">
        <v>2780</v>
      </c>
      <c r="AM19" s="3186" t="s">
        <v>2780</v>
      </c>
      <c r="AN19" s="3187" t="s">
        <v>2780</v>
      </c>
      <c r="AO19" s="3187" t="s">
        <v>3105</v>
      </c>
      <c r="AP19" s="3186" t="s">
        <v>2780</v>
      </c>
      <c r="AQ19" s="3186" t="s">
        <v>2780</v>
      </c>
      <c r="AR19" s="3186" t="s">
        <v>2780</v>
      </c>
      <c r="AS19" s="3187" t="s">
        <v>3333</v>
      </c>
    </row>
    <row r="20" spans="1:45" s="3193" customFormat="1">
      <c r="A20" s="3193" t="s">
        <v>3229</v>
      </c>
      <c r="B20" s="3193" t="s">
        <v>3084</v>
      </c>
      <c r="C20" s="3193" t="s">
        <v>3099</v>
      </c>
      <c r="D20" s="3193" t="s">
        <v>3086</v>
      </c>
      <c r="E20" s="3193" t="s">
        <v>2780</v>
      </c>
      <c r="F20" s="3193" t="s">
        <v>3229</v>
      </c>
      <c r="G20" s="3193" t="s">
        <v>3063</v>
      </c>
      <c r="H20" s="3193" t="s">
        <v>3230</v>
      </c>
      <c r="I20" s="3193" t="s">
        <v>3100</v>
      </c>
      <c r="J20" s="3193">
        <v>105521.3</v>
      </c>
      <c r="K20" s="3193">
        <v>63312.77</v>
      </c>
      <c r="L20" s="3193" t="s">
        <v>3120</v>
      </c>
      <c r="M20" s="3193" t="s">
        <v>2780</v>
      </c>
      <c r="N20" s="3193" t="s">
        <v>3071</v>
      </c>
      <c r="O20" s="3193" t="s">
        <v>3231</v>
      </c>
      <c r="P20" s="3193" t="s">
        <v>2780</v>
      </c>
      <c r="Q20" s="3193" t="s">
        <v>2780</v>
      </c>
      <c r="R20" s="3193" t="s">
        <v>2780</v>
      </c>
      <c r="S20" s="3193" t="s">
        <v>2780</v>
      </c>
      <c r="T20" s="3193" t="s">
        <v>2780</v>
      </c>
      <c r="U20" s="3193" t="s">
        <v>2780</v>
      </c>
      <c r="V20" s="3193" t="s">
        <v>2780</v>
      </c>
      <c r="W20" s="3193" t="s">
        <v>3068</v>
      </c>
      <c r="X20" s="3193" t="s">
        <v>3224</v>
      </c>
      <c r="Y20" s="3193" t="s">
        <v>3232</v>
      </c>
      <c r="Z20" s="3193" t="s">
        <v>3233</v>
      </c>
      <c r="AA20" s="3193" t="s">
        <v>3233</v>
      </c>
      <c r="AB20" s="3193" t="s">
        <v>3234</v>
      </c>
      <c r="AC20" s="3193" t="s">
        <v>3066</v>
      </c>
      <c r="AD20" s="3193" t="s">
        <v>3235</v>
      </c>
      <c r="AE20" s="3193">
        <v>25630</v>
      </c>
      <c r="AF20" s="3193" t="s">
        <v>2780</v>
      </c>
      <c r="AG20" s="3193">
        <v>44010</v>
      </c>
      <c r="AH20" s="3193" t="s">
        <v>2780</v>
      </c>
      <c r="AI20" s="3193">
        <v>278.05</v>
      </c>
      <c r="AJ20" s="3193" t="s">
        <v>2780</v>
      </c>
      <c r="AK20" s="3193">
        <v>6951.19</v>
      </c>
      <c r="AL20" s="3193" t="s">
        <v>2780</v>
      </c>
      <c r="AM20" s="3193" t="s">
        <v>2780</v>
      </c>
      <c r="AN20" s="3193" t="s">
        <v>2780</v>
      </c>
      <c r="AO20" s="3193" t="s">
        <v>3105</v>
      </c>
      <c r="AP20" s="3193" t="s">
        <v>2780</v>
      </c>
      <c r="AQ20" s="3193" t="s">
        <v>2780</v>
      </c>
      <c r="AR20" s="3193" t="s">
        <v>2780</v>
      </c>
      <c r="AS20" s="3193" t="s">
        <v>3338</v>
      </c>
    </row>
    <row r="21" spans="1:45">
      <c r="A21" s="3186" t="s">
        <v>3236</v>
      </c>
      <c r="B21" s="3186" t="s">
        <v>3084</v>
      </c>
      <c r="C21" s="3186" t="s">
        <v>3099</v>
      </c>
      <c r="D21" s="3186" t="s">
        <v>3086</v>
      </c>
      <c r="E21" s="3186" t="s">
        <v>2780</v>
      </c>
      <c r="F21" s="3186" t="s">
        <v>3236</v>
      </c>
      <c r="G21" s="3186" t="s">
        <v>3063</v>
      </c>
      <c r="H21" s="3186" t="s">
        <v>3237</v>
      </c>
      <c r="I21" s="3186" t="s">
        <v>3100</v>
      </c>
      <c r="J21" s="3186">
        <v>71313.179999999993</v>
      </c>
      <c r="K21" s="3186">
        <v>28525.27</v>
      </c>
      <c r="L21" s="3186" t="s">
        <v>3170</v>
      </c>
      <c r="M21" s="3186" t="s">
        <v>2780</v>
      </c>
      <c r="N21" s="3186" t="s">
        <v>3067</v>
      </c>
      <c r="O21" s="3186" t="s">
        <v>3215</v>
      </c>
      <c r="P21" s="3186" t="s">
        <v>2780</v>
      </c>
      <c r="Q21" s="3186" t="s">
        <v>2780</v>
      </c>
      <c r="R21" s="3186" t="s">
        <v>2780</v>
      </c>
      <c r="S21" s="3186" t="s">
        <v>2780</v>
      </c>
      <c r="T21" s="3186" t="s">
        <v>2780</v>
      </c>
      <c r="U21" s="3186" t="s">
        <v>2780</v>
      </c>
      <c r="V21" s="3186" t="s">
        <v>2780</v>
      </c>
      <c r="W21" s="3186" t="s">
        <v>3068</v>
      </c>
      <c r="X21" s="3186" t="s">
        <v>3224</v>
      </c>
      <c r="Y21" s="3186" t="s">
        <v>3232</v>
      </c>
      <c r="Z21" s="3186" t="s">
        <v>3233</v>
      </c>
      <c r="AA21" s="3186" t="s">
        <v>3233</v>
      </c>
      <c r="AB21" s="3186" t="s">
        <v>3238</v>
      </c>
      <c r="AC21" s="3186" t="s">
        <v>3066</v>
      </c>
      <c r="AD21" s="3186" t="s">
        <v>3239</v>
      </c>
      <c r="AE21" s="3186">
        <v>18125</v>
      </c>
      <c r="AF21" s="3186" t="s">
        <v>2780</v>
      </c>
      <c r="AG21" s="3186">
        <v>31022</v>
      </c>
      <c r="AH21" s="3186" t="s">
        <v>2780</v>
      </c>
      <c r="AI21" s="3186">
        <v>290.01</v>
      </c>
      <c r="AJ21" s="3186" t="s">
        <v>2780</v>
      </c>
      <c r="AK21" s="3186">
        <v>10875.27</v>
      </c>
      <c r="AL21" s="3186" t="s">
        <v>2780</v>
      </c>
      <c r="AM21" s="3186" t="s">
        <v>2780</v>
      </c>
      <c r="AN21" s="3186" t="s">
        <v>2780</v>
      </c>
      <c r="AO21" s="3186" t="s">
        <v>3105</v>
      </c>
      <c r="AP21" s="3186" t="s">
        <v>2780</v>
      </c>
      <c r="AQ21" s="3186" t="s">
        <v>2780</v>
      </c>
      <c r="AR21" s="3186" t="s">
        <v>2780</v>
      </c>
      <c r="AS21" s="3186" t="s">
        <v>3342</v>
      </c>
    </row>
    <row r="22" spans="1:45">
      <c r="A22" s="3186" t="s">
        <v>3240</v>
      </c>
      <c r="B22" s="3186" t="s">
        <v>3084</v>
      </c>
      <c r="C22" s="3186" t="s">
        <v>3099</v>
      </c>
      <c r="D22" s="3186" t="s">
        <v>3086</v>
      </c>
      <c r="E22" s="3186" t="s">
        <v>2780</v>
      </c>
      <c r="F22" s="3186" t="s">
        <v>3240</v>
      </c>
      <c r="G22" s="3186" t="s">
        <v>3063</v>
      </c>
      <c r="H22" s="3186" t="s">
        <v>3241</v>
      </c>
      <c r="I22" s="3186" t="s">
        <v>3100</v>
      </c>
      <c r="J22" s="3186">
        <v>119466.1</v>
      </c>
      <c r="K22" s="3186">
        <v>71679.679999999993</v>
      </c>
      <c r="L22" s="3186" t="s">
        <v>3120</v>
      </c>
      <c r="M22" s="3186" t="s">
        <v>2780</v>
      </c>
      <c r="N22" s="3186" t="s">
        <v>3071</v>
      </c>
      <c r="O22" s="3186" t="s">
        <v>3071</v>
      </c>
      <c r="P22" s="3186" t="s">
        <v>2780</v>
      </c>
      <c r="Q22" s="3186" t="s">
        <v>2780</v>
      </c>
      <c r="R22" s="3186" t="s">
        <v>2780</v>
      </c>
      <c r="S22" s="3186" t="s">
        <v>2780</v>
      </c>
      <c r="T22" s="3186" t="s">
        <v>2780</v>
      </c>
      <c r="U22" s="3186" t="s">
        <v>2780</v>
      </c>
      <c r="V22" s="3186" t="s">
        <v>2780</v>
      </c>
      <c r="W22" s="3186" t="s">
        <v>3068</v>
      </c>
      <c r="X22" s="3186" t="s">
        <v>3224</v>
      </c>
      <c r="Y22" s="3186" t="s">
        <v>3242</v>
      </c>
      <c r="Z22" s="3186" t="s">
        <v>3243</v>
      </c>
      <c r="AA22" s="3186" t="s">
        <v>3243</v>
      </c>
      <c r="AB22" s="3186" t="s">
        <v>3244</v>
      </c>
      <c r="AC22" s="3186" t="s">
        <v>3066</v>
      </c>
      <c r="AD22" s="3186" t="s">
        <v>3235</v>
      </c>
      <c r="AE22" s="3186">
        <v>24369</v>
      </c>
      <c r="AF22" s="3186" t="s">
        <v>2780</v>
      </c>
      <c r="AG22" s="3186">
        <v>42010</v>
      </c>
      <c r="AH22" s="3186" t="s">
        <v>2780</v>
      </c>
      <c r="AI22" s="3186">
        <v>234.43</v>
      </c>
      <c r="AJ22" s="3186" t="s">
        <v>2780</v>
      </c>
      <c r="AK22" s="3186">
        <v>5860.8</v>
      </c>
      <c r="AL22" s="3186" t="s">
        <v>2780</v>
      </c>
      <c r="AM22" s="3186" t="s">
        <v>2780</v>
      </c>
      <c r="AN22" s="3186" t="s">
        <v>2780</v>
      </c>
      <c r="AO22" s="3186" t="s">
        <v>3105</v>
      </c>
      <c r="AP22" s="3186" t="s">
        <v>2780</v>
      </c>
      <c r="AQ22" s="3186" t="s">
        <v>2780</v>
      </c>
      <c r="AR22" s="3186" t="s">
        <v>2780</v>
      </c>
      <c r="AS22" s="3186" t="s">
        <v>3333</v>
      </c>
    </row>
    <row r="23" spans="1:45">
      <c r="A23" s="3186" t="s">
        <v>3245</v>
      </c>
      <c r="B23" s="3186" t="s">
        <v>3084</v>
      </c>
      <c r="C23" s="3186" t="s">
        <v>3099</v>
      </c>
      <c r="D23" s="3186" t="s">
        <v>3189</v>
      </c>
      <c r="E23" s="3186" t="s">
        <v>2780</v>
      </c>
      <c r="F23" s="3186" t="s">
        <v>3245</v>
      </c>
      <c r="G23" s="3186" t="s">
        <v>3063</v>
      </c>
      <c r="H23" s="3186" t="s">
        <v>3246</v>
      </c>
      <c r="I23" s="3186" t="s">
        <v>3100</v>
      </c>
      <c r="J23" s="3186">
        <v>3.93</v>
      </c>
      <c r="K23" s="3186">
        <v>7.86</v>
      </c>
      <c r="L23" s="3186" t="s">
        <v>3247</v>
      </c>
      <c r="M23" s="3186" t="s">
        <v>2780</v>
      </c>
      <c r="N23" s="3186" t="s">
        <v>3071</v>
      </c>
      <c r="O23" s="3186" t="s">
        <v>3248</v>
      </c>
      <c r="P23" s="3186" t="s">
        <v>2780</v>
      </c>
      <c r="Q23" s="3186" t="s">
        <v>2780</v>
      </c>
      <c r="R23" s="3186" t="s">
        <v>2780</v>
      </c>
      <c r="S23" s="3186" t="s">
        <v>2780</v>
      </c>
      <c r="T23" s="3186" t="s">
        <v>2780</v>
      </c>
      <c r="U23" s="3186" t="s">
        <v>2780</v>
      </c>
      <c r="V23" s="3186" t="s">
        <v>2780</v>
      </c>
      <c r="W23" s="3186" t="s">
        <v>3068</v>
      </c>
      <c r="X23" s="3186" t="s">
        <v>3249</v>
      </c>
      <c r="Y23" s="3186" t="s">
        <v>3250</v>
      </c>
      <c r="Z23" s="3186" t="s">
        <v>3251</v>
      </c>
      <c r="AA23" s="3186" t="s">
        <v>3251</v>
      </c>
      <c r="AB23" s="3186" t="s">
        <v>3252</v>
      </c>
      <c r="AC23" s="3186" t="s">
        <v>3066</v>
      </c>
      <c r="AD23" s="3186" t="s">
        <v>3253</v>
      </c>
      <c r="AE23" s="3186">
        <v>4.5999999999999996</v>
      </c>
      <c r="AF23" s="3186" t="s">
        <v>2780</v>
      </c>
      <c r="AG23" s="3186">
        <v>6.2</v>
      </c>
      <c r="AH23" s="3186" t="s">
        <v>2780</v>
      </c>
      <c r="AI23" s="3186">
        <v>1051.74</v>
      </c>
      <c r="AJ23" s="3186" t="s">
        <v>2780</v>
      </c>
      <c r="AK23" s="3186">
        <v>7888.03</v>
      </c>
      <c r="AL23" s="3186" t="s">
        <v>2780</v>
      </c>
      <c r="AM23" s="3186" t="s">
        <v>2780</v>
      </c>
      <c r="AN23" s="3186" t="s">
        <v>2780</v>
      </c>
      <c r="AO23" s="3186" t="s">
        <v>3105</v>
      </c>
      <c r="AP23" s="3186" t="s">
        <v>2780</v>
      </c>
      <c r="AQ23" s="3186" t="s">
        <v>2780</v>
      </c>
      <c r="AR23" s="3186" t="s">
        <v>2780</v>
      </c>
      <c r="AS23" s="3186" t="s">
        <v>3338</v>
      </c>
    </row>
    <row r="24" spans="1:45" s="3187" customFormat="1">
      <c r="A24" s="3187" t="s">
        <v>3254</v>
      </c>
      <c r="B24" s="3187" t="s">
        <v>3084</v>
      </c>
      <c r="C24" s="3187" t="s">
        <v>3099</v>
      </c>
      <c r="D24" s="3187" t="s">
        <v>3107</v>
      </c>
      <c r="E24" s="3187" t="s">
        <v>2780</v>
      </c>
      <c r="F24" s="3187" t="s">
        <v>3254</v>
      </c>
      <c r="G24" s="3187" t="s">
        <v>3063</v>
      </c>
      <c r="H24" s="3187" t="s">
        <v>3255</v>
      </c>
      <c r="I24" s="3187" t="s">
        <v>3100</v>
      </c>
      <c r="J24" s="3187">
        <v>136.24</v>
      </c>
      <c r="K24" s="3187">
        <v>265.67</v>
      </c>
      <c r="L24" s="3187" t="s">
        <v>3256</v>
      </c>
      <c r="M24" s="3187" t="s">
        <v>2780</v>
      </c>
      <c r="N24" s="3187" t="s">
        <v>3067</v>
      </c>
      <c r="O24" s="3187" t="s">
        <v>3257</v>
      </c>
      <c r="P24" s="3186" t="s">
        <v>2780</v>
      </c>
      <c r="Q24" s="3186" t="s">
        <v>2780</v>
      </c>
      <c r="R24" s="3186" t="s">
        <v>2780</v>
      </c>
      <c r="S24" s="3186" t="s">
        <v>2780</v>
      </c>
      <c r="T24" s="3186" t="s">
        <v>2780</v>
      </c>
      <c r="U24" s="3186" t="s">
        <v>2780</v>
      </c>
      <c r="V24" s="3186" t="s">
        <v>2780</v>
      </c>
      <c r="W24" s="3187" t="s">
        <v>3068</v>
      </c>
      <c r="X24" s="3187" t="s">
        <v>3249</v>
      </c>
      <c r="Y24" s="3187" t="s">
        <v>3250</v>
      </c>
      <c r="Z24" s="3187" t="s">
        <v>3251</v>
      </c>
      <c r="AA24" s="3187" t="s">
        <v>3251</v>
      </c>
      <c r="AB24" s="3187" t="s">
        <v>3258</v>
      </c>
      <c r="AC24" s="3187" t="s">
        <v>3066</v>
      </c>
      <c r="AD24" s="3187" t="s">
        <v>3253</v>
      </c>
      <c r="AE24" s="3187">
        <v>181</v>
      </c>
      <c r="AF24" s="3186" t="s">
        <v>2780</v>
      </c>
      <c r="AG24" s="3187">
        <v>192</v>
      </c>
      <c r="AH24" s="3186" t="s">
        <v>2780</v>
      </c>
      <c r="AI24" s="3187">
        <v>939.52</v>
      </c>
      <c r="AJ24" s="3186" t="s">
        <v>2780</v>
      </c>
      <c r="AK24" s="3187">
        <v>7227.01</v>
      </c>
      <c r="AL24" s="3186" t="s">
        <v>2780</v>
      </c>
      <c r="AM24" s="3186" t="s">
        <v>2780</v>
      </c>
      <c r="AN24" s="3187" t="s">
        <v>2780</v>
      </c>
      <c r="AO24" s="3187" t="s">
        <v>3105</v>
      </c>
      <c r="AP24" s="3186" t="s">
        <v>2780</v>
      </c>
      <c r="AQ24" s="3186" t="s">
        <v>2780</v>
      </c>
      <c r="AR24" s="3186" t="s">
        <v>2780</v>
      </c>
      <c r="AS24" s="3187" t="s">
        <v>3338</v>
      </c>
    </row>
    <row r="25" spans="1:45">
      <c r="A25" s="3186" t="s">
        <v>3259</v>
      </c>
      <c r="B25" s="3186" t="s">
        <v>3084</v>
      </c>
      <c r="C25" s="3186" t="s">
        <v>3099</v>
      </c>
      <c r="D25" s="3186" t="s">
        <v>3107</v>
      </c>
      <c r="E25" s="3186" t="s">
        <v>2780</v>
      </c>
      <c r="F25" s="3186" t="s">
        <v>3259</v>
      </c>
      <c r="G25" s="3186" t="s">
        <v>3063</v>
      </c>
      <c r="H25" s="3186" t="s">
        <v>3260</v>
      </c>
      <c r="I25" s="3186" t="s">
        <v>3100</v>
      </c>
      <c r="J25" s="3186">
        <v>57874.48</v>
      </c>
      <c r="K25" s="3186">
        <v>121536.4</v>
      </c>
      <c r="L25" s="3186" t="s">
        <v>3180</v>
      </c>
      <c r="M25" s="3186" t="s">
        <v>2780</v>
      </c>
      <c r="N25" s="3186" t="s">
        <v>3182</v>
      </c>
      <c r="O25" s="3186" t="s">
        <v>3182</v>
      </c>
      <c r="P25" s="3186" t="s">
        <v>2780</v>
      </c>
      <c r="Q25" s="3186" t="s">
        <v>2780</v>
      </c>
      <c r="R25" s="3186" t="s">
        <v>2780</v>
      </c>
      <c r="S25" s="3186" t="s">
        <v>2780</v>
      </c>
      <c r="T25" s="3186" t="s">
        <v>2780</v>
      </c>
      <c r="U25" s="3186" t="s">
        <v>2780</v>
      </c>
      <c r="V25" s="3186" t="s">
        <v>2780</v>
      </c>
      <c r="W25" s="3186" t="s">
        <v>3068</v>
      </c>
      <c r="X25" s="3186" t="s">
        <v>3261</v>
      </c>
      <c r="Y25" s="3186" t="s">
        <v>3262</v>
      </c>
      <c r="Z25" s="3186" t="s">
        <v>3072</v>
      </c>
      <c r="AA25" s="3186" t="s">
        <v>3072</v>
      </c>
      <c r="AB25" s="3186" t="s">
        <v>3263</v>
      </c>
      <c r="AC25" s="3186" t="s">
        <v>3066</v>
      </c>
      <c r="AD25" s="3186" t="s">
        <v>3264</v>
      </c>
      <c r="AE25" s="3186">
        <v>28294</v>
      </c>
      <c r="AF25" s="3186">
        <v>47157</v>
      </c>
      <c r="AG25" s="3186">
        <v>47628</v>
      </c>
      <c r="AH25" s="3186">
        <v>543.21</v>
      </c>
      <c r="AI25" s="3186">
        <v>548.64</v>
      </c>
      <c r="AJ25" s="3186">
        <v>3880.07</v>
      </c>
      <c r="AK25" s="3186">
        <v>3918.82</v>
      </c>
      <c r="AL25" s="3186" t="s">
        <v>2780</v>
      </c>
      <c r="AM25" s="3186" t="s">
        <v>2780</v>
      </c>
      <c r="AN25" s="3186">
        <v>1</v>
      </c>
      <c r="AO25" s="3186" t="s">
        <v>3105</v>
      </c>
      <c r="AP25" s="3186" t="s">
        <v>2780</v>
      </c>
      <c r="AQ25" s="3186" t="s">
        <v>2780</v>
      </c>
      <c r="AR25" s="3186" t="s">
        <v>2780</v>
      </c>
      <c r="AS25" s="3186" t="s">
        <v>3338</v>
      </c>
    </row>
    <row r="26" spans="1:45">
      <c r="A26" s="3186" t="s">
        <v>3265</v>
      </c>
      <c r="B26" s="3186" t="s">
        <v>3084</v>
      </c>
      <c r="C26" s="3186" t="s">
        <v>3085</v>
      </c>
      <c r="D26" s="3186" t="s">
        <v>3107</v>
      </c>
      <c r="E26" s="3186" t="s">
        <v>2780</v>
      </c>
      <c r="F26" s="3186" t="s">
        <v>3265</v>
      </c>
      <c r="G26" s="3186" t="s">
        <v>3063</v>
      </c>
      <c r="H26" s="3186" t="s">
        <v>3266</v>
      </c>
      <c r="I26" s="3186" t="s">
        <v>3134</v>
      </c>
      <c r="J26" s="3186">
        <v>29637.84</v>
      </c>
      <c r="K26" s="3186">
        <v>14818.92</v>
      </c>
      <c r="L26" s="3186" t="s">
        <v>3223</v>
      </c>
      <c r="M26" s="3186" t="s">
        <v>2780</v>
      </c>
      <c r="N26" s="3186" t="s">
        <v>3231</v>
      </c>
      <c r="O26" s="3186" t="s">
        <v>3231</v>
      </c>
      <c r="P26" s="3186" t="s">
        <v>2780</v>
      </c>
      <c r="Q26" s="3186" t="s">
        <v>2780</v>
      </c>
      <c r="R26" s="3186" t="s">
        <v>2780</v>
      </c>
      <c r="S26" s="3186" t="s">
        <v>2780</v>
      </c>
      <c r="T26" s="3186" t="s">
        <v>2780</v>
      </c>
      <c r="U26" s="3186" t="s">
        <v>2780</v>
      </c>
      <c r="V26" s="3186" t="s">
        <v>2780</v>
      </c>
      <c r="W26" s="3186" t="s">
        <v>3068</v>
      </c>
      <c r="X26" s="3186" t="s">
        <v>3267</v>
      </c>
      <c r="Y26" s="3186" t="s">
        <v>3268</v>
      </c>
      <c r="Z26" s="3186" t="s">
        <v>3261</v>
      </c>
      <c r="AA26" s="3186" t="s">
        <v>3261</v>
      </c>
      <c r="AB26" s="3186" t="s">
        <v>3269</v>
      </c>
      <c r="AC26" s="3186" t="s">
        <v>3066</v>
      </c>
      <c r="AD26" s="3186" t="s">
        <v>3270</v>
      </c>
      <c r="AE26" s="3186">
        <v>5768</v>
      </c>
      <c r="AF26" s="3186" t="s">
        <v>2780</v>
      </c>
      <c r="AG26" s="3186">
        <v>13050</v>
      </c>
      <c r="AH26" s="3186" t="s">
        <v>2780</v>
      </c>
      <c r="AI26" s="3186">
        <v>293.54000000000002</v>
      </c>
      <c r="AJ26" s="3186" t="s">
        <v>2780</v>
      </c>
      <c r="AK26" s="3186">
        <v>8806.2999999999993</v>
      </c>
      <c r="AL26" s="3186" t="s">
        <v>2780</v>
      </c>
      <c r="AM26" s="3186" t="s">
        <v>2780</v>
      </c>
      <c r="AN26" s="3186" t="s">
        <v>2780</v>
      </c>
      <c r="AO26" s="3186" t="s">
        <v>3097</v>
      </c>
      <c r="AP26" s="3186" t="s">
        <v>2780</v>
      </c>
      <c r="AQ26" s="3186" t="s">
        <v>2780</v>
      </c>
      <c r="AR26" s="3186" t="s">
        <v>2780</v>
      </c>
      <c r="AS26" s="3186" t="s">
        <v>3333</v>
      </c>
    </row>
    <row r="27" spans="1:45">
      <c r="A27" s="3186" t="s">
        <v>3271</v>
      </c>
      <c r="B27" s="3186" t="s">
        <v>3084</v>
      </c>
      <c r="C27" s="3186" t="s">
        <v>3099</v>
      </c>
      <c r="D27" s="3186" t="s">
        <v>3086</v>
      </c>
      <c r="E27" s="3186" t="s">
        <v>2780</v>
      </c>
      <c r="F27" s="3186" t="s">
        <v>3271</v>
      </c>
      <c r="G27" s="3186" t="s">
        <v>3063</v>
      </c>
      <c r="H27" s="3186" t="s">
        <v>3272</v>
      </c>
      <c r="I27" s="3186" t="s">
        <v>3144</v>
      </c>
      <c r="J27" s="3186">
        <v>183920.2</v>
      </c>
      <c r="K27" s="3186">
        <v>73568.070000000007</v>
      </c>
      <c r="L27" s="3186" t="s">
        <v>3170</v>
      </c>
      <c r="M27" s="3186" t="s">
        <v>2780</v>
      </c>
      <c r="N27" s="3186" t="s">
        <v>3171</v>
      </c>
      <c r="O27" s="3186" t="s">
        <v>3171</v>
      </c>
      <c r="P27" s="3186" t="s">
        <v>2780</v>
      </c>
      <c r="Q27" s="3186" t="s">
        <v>2780</v>
      </c>
      <c r="R27" s="3186" t="s">
        <v>2780</v>
      </c>
      <c r="S27" s="3186" t="s">
        <v>2780</v>
      </c>
      <c r="T27" s="3186" t="s">
        <v>2780</v>
      </c>
      <c r="U27" s="3186" t="s">
        <v>2780</v>
      </c>
      <c r="V27" s="3186" t="s">
        <v>2780</v>
      </c>
      <c r="W27" s="3186" t="s">
        <v>3068</v>
      </c>
      <c r="X27" s="3186" t="s">
        <v>3273</v>
      </c>
      <c r="Y27" s="3186" t="s">
        <v>3274</v>
      </c>
      <c r="Z27" s="3186" t="s">
        <v>3275</v>
      </c>
      <c r="AA27" s="3186" t="s">
        <v>3275</v>
      </c>
      <c r="AB27" s="3186" t="s">
        <v>3276</v>
      </c>
      <c r="AC27" s="3186" t="s">
        <v>3066</v>
      </c>
      <c r="AD27" s="3186" t="s">
        <v>3277</v>
      </c>
      <c r="AE27" s="3186">
        <v>43493</v>
      </c>
      <c r="AF27" s="3186" t="s">
        <v>2780</v>
      </c>
      <c r="AG27" s="3186">
        <v>73040</v>
      </c>
      <c r="AH27" s="3186" t="s">
        <v>2780</v>
      </c>
      <c r="AI27" s="3186">
        <v>264.75</v>
      </c>
      <c r="AJ27" s="3186" t="s">
        <v>2780</v>
      </c>
      <c r="AK27" s="3186">
        <v>9928.2099999999991</v>
      </c>
      <c r="AL27" s="3186" t="s">
        <v>2780</v>
      </c>
      <c r="AM27" s="3186" t="s">
        <v>2780</v>
      </c>
      <c r="AN27" s="3186" t="s">
        <v>2780</v>
      </c>
      <c r="AO27" s="3186" t="s">
        <v>3105</v>
      </c>
      <c r="AP27" s="3186" t="s">
        <v>2780</v>
      </c>
      <c r="AQ27" s="3186" t="s">
        <v>2780</v>
      </c>
      <c r="AR27" s="3186" t="s">
        <v>2780</v>
      </c>
      <c r="AS27" s="3186" t="s">
        <v>3338</v>
      </c>
    </row>
    <row r="28" spans="1:45">
      <c r="A28" s="3186" t="s">
        <v>3278</v>
      </c>
      <c r="B28" s="3186" t="s">
        <v>3084</v>
      </c>
      <c r="C28" s="3186" t="s">
        <v>3085</v>
      </c>
      <c r="D28" s="3186" t="s">
        <v>3107</v>
      </c>
      <c r="E28" s="3186" t="s">
        <v>2780</v>
      </c>
      <c r="F28" s="3186" t="s">
        <v>3278</v>
      </c>
      <c r="G28" s="3186" t="s">
        <v>3063</v>
      </c>
      <c r="H28" s="3186" t="s">
        <v>3279</v>
      </c>
      <c r="I28" s="3186" t="s">
        <v>3134</v>
      </c>
      <c r="J28" s="3186">
        <v>10515.92</v>
      </c>
      <c r="K28" s="3186">
        <v>12619.1</v>
      </c>
      <c r="L28" s="3186" t="s">
        <v>3101</v>
      </c>
      <c r="M28" s="3186" t="s">
        <v>2780</v>
      </c>
      <c r="N28" s="3186" t="s">
        <v>3071</v>
      </c>
      <c r="O28" s="3186" t="s">
        <v>3280</v>
      </c>
      <c r="P28" s="3186" t="s">
        <v>2780</v>
      </c>
      <c r="Q28" s="3186" t="s">
        <v>2780</v>
      </c>
      <c r="R28" s="3186" t="s">
        <v>2780</v>
      </c>
      <c r="S28" s="3186" t="s">
        <v>2780</v>
      </c>
      <c r="T28" s="3186" t="s">
        <v>2780</v>
      </c>
      <c r="U28" s="3186" t="s">
        <v>2780</v>
      </c>
      <c r="V28" s="3186" t="s">
        <v>2780</v>
      </c>
      <c r="W28" s="3186" t="s">
        <v>3301</v>
      </c>
      <c r="X28" s="3186" t="s">
        <v>3281</v>
      </c>
      <c r="Y28" s="3186" t="s">
        <v>3282</v>
      </c>
      <c r="Z28" s="3186" t="s">
        <v>3283</v>
      </c>
      <c r="AA28" s="3186" t="s">
        <v>3283</v>
      </c>
      <c r="AB28" s="3186" t="s">
        <v>3284</v>
      </c>
      <c r="AC28" s="3186" t="s">
        <v>3066</v>
      </c>
      <c r="AD28" s="3186" t="s">
        <v>3285</v>
      </c>
      <c r="AE28" s="3186">
        <v>1610</v>
      </c>
      <c r="AF28" s="3186" t="s">
        <v>2780</v>
      </c>
      <c r="AG28" s="3186">
        <v>1628</v>
      </c>
      <c r="AH28" s="3186" t="s">
        <v>2780</v>
      </c>
      <c r="AI28" s="3186">
        <v>103.21</v>
      </c>
      <c r="AJ28" s="3186" t="s">
        <v>2780</v>
      </c>
      <c r="AK28" s="3186">
        <v>1290.0999999999999</v>
      </c>
      <c r="AL28" s="3186" t="s">
        <v>2780</v>
      </c>
      <c r="AM28" s="3186" t="s">
        <v>2780</v>
      </c>
      <c r="AN28" s="3186" t="s">
        <v>2780</v>
      </c>
      <c r="AO28" s="3186" t="s">
        <v>3097</v>
      </c>
      <c r="AP28" s="3186" t="s">
        <v>2780</v>
      </c>
      <c r="AQ28" s="3186" t="s">
        <v>2780</v>
      </c>
      <c r="AR28" s="3186" t="s">
        <v>2780</v>
      </c>
      <c r="AS28" s="3186" t="s">
        <v>3341</v>
      </c>
    </row>
    <row r="29" spans="1:45">
      <c r="A29" s="3186" t="s">
        <v>3286</v>
      </c>
      <c r="B29" s="3186" t="s">
        <v>3084</v>
      </c>
      <c r="C29" s="3186" t="s">
        <v>3099</v>
      </c>
      <c r="D29" s="3186" t="s">
        <v>3107</v>
      </c>
      <c r="E29" s="3186" t="s">
        <v>2780</v>
      </c>
      <c r="F29" s="3186" t="s">
        <v>3286</v>
      </c>
      <c r="G29" s="3186" t="s">
        <v>3063</v>
      </c>
      <c r="H29" s="3186" t="s">
        <v>3287</v>
      </c>
      <c r="I29" s="3186" t="s">
        <v>3100</v>
      </c>
      <c r="J29" s="3186">
        <v>9725.5400000000009</v>
      </c>
      <c r="K29" s="3186">
        <v>1945.11</v>
      </c>
      <c r="L29" s="3186" t="s">
        <v>3288</v>
      </c>
      <c r="M29" s="3186" t="s">
        <v>2780</v>
      </c>
      <c r="N29" s="3186" t="s">
        <v>3171</v>
      </c>
      <c r="O29" s="3186" t="s">
        <v>3289</v>
      </c>
      <c r="P29" s="3186" t="s">
        <v>2780</v>
      </c>
      <c r="Q29" s="3186" t="s">
        <v>2780</v>
      </c>
      <c r="R29" s="3186" t="s">
        <v>2780</v>
      </c>
      <c r="S29" s="3186" t="s">
        <v>2780</v>
      </c>
      <c r="T29" s="3186" t="s">
        <v>2780</v>
      </c>
      <c r="U29" s="3186" t="s">
        <v>2780</v>
      </c>
      <c r="V29" s="3186" t="s">
        <v>2780</v>
      </c>
      <c r="W29" s="3186" t="s">
        <v>3068</v>
      </c>
      <c r="X29" s="3186" t="s">
        <v>3290</v>
      </c>
      <c r="Y29" s="3186" t="s">
        <v>3291</v>
      </c>
      <c r="Z29" s="3186" t="s">
        <v>3292</v>
      </c>
      <c r="AA29" s="3186" t="s">
        <v>3292</v>
      </c>
      <c r="AB29" s="3186" t="s">
        <v>3293</v>
      </c>
      <c r="AC29" s="3186" t="s">
        <v>3066</v>
      </c>
      <c r="AD29" s="3186" t="s">
        <v>3294</v>
      </c>
      <c r="AE29" s="3186">
        <v>3174</v>
      </c>
      <c r="AF29" s="3186" t="s">
        <v>2780</v>
      </c>
      <c r="AG29" s="3186">
        <v>3260</v>
      </c>
      <c r="AH29" s="3186" t="s">
        <v>2780</v>
      </c>
      <c r="AI29" s="3186">
        <v>223.47</v>
      </c>
      <c r="AJ29" s="3186" t="s">
        <v>2780</v>
      </c>
      <c r="AK29" s="3186">
        <v>16759.97</v>
      </c>
      <c r="AL29" s="3186" t="s">
        <v>2780</v>
      </c>
      <c r="AM29" s="3186" t="s">
        <v>2780</v>
      </c>
      <c r="AN29" s="3186" t="s">
        <v>2780</v>
      </c>
      <c r="AO29" s="3186" t="s">
        <v>3105</v>
      </c>
      <c r="AP29" s="3186" t="s">
        <v>2780</v>
      </c>
      <c r="AQ29" s="3186" t="s">
        <v>2780</v>
      </c>
      <c r="AR29" s="3186" t="s">
        <v>2780</v>
      </c>
      <c r="AS29" s="3186" t="s">
        <v>3338</v>
      </c>
    </row>
    <row r="30" spans="1:45">
      <c r="A30" s="3186" t="s">
        <v>3295</v>
      </c>
      <c r="B30" s="3186" t="s">
        <v>3084</v>
      </c>
      <c r="C30" s="3186" t="s">
        <v>3099</v>
      </c>
      <c r="D30" s="3186" t="s">
        <v>3086</v>
      </c>
      <c r="E30" s="3186" t="s">
        <v>2780</v>
      </c>
      <c r="F30" s="3186" t="s">
        <v>3295</v>
      </c>
      <c r="G30" s="3186" t="s">
        <v>3063</v>
      </c>
      <c r="H30" s="3186" t="s">
        <v>3296</v>
      </c>
      <c r="I30" s="3186" t="s">
        <v>3297</v>
      </c>
      <c r="J30" s="3186">
        <v>151906.6</v>
      </c>
      <c r="K30" s="3186">
        <v>194109</v>
      </c>
      <c r="L30" s="3186" t="s">
        <v>3298</v>
      </c>
      <c r="M30" s="3186" t="s">
        <v>2780</v>
      </c>
      <c r="N30" s="3186" t="s">
        <v>3299</v>
      </c>
      <c r="O30" s="3186" t="s">
        <v>3300</v>
      </c>
      <c r="P30" s="3186" t="s">
        <v>2780</v>
      </c>
      <c r="Q30" s="3186" t="s">
        <v>2780</v>
      </c>
      <c r="R30" s="3186" t="s">
        <v>2780</v>
      </c>
      <c r="S30" s="3186" t="s">
        <v>2780</v>
      </c>
      <c r="T30" s="3186" t="s">
        <v>2780</v>
      </c>
      <c r="U30" s="3186" t="s">
        <v>2780</v>
      </c>
      <c r="V30" s="3186" t="s">
        <v>2780</v>
      </c>
      <c r="W30" s="3186" t="s">
        <v>3301</v>
      </c>
      <c r="X30" s="3186" t="s">
        <v>3302</v>
      </c>
      <c r="Y30" s="3186" t="s">
        <v>3303</v>
      </c>
      <c r="Z30" s="3186" t="s">
        <v>3304</v>
      </c>
      <c r="AA30" s="3186" t="s">
        <v>3304</v>
      </c>
      <c r="AB30" s="3186" t="s">
        <v>3305</v>
      </c>
      <c r="AC30" s="3186" t="s">
        <v>3066</v>
      </c>
      <c r="AD30" s="3186" t="s">
        <v>3306</v>
      </c>
      <c r="AE30" s="3186">
        <v>29223</v>
      </c>
      <c r="AF30" s="3186">
        <v>48705</v>
      </c>
      <c r="AG30" s="3186">
        <v>49100</v>
      </c>
      <c r="AH30" s="3186">
        <v>213.75</v>
      </c>
      <c r="AI30" s="3186">
        <v>215.48</v>
      </c>
      <c r="AJ30" s="3186">
        <v>2509.15</v>
      </c>
      <c r="AK30" s="3186">
        <v>2529.5100000000002</v>
      </c>
      <c r="AL30" s="3186" t="s">
        <v>2780</v>
      </c>
      <c r="AM30" s="3186" t="s">
        <v>2780</v>
      </c>
      <c r="AN30" s="3186">
        <v>0.81</v>
      </c>
      <c r="AO30" s="3186" t="s">
        <v>3307</v>
      </c>
      <c r="AP30" s="3186" t="s">
        <v>2780</v>
      </c>
      <c r="AQ30" s="3186" t="s">
        <v>2780</v>
      </c>
      <c r="AR30" s="3186" t="s">
        <v>2780</v>
      </c>
      <c r="AS30" s="3186" t="s">
        <v>3338</v>
      </c>
    </row>
    <row r="31" spans="1:45">
      <c r="A31" s="3186" t="s">
        <v>3308</v>
      </c>
      <c r="B31" s="3186" t="s">
        <v>3084</v>
      </c>
      <c r="C31" s="3186" t="s">
        <v>3099</v>
      </c>
      <c r="D31" s="3186" t="s">
        <v>3086</v>
      </c>
      <c r="E31" s="3186" t="s">
        <v>2780</v>
      </c>
      <c r="F31" s="3186" t="s">
        <v>3308</v>
      </c>
      <c r="G31" s="3186" t="s">
        <v>3063</v>
      </c>
      <c r="H31" s="3186" t="s">
        <v>3309</v>
      </c>
      <c r="I31" s="3186" t="s">
        <v>3100</v>
      </c>
      <c r="J31" s="3186">
        <v>119085.6</v>
      </c>
      <c r="K31" s="3186">
        <v>71451.37</v>
      </c>
      <c r="L31" s="3186" t="s">
        <v>3120</v>
      </c>
      <c r="M31" s="3186" t="s">
        <v>2780</v>
      </c>
      <c r="N31" s="3186" t="s">
        <v>3071</v>
      </c>
      <c r="O31" s="3186" t="s">
        <v>3231</v>
      </c>
      <c r="P31" s="3186" t="s">
        <v>2780</v>
      </c>
      <c r="Q31" s="3186" t="s">
        <v>2780</v>
      </c>
      <c r="R31" s="3186" t="s">
        <v>2780</v>
      </c>
      <c r="S31" s="3186" t="s">
        <v>2780</v>
      </c>
      <c r="T31" s="3186" t="s">
        <v>2780</v>
      </c>
      <c r="U31" s="3186" t="s">
        <v>2780</v>
      </c>
      <c r="V31" s="3186" t="s">
        <v>2780</v>
      </c>
      <c r="W31" s="3186" t="s">
        <v>3301</v>
      </c>
      <c r="X31" s="3186" t="s">
        <v>3310</v>
      </c>
      <c r="Y31" s="3186" t="s">
        <v>3311</v>
      </c>
      <c r="Z31" s="3186" t="s">
        <v>3312</v>
      </c>
      <c r="AA31" s="3186" t="s">
        <v>3312</v>
      </c>
      <c r="AB31" s="3186" t="s">
        <v>3313</v>
      </c>
      <c r="AC31" s="3186" t="s">
        <v>3066</v>
      </c>
      <c r="AD31" s="3186" t="s">
        <v>3314</v>
      </c>
      <c r="AE31" s="3186">
        <v>34732</v>
      </c>
      <c r="AF31" s="3186" t="s">
        <v>2780</v>
      </c>
      <c r="AG31" s="3186">
        <v>58188</v>
      </c>
      <c r="AH31" s="3186" t="s">
        <v>2780</v>
      </c>
      <c r="AI31" s="3186">
        <v>325.75</v>
      </c>
      <c r="AJ31" s="3186" t="s">
        <v>2780</v>
      </c>
      <c r="AK31" s="3186">
        <v>8143.72</v>
      </c>
      <c r="AL31" s="3186" t="s">
        <v>2780</v>
      </c>
      <c r="AM31" s="3186" t="s">
        <v>2780</v>
      </c>
      <c r="AN31" s="3186" t="s">
        <v>2780</v>
      </c>
      <c r="AO31" s="3186" t="s">
        <v>3105</v>
      </c>
      <c r="AP31" s="3186" t="s">
        <v>2780</v>
      </c>
      <c r="AQ31" s="3186" t="s">
        <v>2780</v>
      </c>
      <c r="AR31" s="3186" t="s">
        <v>2780</v>
      </c>
      <c r="AS31" s="3186" t="s">
        <v>3338</v>
      </c>
    </row>
    <row r="32" spans="1:45">
      <c r="A32" s="3186" t="s">
        <v>3343</v>
      </c>
      <c r="B32" s="3186" t="s">
        <v>3084</v>
      </c>
      <c r="C32" s="3186" t="s">
        <v>3099</v>
      </c>
      <c r="D32" s="3186" t="s">
        <v>3086</v>
      </c>
      <c r="E32" s="3186" t="s">
        <v>2780</v>
      </c>
      <c r="F32" s="3186" t="s">
        <v>3343</v>
      </c>
      <c r="G32" s="3186" t="s">
        <v>3063</v>
      </c>
      <c r="H32" s="3186" t="s">
        <v>3344</v>
      </c>
      <c r="I32" s="3186" t="s">
        <v>3100</v>
      </c>
      <c r="J32" s="3186">
        <v>166138.1</v>
      </c>
      <c r="K32" s="3186">
        <v>99682.85</v>
      </c>
      <c r="L32" s="3186" t="s">
        <v>3120</v>
      </c>
      <c r="M32" s="3186" t="s">
        <v>2780</v>
      </c>
      <c r="N32" s="3186" t="s">
        <v>3181</v>
      </c>
      <c r="O32" s="3186" t="s">
        <v>3289</v>
      </c>
      <c r="P32" s="3186" t="s">
        <v>2780</v>
      </c>
      <c r="Q32" s="3186" t="s">
        <v>2780</v>
      </c>
      <c r="R32" s="3186" t="s">
        <v>2780</v>
      </c>
      <c r="S32" s="3186" t="s">
        <v>2780</v>
      </c>
      <c r="T32" s="3186" t="s">
        <v>2780</v>
      </c>
      <c r="U32" s="3186" t="s">
        <v>2780</v>
      </c>
      <c r="V32" s="3186" t="s">
        <v>2780</v>
      </c>
      <c r="W32" s="3186" t="s">
        <v>3301</v>
      </c>
      <c r="X32" s="3186" t="s">
        <v>3345</v>
      </c>
      <c r="Y32" s="3186" t="s">
        <v>3346</v>
      </c>
      <c r="Z32" s="3186" t="s">
        <v>3347</v>
      </c>
      <c r="AA32" s="3186" t="s">
        <v>3347</v>
      </c>
      <c r="AB32" s="3186" t="s">
        <v>3348</v>
      </c>
      <c r="AC32" s="3186" t="s">
        <v>3066</v>
      </c>
      <c r="AD32" s="3186" t="s">
        <v>3349</v>
      </c>
      <c r="AE32" s="3186">
        <v>45077</v>
      </c>
      <c r="AF32" s="3186">
        <v>75127</v>
      </c>
      <c r="AG32" s="3186">
        <v>75700</v>
      </c>
      <c r="AH32" s="3186">
        <v>301.45999999999998</v>
      </c>
      <c r="AI32" s="3186">
        <v>303.76</v>
      </c>
      <c r="AJ32" s="3186">
        <v>7536.6</v>
      </c>
      <c r="AK32" s="3186">
        <v>7594.07</v>
      </c>
      <c r="AL32" s="3186" t="s">
        <v>2780</v>
      </c>
      <c r="AM32" s="3186" t="s">
        <v>2780</v>
      </c>
      <c r="AN32" s="3186">
        <v>0.76</v>
      </c>
      <c r="AO32" s="3186" t="s">
        <v>3105</v>
      </c>
      <c r="AP32" s="3186" t="s">
        <v>2780</v>
      </c>
      <c r="AQ32" s="3186" t="s">
        <v>2780</v>
      </c>
      <c r="AR32" s="3186" t="s">
        <v>2780</v>
      </c>
      <c r="AS32" s="3186" t="s">
        <v>3338</v>
      </c>
    </row>
    <row r="33" spans="1:45" ht="0.6" customHeight="1">
      <c r="A33" s="3186" t="s">
        <v>3350</v>
      </c>
      <c r="B33" s="3186" t="s">
        <v>3084</v>
      </c>
      <c r="C33" s="3186" t="s">
        <v>3085</v>
      </c>
      <c r="D33" s="3186" t="s">
        <v>3086</v>
      </c>
      <c r="E33" s="3186" t="s">
        <v>2780</v>
      </c>
      <c r="F33" s="3186" t="s">
        <v>3350</v>
      </c>
      <c r="G33" s="3186" t="s">
        <v>3063</v>
      </c>
      <c r="H33" s="3186" t="s">
        <v>3351</v>
      </c>
      <c r="I33" s="3186" t="s">
        <v>3352</v>
      </c>
      <c r="J33" s="3186">
        <v>268494</v>
      </c>
      <c r="K33" s="3186">
        <v>82635.38</v>
      </c>
      <c r="L33" s="3186" t="s">
        <v>3353</v>
      </c>
      <c r="M33" s="3186" t="s">
        <v>2780</v>
      </c>
      <c r="N33" s="3186" t="s">
        <v>3354</v>
      </c>
      <c r="O33" s="3186" t="s">
        <v>3355</v>
      </c>
      <c r="P33" s="3186" t="s">
        <v>2780</v>
      </c>
      <c r="Q33" s="3186" t="s">
        <v>2780</v>
      </c>
      <c r="R33" s="3186" t="s">
        <v>2780</v>
      </c>
      <c r="S33" s="3186" t="s">
        <v>2780</v>
      </c>
      <c r="T33" s="3186" t="s">
        <v>2780</v>
      </c>
      <c r="U33" s="3186" t="s">
        <v>2780</v>
      </c>
      <c r="V33" s="3186" t="s">
        <v>2780</v>
      </c>
      <c r="W33" s="3186" t="s">
        <v>3301</v>
      </c>
      <c r="X33" s="3186" t="s">
        <v>3345</v>
      </c>
      <c r="Y33" s="3186" t="s">
        <v>3346</v>
      </c>
      <c r="Z33" s="3186" t="s">
        <v>3347</v>
      </c>
      <c r="AA33" s="3186" t="s">
        <v>3347</v>
      </c>
      <c r="AB33" s="3186" t="s">
        <v>3356</v>
      </c>
      <c r="AC33" s="3186" t="s">
        <v>3066</v>
      </c>
      <c r="AD33" s="3186" t="s">
        <v>3357</v>
      </c>
      <c r="AE33" s="3186">
        <v>22734</v>
      </c>
      <c r="AF33" s="3186">
        <v>37889</v>
      </c>
      <c r="AG33" s="3186">
        <v>38550</v>
      </c>
      <c r="AH33" s="3186">
        <v>94.08</v>
      </c>
      <c r="AI33" s="3186">
        <v>95.72</v>
      </c>
      <c r="AJ33" s="3186">
        <v>4585.08</v>
      </c>
      <c r="AK33" s="3186">
        <v>4665.0600000000004</v>
      </c>
      <c r="AL33" s="3186" t="s">
        <v>2780</v>
      </c>
      <c r="AM33" s="3186" t="s">
        <v>2780</v>
      </c>
      <c r="AN33" s="3186">
        <v>1.74</v>
      </c>
      <c r="AO33" s="3186" t="s">
        <v>3097</v>
      </c>
      <c r="AP33" s="3186" t="s">
        <v>2780</v>
      </c>
      <c r="AQ33" s="3186" t="s">
        <v>2780</v>
      </c>
      <c r="AR33" s="3186" t="s">
        <v>2780</v>
      </c>
      <c r="AS33" s="3186" t="s">
        <v>3341</v>
      </c>
    </row>
    <row r="34" spans="1:45">
      <c r="A34" s="3186" t="s">
        <v>3358</v>
      </c>
      <c r="B34" s="3186" t="s">
        <v>3084</v>
      </c>
      <c r="C34" s="3186" t="s">
        <v>3099</v>
      </c>
      <c r="D34" s="3186" t="s">
        <v>3086</v>
      </c>
      <c r="E34" s="3186" t="s">
        <v>2780</v>
      </c>
      <c r="F34" s="3186" t="s">
        <v>3358</v>
      </c>
      <c r="G34" s="3186" t="s">
        <v>3063</v>
      </c>
      <c r="H34" s="3186" t="s">
        <v>3359</v>
      </c>
      <c r="I34" s="3186" t="s">
        <v>3100</v>
      </c>
      <c r="J34" s="3186">
        <v>122702.39999999999</v>
      </c>
      <c r="K34" s="3186">
        <v>122702.39999999999</v>
      </c>
      <c r="L34" s="3186" t="s">
        <v>3360</v>
      </c>
      <c r="M34" s="3186" t="s">
        <v>2780</v>
      </c>
      <c r="N34" s="3186" t="s">
        <v>3182</v>
      </c>
      <c r="O34" s="3186" t="s">
        <v>3171</v>
      </c>
      <c r="P34" s="3186" t="s">
        <v>2780</v>
      </c>
      <c r="Q34" s="3186" t="s">
        <v>2780</v>
      </c>
      <c r="R34" s="3186" t="s">
        <v>2780</v>
      </c>
      <c r="S34" s="3186" t="s">
        <v>2780</v>
      </c>
      <c r="T34" s="3186" t="s">
        <v>2780</v>
      </c>
      <c r="U34" s="3186" t="s">
        <v>2780</v>
      </c>
      <c r="V34" s="3186" t="s">
        <v>2780</v>
      </c>
      <c r="W34" s="3186" t="s">
        <v>3301</v>
      </c>
      <c r="X34" s="3186" t="s">
        <v>3361</v>
      </c>
      <c r="Y34" s="3186" t="s">
        <v>3362</v>
      </c>
      <c r="Z34" s="3186" t="s">
        <v>3363</v>
      </c>
      <c r="AA34" s="3186" t="s">
        <v>3363</v>
      </c>
      <c r="AB34" s="3186" t="s">
        <v>3364</v>
      </c>
      <c r="AC34" s="3186" t="s">
        <v>3066</v>
      </c>
      <c r="AD34" s="3186" t="s">
        <v>3365</v>
      </c>
      <c r="AE34" s="3186">
        <v>40352</v>
      </c>
      <c r="AF34" s="3186">
        <v>67253</v>
      </c>
      <c r="AG34" s="3186">
        <v>67800</v>
      </c>
      <c r="AH34" s="3186">
        <v>365.4</v>
      </c>
      <c r="AI34" s="3186">
        <v>368.37</v>
      </c>
      <c r="AJ34" s="3186">
        <v>5480.98</v>
      </c>
      <c r="AK34" s="3186">
        <v>5525.56</v>
      </c>
      <c r="AL34" s="3186" t="s">
        <v>2780</v>
      </c>
      <c r="AM34" s="3186" t="s">
        <v>2780</v>
      </c>
      <c r="AN34" s="3186">
        <v>0.81</v>
      </c>
      <c r="AO34" s="3186" t="s">
        <v>3105</v>
      </c>
      <c r="AP34" s="3186" t="s">
        <v>2780</v>
      </c>
      <c r="AQ34" s="3186" t="s">
        <v>2780</v>
      </c>
      <c r="AR34" s="3186" t="s">
        <v>2780</v>
      </c>
      <c r="AS34" s="3186" t="s">
        <v>3338</v>
      </c>
    </row>
    <row r="35" spans="1:45">
      <c r="A35" s="3186" t="s">
        <v>3366</v>
      </c>
      <c r="B35" s="3186" t="s">
        <v>3084</v>
      </c>
      <c r="C35" s="3186" t="s">
        <v>3099</v>
      </c>
      <c r="D35" s="3186" t="s">
        <v>3086</v>
      </c>
      <c r="E35" s="3186" t="s">
        <v>2780</v>
      </c>
      <c r="F35" s="3186" t="s">
        <v>3366</v>
      </c>
      <c r="G35" s="3186" t="s">
        <v>3063</v>
      </c>
      <c r="H35" s="3186" t="s">
        <v>3367</v>
      </c>
      <c r="I35" s="3186" t="s">
        <v>3100</v>
      </c>
      <c r="J35" s="3186">
        <v>137453.79999999999</v>
      </c>
      <c r="K35" s="3186">
        <v>206180.7</v>
      </c>
      <c r="L35" s="3186" t="s">
        <v>3153</v>
      </c>
      <c r="M35" s="3186" t="s">
        <v>2780</v>
      </c>
      <c r="N35" s="3186" t="s">
        <v>3181</v>
      </c>
      <c r="O35" s="3186" t="s">
        <v>3368</v>
      </c>
      <c r="P35" s="3186" t="s">
        <v>2780</v>
      </c>
      <c r="Q35" s="3186" t="s">
        <v>2780</v>
      </c>
      <c r="R35" s="3186" t="s">
        <v>2780</v>
      </c>
      <c r="S35" s="3186" t="s">
        <v>2780</v>
      </c>
      <c r="T35" s="3186" t="s">
        <v>2780</v>
      </c>
      <c r="U35" s="3186" t="s">
        <v>2780</v>
      </c>
      <c r="V35" s="3186" t="s">
        <v>2780</v>
      </c>
      <c r="W35" s="3186" t="s">
        <v>3301</v>
      </c>
      <c r="X35" s="3186" t="s">
        <v>3369</v>
      </c>
      <c r="Y35" s="3186" t="s">
        <v>3370</v>
      </c>
      <c r="Z35" s="3186" t="s">
        <v>3371</v>
      </c>
      <c r="AA35" s="3186" t="s">
        <v>3371</v>
      </c>
      <c r="AB35" s="3186" t="s">
        <v>3372</v>
      </c>
      <c r="AC35" s="3186" t="s">
        <v>3066</v>
      </c>
      <c r="AD35" s="3186" t="s">
        <v>3373</v>
      </c>
      <c r="AE35" s="3186">
        <v>46000</v>
      </c>
      <c r="AF35" s="3186">
        <v>76542</v>
      </c>
      <c r="AG35" s="3186">
        <v>76896</v>
      </c>
      <c r="AH35" s="3186">
        <v>371.24</v>
      </c>
      <c r="AI35" s="3186">
        <v>372.95</v>
      </c>
      <c r="AJ35" s="3186">
        <v>3712.37</v>
      </c>
      <c r="AK35" s="3186">
        <v>3729.53</v>
      </c>
      <c r="AL35" s="3186" t="s">
        <v>2780</v>
      </c>
      <c r="AM35" s="3186" t="s">
        <v>2780</v>
      </c>
      <c r="AN35" s="3186">
        <v>0.46</v>
      </c>
      <c r="AO35" s="3186" t="s">
        <v>3105</v>
      </c>
      <c r="AP35" s="3186" t="s">
        <v>2780</v>
      </c>
      <c r="AQ35" s="3186" t="s">
        <v>2780</v>
      </c>
      <c r="AR35" s="3186" t="s">
        <v>2780</v>
      </c>
      <c r="AS35" s="3186" t="s">
        <v>3338</v>
      </c>
    </row>
    <row r="36" spans="1:45">
      <c r="A36" s="3186" t="s">
        <v>3374</v>
      </c>
      <c r="B36" s="3186" t="s">
        <v>3084</v>
      </c>
      <c r="C36" s="3186" t="s">
        <v>3085</v>
      </c>
      <c r="D36" s="3186" t="s">
        <v>3086</v>
      </c>
      <c r="E36" s="3186" t="s">
        <v>2780</v>
      </c>
      <c r="F36" s="3186" t="s">
        <v>3374</v>
      </c>
      <c r="G36" s="3186" t="s">
        <v>3063</v>
      </c>
      <c r="H36" s="3186" t="s">
        <v>3375</v>
      </c>
      <c r="I36" s="3186" t="s">
        <v>3129</v>
      </c>
      <c r="J36" s="3186">
        <v>139088.6</v>
      </c>
      <c r="K36" s="3186">
        <v>111270.9</v>
      </c>
      <c r="L36" s="3186" t="s">
        <v>3135</v>
      </c>
      <c r="M36" s="3186" t="s">
        <v>2780</v>
      </c>
      <c r="N36" s="3186" t="s">
        <v>3067</v>
      </c>
      <c r="O36" s="3186" t="s">
        <v>3071</v>
      </c>
      <c r="P36" s="3186" t="s">
        <v>2780</v>
      </c>
      <c r="Q36" s="3186" t="s">
        <v>2780</v>
      </c>
      <c r="R36" s="3186" t="s">
        <v>2780</v>
      </c>
      <c r="S36" s="3186" t="s">
        <v>2780</v>
      </c>
      <c r="T36" s="3186" t="s">
        <v>2780</v>
      </c>
      <c r="U36" s="3186" t="s">
        <v>2780</v>
      </c>
      <c r="V36" s="3186" t="s">
        <v>2780</v>
      </c>
      <c r="W36" s="3186" t="s">
        <v>3301</v>
      </c>
      <c r="X36" s="3186" t="s">
        <v>3369</v>
      </c>
      <c r="Y36" s="3186" t="s">
        <v>3370</v>
      </c>
      <c r="Z36" s="3186" t="s">
        <v>3371</v>
      </c>
      <c r="AA36" s="3186" t="s">
        <v>3371</v>
      </c>
      <c r="AB36" s="3186" t="s">
        <v>3376</v>
      </c>
      <c r="AC36" s="3186" t="s">
        <v>3066</v>
      </c>
      <c r="AD36" s="3186" t="s">
        <v>3166</v>
      </c>
      <c r="AE36" s="3186">
        <v>26202</v>
      </c>
      <c r="AF36" s="3186">
        <v>26202</v>
      </c>
      <c r="AG36" s="3186">
        <v>26660</v>
      </c>
      <c r="AH36" s="3186">
        <v>125.59</v>
      </c>
      <c r="AI36" s="3186">
        <v>127.78</v>
      </c>
      <c r="AJ36" s="3186">
        <v>2354.79</v>
      </c>
      <c r="AK36" s="3186">
        <v>2395.94</v>
      </c>
      <c r="AL36" s="3186" t="s">
        <v>2780</v>
      </c>
      <c r="AM36" s="3186" t="s">
        <v>2780</v>
      </c>
      <c r="AN36" s="3186">
        <v>1.75</v>
      </c>
      <c r="AO36" s="3186" t="s">
        <v>3097</v>
      </c>
      <c r="AP36" s="3186" t="s">
        <v>2780</v>
      </c>
      <c r="AQ36" s="3186" t="s">
        <v>2780</v>
      </c>
      <c r="AR36" s="3186" t="s">
        <v>2780</v>
      </c>
      <c r="AS36" s="3186" t="s">
        <v>3341</v>
      </c>
    </row>
    <row r="37" spans="1:45">
      <c r="A37" s="3186" t="s">
        <v>3377</v>
      </c>
      <c r="B37" s="3186" t="s">
        <v>3084</v>
      </c>
      <c r="C37" s="3186" t="s">
        <v>3099</v>
      </c>
      <c r="D37" s="3186" t="s">
        <v>3086</v>
      </c>
      <c r="E37" s="3186" t="s">
        <v>2780</v>
      </c>
      <c r="F37" s="3186" t="s">
        <v>3377</v>
      </c>
      <c r="G37" s="3186" t="s">
        <v>3063</v>
      </c>
      <c r="H37" s="3186" t="s">
        <v>3378</v>
      </c>
      <c r="I37" s="3186" t="s">
        <v>3169</v>
      </c>
      <c r="J37" s="3186">
        <v>45714.879999999997</v>
      </c>
      <c r="K37" s="3186">
        <v>32000.42</v>
      </c>
      <c r="L37" s="3186" t="s">
        <v>3145</v>
      </c>
      <c r="M37" s="3186" t="s">
        <v>2780</v>
      </c>
      <c r="N37" s="3186" t="s">
        <v>3067</v>
      </c>
      <c r="O37" s="3186" t="s">
        <v>3171</v>
      </c>
      <c r="P37" s="3186" t="s">
        <v>2780</v>
      </c>
      <c r="Q37" s="3186" t="s">
        <v>2780</v>
      </c>
      <c r="R37" s="3186" t="s">
        <v>2780</v>
      </c>
      <c r="S37" s="3186" t="s">
        <v>2780</v>
      </c>
      <c r="T37" s="3186" t="s">
        <v>2780</v>
      </c>
      <c r="U37" s="3186" t="s">
        <v>2780</v>
      </c>
      <c r="V37" s="3186" t="s">
        <v>2780</v>
      </c>
      <c r="W37" s="3186" t="s">
        <v>3301</v>
      </c>
      <c r="X37" s="3186" t="s">
        <v>3379</v>
      </c>
      <c r="Y37" s="3186" t="s">
        <v>3380</v>
      </c>
      <c r="Z37" s="3186" t="s">
        <v>3381</v>
      </c>
      <c r="AA37" s="3186" t="s">
        <v>3381</v>
      </c>
      <c r="AB37" s="3186" t="s">
        <v>3382</v>
      </c>
      <c r="AC37" s="3186" t="s">
        <v>3066</v>
      </c>
      <c r="AD37" s="3186" t="s">
        <v>3383</v>
      </c>
      <c r="AE37" s="3186">
        <v>20773</v>
      </c>
      <c r="AF37" s="3186" t="s">
        <v>2780</v>
      </c>
      <c r="AG37" s="3186">
        <v>20961</v>
      </c>
      <c r="AH37" s="3186" t="s">
        <v>2780</v>
      </c>
      <c r="AI37" s="3186">
        <v>305.68</v>
      </c>
      <c r="AJ37" s="3186" t="s">
        <v>2780</v>
      </c>
      <c r="AK37" s="3186">
        <v>6550.22</v>
      </c>
      <c r="AL37" s="3186" t="s">
        <v>2780</v>
      </c>
      <c r="AM37" s="3186" t="s">
        <v>2780</v>
      </c>
      <c r="AN37" s="3186" t="s">
        <v>2780</v>
      </c>
      <c r="AO37" s="3186" t="s">
        <v>3105</v>
      </c>
      <c r="AP37" s="3186" t="s">
        <v>2780</v>
      </c>
      <c r="AQ37" s="3186" t="s">
        <v>2780</v>
      </c>
      <c r="AR37" s="3186" t="s">
        <v>2780</v>
      </c>
      <c r="AS37" s="3186" t="s">
        <v>3338</v>
      </c>
    </row>
    <row r="38" spans="1:45">
      <c r="A38" s="3186" t="s">
        <v>3384</v>
      </c>
      <c r="B38" s="3186" t="s">
        <v>3084</v>
      </c>
      <c r="C38" s="3186" t="s">
        <v>3099</v>
      </c>
      <c r="D38" s="3186" t="s">
        <v>3086</v>
      </c>
      <c r="E38" s="3186" t="s">
        <v>2780</v>
      </c>
      <c r="F38" s="3186" t="s">
        <v>3384</v>
      </c>
      <c r="G38" s="3186" t="s">
        <v>3063</v>
      </c>
      <c r="H38" s="3186" t="s">
        <v>3385</v>
      </c>
      <c r="I38" s="3186" t="s">
        <v>3191</v>
      </c>
      <c r="J38" s="3186">
        <v>101766</v>
      </c>
      <c r="K38" s="3186">
        <v>40706.379999999997</v>
      </c>
      <c r="L38" s="3186" t="s">
        <v>3386</v>
      </c>
      <c r="M38" s="3186" t="s">
        <v>2780</v>
      </c>
      <c r="N38" s="3186" t="s">
        <v>3387</v>
      </c>
      <c r="O38" s="3186" t="s">
        <v>3388</v>
      </c>
      <c r="P38" s="3186" t="s">
        <v>2780</v>
      </c>
      <c r="Q38" s="3186" t="s">
        <v>2780</v>
      </c>
      <c r="R38" s="3186" t="s">
        <v>2780</v>
      </c>
      <c r="S38" s="3186" t="s">
        <v>2780</v>
      </c>
      <c r="T38" s="3186" t="s">
        <v>2780</v>
      </c>
      <c r="U38" s="3186" t="s">
        <v>2780</v>
      </c>
      <c r="V38" s="3186" t="s">
        <v>2780</v>
      </c>
      <c r="W38" s="3186" t="s">
        <v>3301</v>
      </c>
      <c r="X38" s="3186" t="s">
        <v>3389</v>
      </c>
      <c r="Y38" s="3186" t="s">
        <v>3390</v>
      </c>
      <c r="Z38" s="3186" t="s">
        <v>3391</v>
      </c>
      <c r="AA38" s="3186" t="s">
        <v>3391</v>
      </c>
      <c r="AB38" s="3186" t="s">
        <v>3392</v>
      </c>
      <c r="AC38" s="3186" t="s">
        <v>3066</v>
      </c>
      <c r="AD38" s="3186" t="s">
        <v>3239</v>
      </c>
      <c r="AE38" s="3186">
        <v>42345</v>
      </c>
      <c r="AF38" s="3186" t="s">
        <v>2780</v>
      </c>
      <c r="AG38" s="3186">
        <v>43000</v>
      </c>
      <c r="AH38" s="3186" t="s">
        <v>2780</v>
      </c>
      <c r="AI38" s="3186">
        <v>281.69</v>
      </c>
      <c r="AJ38" s="3186" t="s">
        <v>2780</v>
      </c>
      <c r="AK38" s="3186">
        <v>10563.45</v>
      </c>
      <c r="AL38" s="3186" t="s">
        <v>2780</v>
      </c>
      <c r="AM38" s="3186" t="s">
        <v>2780</v>
      </c>
      <c r="AN38" s="3186" t="s">
        <v>2780</v>
      </c>
      <c r="AO38" s="3186" t="s">
        <v>3105</v>
      </c>
      <c r="AP38" s="3186" t="s">
        <v>2780</v>
      </c>
      <c r="AQ38" s="3186" t="s">
        <v>2780</v>
      </c>
      <c r="AR38" s="3186" t="s">
        <v>2780</v>
      </c>
      <c r="AS38" s="3186" t="s">
        <v>3341</v>
      </c>
    </row>
    <row r="39" spans="1:45">
      <c r="A39" s="3186" t="s">
        <v>3393</v>
      </c>
      <c r="B39" s="3186" t="s">
        <v>3084</v>
      </c>
      <c r="C39" s="3186" t="s">
        <v>3099</v>
      </c>
      <c r="D39" s="3186" t="s">
        <v>3107</v>
      </c>
      <c r="E39" s="3186" t="s">
        <v>2780</v>
      </c>
      <c r="F39" s="3186" t="s">
        <v>3393</v>
      </c>
      <c r="G39" s="3186" t="s">
        <v>3063</v>
      </c>
      <c r="H39" s="3186" t="s">
        <v>3394</v>
      </c>
      <c r="I39" s="3186" t="s">
        <v>3191</v>
      </c>
      <c r="J39" s="3186">
        <v>4913.5600000000004</v>
      </c>
      <c r="K39" s="3186">
        <v>10809.83</v>
      </c>
      <c r="L39" s="3186" t="s">
        <v>3395</v>
      </c>
      <c r="M39" s="3186" t="s">
        <v>2780</v>
      </c>
      <c r="N39" s="3186" t="s">
        <v>3396</v>
      </c>
      <c r="O39" s="3186" t="s">
        <v>3397</v>
      </c>
      <c r="P39" s="3186" t="s">
        <v>2780</v>
      </c>
      <c r="Q39" s="3186" t="s">
        <v>2780</v>
      </c>
      <c r="R39" s="3186" t="s">
        <v>2780</v>
      </c>
      <c r="S39" s="3186" t="s">
        <v>2780</v>
      </c>
      <c r="T39" s="3186" t="s">
        <v>2780</v>
      </c>
      <c r="U39" s="3186" t="s">
        <v>2780</v>
      </c>
      <c r="V39" s="3186" t="s">
        <v>2780</v>
      </c>
      <c r="W39" s="3186" t="s">
        <v>3301</v>
      </c>
      <c r="X39" s="3186" t="s">
        <v>3398</v>
      </c>
      <c r="Y39" s="3186" t="s">
        <v>3399</v>
      </c>
      <c r="Z39" s="3186" t="s">
        <v>3400</v>
      </c>
      <c r="AA39" s="3186" t="s">
        <v>3400</v>
      </c>
      <c r="AB39" s="3186" t="s">
        <v>3401</v>
      </c>
      <c r="AC39" s="3186" t="s">
        <v>3066</v>
      </c>
      <c r="AD39" s="3186" t="s">
        <v>3402</v>
      </c>
      <c r="AE39" s="3186">
        <v>2200</v>
      </c>
      <c r="AF39" s="3186" t="s">
        <v>2780</v>
      </c>
      <c r="AG39" s="3186">
        <v>3750</v>
      </c>
      <c r="AH39" s="3186" t="s">
        <v>2780</v>
      </c>
      <c r="AI39" s="3186">
        <v>508.8</v>
      </c>
      <c r="AJ39" s="3186" t="s">
        <v>2780</v>
      </c>
      <c r="AK39" s="3186">
        <v>3469.05</v>
      </c>
      <c r="AL39" s="3186" t="s">
        <v>2780</v>
      </c>
      <c r="AM39" s="3186" t="s">
        <v>2780</v>
      </c>
      <c r="AN39" s="3186" t="s">
        <v>2780</v>
      </c>
      <c r="AO39" s="3186" t="s">
        <v>3105</v>
      </c>
      <c r="AP39" s="3186" t="s">
        <v>2780</v>
      </c>
      <c r="AQ39" s="3186" t="s">
        <v>2780</v>
      </c>
      <c r="AR39" s="3186" t="s">
        <v>2780</v>
      </c>
      <c r="AS39" s="3186" t="s">
        <v>3341</v>
      </c>
    </row>
    <row r="40" spans="1:45">
      <c r="A40" s="3186" t="s">
        <v>3403</v>
      </c>
      <c r="B40" s="3186" t="s">
        <v>3084</v>
      </c>
      <c r="C40" s="3186" t="s">
        <v>3099</v>
      </c>
      <c r="D40" s="3186" t="s">
        <v>3086</v>
      </c>
      <c r="E40" s="3186" t="s">
        <v>2780</v>
      </c>
      <c r="F40" s="3186" t="s">
        <v>3403</v>
      </c>
      <c r="G40" s="3186" t="s">
        <v>3063</v>
      </c>
      <c r="H40" s="3186" t="s">
        <v>3404</v>
      </c>
      <c r="I40" s="3186" t="s">
        <v>3169</v>
      </c>
      <c r="J40" s="3186">
        <v>4184.7700000000004</v>
      </c>
      <c r="K40" s="3186">
        <v>1255.43</v>
      </c>
      <c r="L40" s="3186" t="s">
        <v>3405</v>
      </c>
      <c r="M40" s="3186" t="s">
        <v>2780</v>
      </c>
      <c r="N40" s="3186" t="s">
        <v>3387</v>
      </c>
      <c r="O40" s="3186" t="s">
        <v>3388</v>
      </c>
      <c r="P40" s="3186" t="s">
        <v>2780</v>
      </c>
      <c r="Q40" s="3186" t="s">
        <v>2780</v>
      </c>
      <c r="R40" s="3186" t="s">
        <v>2780</v>
      </c>
      <c r="S40" s="3186" t="s">
        <v>2780</v>
      </c>
      <c r="T40" s="3186" t="s">
        <v>2780</v>
      </c>
      <c r="U40" s="3186" t="s">
        <v>2780</v>
      </c>
      <c r="V40" s="3186" t="s">
        <v>2780</v>
      </c>
      <c r="W40" s="3186" t="s">
        <v>3301</v>
      </c>
      <c r="X40" s="3186" t="s">
        <v>3406</v>
      </c>
      <c r="Y40" s="3186" t="s">
        <v>3407</v>
      </c>
      <c r="Z40" s="3186" t="s">
        <v>3408</v>
      </c>
      <c r="AA40" s="3186" t="s">
        <v>3408</v>
      </c>
      <c r="AB40" s="3186" t="s">
        <v>3409</v>
      </c>
      <c r="AC40" s="3186" t="s">
        <v>3066</v>
      </c>
      <c r="AD40" s="3186" t="s">
        <v>3410</v>
      </c>
      <c r="AE40" s="3186">
        <v>1214</v>
      </c>
      <c r="AF40" s="3186" t="s">
        <v>2780</v>
      </c>
      <c r="AG40" s="3186">
        <v>1265</v>
      </c>
      <c r="AH40" s="3186" t="s">
        <v>2780</v>
      </c>
      <c r="AI40" s="3186">
        <v>201.52</v>
      </c>
      <c r="AJ40" s="3186" t="s">
        <v>2780</v>
      </c>
      <c r="AK40" s="3186">
        <v>10076.219999999999</v>
      </c>
      <c r="AL40" s="3186" t="s">
        <v>2780</v>
      </c>
      <c r="AM40" s="3186" t="s">
        <v>2780</v>
      </c>
      <c r="AN40" s="3186" t="s">
        <v>2780</v>
      </c>
      <c r="AO40" s="3186" t="s">
        <v>3105</v>
      </c>
      <c r="AP40" s="3186" t="s">
        <v>2780</v>
      </c>
      <c r="AQ40" s="3186" t="s">
        <v>2780</v>
      </c>
      <c r="AR40" s="3186" t="s">
        <v>2780</v>
      </c>
      <c r="AS40" s="3186" t="s">
        <v>3341</v>
      </c>
    </row>
    <row r="41" spans="1:45">
      <c r="A41" s="3186" t="s">
        <v>3411</v>
      </c>
      <c r="B41" s="3186" t="s">
        <v>3084</v>
      </c>
      <c r="C41" s="3186" t="s">
        <v>3099</v>
      </c>
      <c r="D41" s="3186" t="s">
        <v>3086</v>
      </c>
      <c r="E41" s="3186" t="s">
        <v>2780</v>
      </c>
      <c r="F41" s="3186" t="s">
        <v>3411</v>
      </c>
      <c r="G41" s="3186" t="s">
        <v>3063</v>
      </c>
      <c r="H41" s="3186" t="s">
        <v>3412</v>
      </c>
      <c r="I41" s="3186" t="s">
        <v>3169</v>
      </c>
      <c r="J41" s="3186">
        <v>2304.2600000000002</v>
      </c>
      <c r="K41" s="3186">
        <v>691.28</v>
      </c>
      <c r="L41" s="3186" t="s">
        <v>3405</v>
      </c>
      <c r="M41" s="3186" t="s">
        <v>2780</v>
      </c>
      <c r="N41" s="3186" t="s">
        <v>3387</v>
      </c>
      <c r="O41" s="3186" t="s">
        <v>3388</v>
      </c>
      <c r="P41" s="3186" t="s">
        <v>2780</v>
      </c>
      <c r="Q41" s="3186" t="s">
        <v>2780</v>
      </c>
      <c r="R41" s="3186" t="s">
        <v>2780</v>
      </c>
      <c r="S41" s="3186" t="s">
        <v>2780</v>
      </c>
      <c r="T41" s="3186" t="s">
        <v>2780</v>
      </c>
      <c r="U41" s="3186" t="s">
        <v>2780</v>
      </c>
      <c r="V41" s="3186" t="s">
        <v>2780</v>
      </c>
      <c r="W41" s="3186" t="s">
        <v>3301</v>
      </c>
      <c r="X41" s="3186" t="s">
        <v>3406</v>
      </c>
      <c r="Y41" s="3186" t="s">
        <v>3407</v>
      </c>
      <c r="Z41" s="3186" t="s">
        <v>3408</v>
      </c>
      <c r="AA41" s="3186" t="s">
        <v>3408</v>
      </c>
      <c r="AB41" s="3186" t="s">
        <v>3413</v>
      </c>
      <c r="AC41" s="3186" t="s">
        <v>3066</v>
      </c>
      <c r="AD41" s="3186" t="s">
        <v>3410</v>
      </c>
      <c r="AE41" s="3186">
        <v>685</v>
      </c>
      <c r="AF41" s="3186" t="s">
        <v>2780</v>
      </c>
      <c r="AG41" s="3186">
        <v>710</v>
      </c>
      <c r="AH41" s="3186" t="s">
        <v>2780</v>
      </c>
      <c r="AI41" s="3186">
        <v>205.42</v>
      </c>
      <c r="AJ41" s="3186" t="s">
        <v>2780</v>
      </c>
      <c r="AK41" s="3186">
        <v>10270.790000000001</v>
      </c>
      <c r="AL41" s="3186" t="s">
        <v>2780</v>
      </c>
      <c r="AM41" s="3186" t="s">
        <v>2780</v>
      </c>
      <c r="AN41" s="3186" t="s">
        <v>2780</v>
      </c>
      <c r="AO41" s="3186" t="s">
        <v>3105</v>
      </c>
      <c r="AP41" s="3186" t="s">
        <v>2780</v>
      </c>
      <c r="AQ41" s="3186" t="s">
        <v>2780</v>
      </c>
      <c r="AR41" s="3186" t="s">
        <v>2780</v>
      </c>
      <c r="AS41" s="3186" t="s">
        <v>3341</v>
      </c>
    </row>
    <row r="42" spans="1:45">
      <c r="A42" s="3186" t="s">
        <v>3414</v>
      </c>
      <c r="B42" s="3186" t="s">
        <v>3084</v>
      </c>
      <c r="C42" s="3186" t="s">
        <v>3099</v>
      </c>
      <c r="D42" s="3186" t="s">
        <v>3117</v>
      </c>
      <c r="E42" s="3186" t="s">
        <v>2780</v>
      </c>
      <c r="F42" s="3186" t="s">
        <v>3414</v>
      </c>
      <c r="G42" s="3186" t="s">
        <v>3063</v>
      </c>
      <c r="H42" s="3186" t="s">
        <v>3415</v>
      </c>
      <c r="I42" s="3186" t="s">
        <v>3100</v>
      </c>
      <c r="J42" s="3186">
        <v>105586.2</v>
      </c>
      <c r="K42" s="3186">
        <v>79189.66</v>
      </c>
      <c r="L42" s="3186" t="s">
        <v>3416</v>
      </c>
      <c r="M42" s="3186" t="s">
        <v>2780</v>
      </c>
      <c r="N42" s="3186" t="s">
        <v>3417</v>
      </c>
      <c r="O42" s="3186" t="s">
        <v>3418</v>
      </c>
      <c r="P42" s="3186" t="s">
        <v>2780</v>
      </c>
      <c r="Q42" s="3186" t="s">
        <v>2780</v>
      </c>
      <c r="R42" s="3186" t="s">
        <v>2780</v>
      </c>
      <c r="S42" s="3186" t="s">
        <v>2780</v>
      </c>
      <c r="T42" s="3186" t="s">
        <v>2780</v>
      </c>
      <c r="U42" s="3186" t="s">
        <v>2780</v>
      </c>
      <c r="V42" s="3186" t="s">
        <v>2780</v>
      </c>
      <c r="W42" s="3186" t="s">
        <v>3301</v>
      </c>
      <c r="X42" s="3186" t="s">
        <v>3419</v>
      </c>
      <c r="Y42" s="3186" t="s">
        <v>3420</v>
      </c>
      <c r="Z42" s="3186" t="s">
        <v>3421</v>
      </c>
      <c r="AA42" s="3186" t="s">
        <v>3421</v>
      </c>
      <c r="AB42" s="3186" t="s">
        <v>3422</v>
      </c>
      <c r="AC42" s="3186" t="s">
        <v>3066</v>
      </c>
      <c r="AD42" s="3186" t="s">
        <v>3423</v>
      </c>
      <c r="AE42" s="3186">
        <v>4800</v>
      </c>
      <c r="AF42" s="3186" t="s">
        <v>2780</v>
      </c>
      <c r="AG42" s="3186">
        <v>24145</v>
      </c>
      <c r="AH42" s="3186" t="s">
        <v>2780</v>
      </c>
      <c r="AI42" s="3186">
        <v>152.44999999999999</v>
      </c>
      <c r="AJ42" s="3186" t="s">
        <v>2780</v>
      </c>
      <c r="AK42" s="3186">
        <v>3049.01</v>
      </c>
      <c r="AL42" s="3186" t="s">
        <v>2780</v>
      </c>
      <c r="AM42" s="3186" t="s">
        <v>2780</v>
      </c>
      <c r="AN42" s="3186" t="s">
        <v>2780</v>
      </c>
      <c r="AO42" s="3186" t="s">
        <v>3105</v>
      </c>
      <c r="AP42" s="3186" t="s">
        <v>2780</v>
      </c>
      <c r="AQ42" s="3186" t="s">
        <v>2780</v>
      </c>
      <c r="AR42" s="3186" t="s">
        <v>2780</v>
      </c>
      <c r="AS42" s="3186" t="s">
        <v>3341</v>
      </c>
    </row>
    <row r="43" spans="1:45">
      <c r="A43" s="3186" t="s">
        <v>3424</v>
      </c>
      <c r="B43" s="3186" t="s">
        <v>3084</v>
      </c>
      <c r="C43" s="3186" t="s">
        <v>3099</v>
      </c>
      <c r="D43" s="3186" t="s">
        <v>3189</v>
      </c>
      <c r="E43" s="3186" t="s">
        <v>2780</v>
      </c>
      <c r="F43" s="3186" t="s">
        <v>3424</v>
      </c>
      <c r="G43" s="3186" t="s">
        <v>3063</v>
      </c>
      <c r="H43" s="3186" t="s">
        <v>3425</v>
      </c>
      <c r="I43" s="3186" t="s">
        <v>3100</v>
      </c>
      <c r="J43" s="3186">
        <v>1606.03</v>
      </c>
      <c r="K43" s="3186">
        <v>6745.33</v>
      </c>
      <c r="L43" s="3186" t="s">
        <v>3426</v>
      </c>
      <c r="M43" s="3186" t="s">
        <v>2780</v>
      </c>
      <c r="N43" s="3186" t="s">
        <v>2780</v>
      </c>
      <c r="O43" s="3186" t="s">
        <v>2780</v>
      </c>
      <c r="P43" s="3186" t="s">
        <v>2780</v>
      </c>
      <c r="Q43" s="3186" t="s">
        <v>2780</v>
      </c>
      <c r="R43" s="3186" t="s">
        <v>2780</v>
      </c>
      <c r="S43" s="3186" t="s">
        <v>2780</v>
      </c>
      <c r="T43" s="3186" t="s">
        <v>2780</v>
      </c>
      <c r="U43" s="3186" t="s">
        <v>2780</v>
      </c>
      <c r="V43" s="3186" t="s">
        <v>2780</v>
      </c>
      <c r="W43" s="3186" t="s">
        <v>3301</v>
      </c>
      <c r="X43" s="3186" t="s">
        <v>3427</v>
      </c>
      <c r="Y43" s="3186" t="s">
        <v>3428</v>
      </c>
      <c r="Z43" s="3186" t="s">
        <v>3429</v>
      </c>
      <c r="AA43" s="3186" t="s">
        <v>3429</v>
      </c>
      <c r="AB43" s="3186" t="s">
        <v>3430</v>
      </c>
      <c r="AC43" s="3186" t="s">
        <v>3066</v>
      </c>
      <c r="AD43" s="3186" t="s">
        <v>3431</v>
      </c>
      <c r="AE43" s="3186">
        <v>1097</v>
      </c>
      <c r="AF43" s="3186" t="s">
        <v>2780</v>
      </c>
      <c r="AG43" s="3186">
        <v>1147</v>
      </c>
      <c r="AH43" s="3186" t="s">
        <v>2780</v>
      </c>
      <c r="AI43" s="3186">
        <v>476.12</v>
      </c>
      <c r="AJ43" s="3186" t="s">
        <v>2780</v>
      </c>
      <c r="AK43" s="3186">
        <v>1700.44</v>
      </c>
      <c r="AL43" s="3186" t="s">
        <v>2780</v>
      </c>
      <c r="AM43" s="3186" t="s">
        <v>2780</v>
      </c>
      <c r="AN43" s="3186" t="s">
        <v>2780</v>
      </c>
      <c r="AO43" s="3186" t="s">
        <v>3432</v>
      </c>
      <c r="AP43" s="3186" t="s">
        <v>2780</v>
      </c>
      <c r="AQ43" s="3186" t="s">
        <v>2780</v>
      </c>
      <c r="AR43" s="3186" t="s">
        <v>2780</v>
      </c>
      <c r="AS43" s="3186" t="s">
        <v>3341</v>
      </c>
    </row>
    <row r="44" spans="1:45">
      <c r="A44" s="3186" t="s">
        <v>3433</v>
      </c>
      <c r="B44" s="3186" t="s">
        <v>3084</v>
      </c>
      <c r="C44" s="3186" t="s">
        <v>3099</v>
      </c>
      <c r="D44" s="3186" t="s">
        <v>3117</v>
      </c>
      <c r="E44" s="3186" t="s">
        <v>2780</v>
      </c>
      <c r="F44" s="3186" t="s">
        <v>3433</v>
      </c>
      <c r="G44" s="3186" t="s">
        <v>3063</v>
      </c>
      <c r="H44" s="3186" t="s">
        <v>3434</v>
      </c>
      <c r="I44" s="3186" t="s">
        <v>3191</v>
      </c>
      <c r="J44" s="3186">
        <v>78830.899999999994</v>
      </c>
      <c r="K44" s="3186">
        <v>118246.39999999999</v>
      </c>
      <c r="L44" s="3186" t="s">
        <v>3435</v>
      </c>
      <c r="M44" s="3186" t="s">
        <v>2780</v>
      </c>
      <c r="N44" s="3186" t="s">
        <v>3436</v>
      </c>
      <c r="O44" s="3186" t="s">
        <v>3437</v>
      </c>
      <c r="P44" s="3186" t="s">
        <v>2780</v>
      </c>
      <c r="Q44" s="3186" t="s">
        <v>2780</v>
      </c>
      <c r="R44" s="3186" t="s">
        <v>2780</v>
      </c>
      <c r="S44" s="3186" t="s">
        <v>2780</v>
      </c>
      <c r="T44" s="3186" t="s">
        <v>2780</v>
      </c>
      <c r="U44" s="3186" t="s">
        <v>2780</v>
      </c>
      <c r="V44" s="3186" t="s">
        <v>2780</v>
      </c>
      <c r="W44" s="3186" t="s">
        <v>3301</v>
      </c>
      <c r="X44" s="3186" t="s">
        <v>3438</v>
      </c>
      <c r="Y44" s="3186" t="s">
        <v>3439</v>
      </c>
      <c r="Z44" s="3186" t="s">
        <v>3440</v>
      </c>
      <c r="AA44" s="3186" t="s">
        <v>3440</v>
      </c>
      <c r="AB44" s="3186" t="s">
        <v>3441</v>
      </c>
      <c r="AC44" s="3186" t="s">
        <v>3066</v>
      </c>
      <c r="AD44" s="3186" t="s">
        <v>3442</v>
      </c>
      <c r="AE44" s="3186">
        <v>29507</v>
      </c>
      <c r="AF44" s="3186" t="s">
        <v>2780</v>
      </c>
      <c r="AG44" s="3186">
        <v>29788</v>
      </c>
      <c r="AH44" s="3186" t="s">
        <v>2780</v>
      </c>
      <c r="AI44" s="3186">
        <v>251.91</v>
      </c>
      <c r="AJ44" s="3186" t="s">
        <v>2780</v>
      </c>
      <c r="AK44" s="3186">
        <v>2519.15</v>
      </c>
      <c r="AL44" s="3186" t="s">
        <v>2780</v>
      </c>
      <c r="AM44" s="3186" t="s">
        <v>2780</v>
      </c>
      <c r="AN44" s="3186" t="s">
        <v>2780</v>
      </c>
      <c r="AO44" s="3186" t="s">
        <v>3105</v>
      </c>
      <c r="AP44" s="3186" t="s">
        <v>2780</v>
      </c>
      <c r="AQ44" s="3186" t="s">
        <v>2780</v>
      </c>
      <c r="AR44" s="3186" t="s">
        <v>2780</v>
      </c>
      <c r="AS44" s="3186" t="s">
        <v>3342</v>
      </c>
    </row>
    <row r="45" spans="1:45">
      <c r="A45" s="3186" t="s">
        <v>3443</v>
      </c>
      <c r="B45" s="3186" t="s">
        <v>3084</v>
      </c>
      <c r="C45" s="3186" t="s">
        <v>3099</v>
      </c>
      <c r="D45" s="3186" t="s">
        <v>3107</v>
      </c>
      <c r="E45" s="3186" t="s">
        <v>2780</v>
      </c>
      <c r="F45" s="3186" t="s">
        <v>3443</v>
      </c>
      <c r="G45" s="3186" t="s">
        <v>3444</v>
      </c>
      <c r="H45" s="3186" t="s">
        <v>3445</v>
      </c>
      <c r="I45" s="3186" t="s">
        <v>3100</v>
      </c>
      <c r="J45" s="3186">
        <v>58248.65</v>
      </c>
      <c r="K45" s="3186">
        <v>23299.46</v>
      </c>
      <c r="L45" s="3186" t="s">
        <v>3386</v>
      </c>
      <c r="M45" s="3186" t="s">
        <v>2780</v>
      </c>
      <c r="N45" s="3186" t="s">
        <v>2780</v>
      </c>
      <c r="O45" s="3186" t="s">
        <v>2780</v>
      </c>
      <c r="P45" s="3186" t="s">
        <v>2780</v>
      </c>
      <c r="Q45" s="3186" t="s">
        <v>2780</v>
      </c>
      <c r="R45" s="3186" t="s">
        <v>2780</v>
      </c>
      <c r="S45" s="3186" t="s">
        <v>2780</v>
      </c>
      <c r="T45" s="3186" t="s">
        <v>2780</v>
      </c>
      <c r="U45" s="3186" t="s">
        <v>2780</v>
      </c>
      <c r="V45" s="3186" t="s">
        <v>2780</v>
      </c>
      <c r="W45" s="3186" t="s">
        <v>3301</v>
      </c>
      <c r="X45" s="3186" t="s">
        <v>3446</v>
      </c>
      <c r="Y45" s="3186" t="s">
        <v>3446</v>
      </c>
      <c r="Z45" s="3186" t="s">
        <v>3447</v>
      </c>
      <c r="AA45" s="3186" t="s">
        <v>3447</v>
      </c>
      <c r="AB45" s="3186" t="s">
        <v>3448</v>
      </c>
      <c r="AC45" s="3186" t="s">
        <v>3066</v>
      </c>
      <c r="AD45" s="3186" t="s">
        <v>3449</v>
      </c>
      <c r="AE45" s="3186">
        <v>6191</v>
      </c>
      <c r="AF45" s="3186" t="s">
        <v>2780</v>
      </c>
      <c r="AG45" s="3186">
        <v>21292</v>
      </c>
      <c r="AH45" s="3186" t="s">
        <v>2780</v>
      </c>
      <c r="AI45" s="3186">
        <v>243.69</v>
      </c>
      <c r="AJ45" s="3186" t="s">
        <v>2780</v>
      </c>
      <c r="AK45" s="3186">
        <v>9138.4</v>
      </c>
      <c r="AL45" s="3186" t="s">
        <v>2780</v>
      </c>
      <c r="AM45" s="3186" t="s">
        <v>2780</v>
      </c>
      <c r="AN45" s="3186" t="s">
        <v>2780</v>
      </c>
      <c r="AO45" s="3186" t="s">
        <v>3105</v>
      </c>
      <c r="AP45" s="3186" t="s">
        <v>2780</v>
      </c>
      <c r="AQ45" s="3186" t="s">
        <v>2780</v>
      </c>
      <c r="AR45" s="3186" t="s">
        <v>2780</v>
      </c>
      <c r="AS45" s="3186" t="s">
        <v>3341</v>
      </c>
    </row>
    <row r="46" spans="1:45">
      <c r="A46" s="3186" t="s">
        <v>3450</v>
      </c>
      <c r="B46" s="3186" t="s">
        <v>3084</v>
      </c>
      <c r="C46" s="3186" t="s">
        <v>3099</v>
      </c>
      <c r="D46" s="3186" t="s">
        <v>3107</v>
      </c>
      <c r="E46" s="3186" t="s">
        <v>2780</v>
      </c>
      <c r="F46" s="3186" t="s">
        <v>3450</v>
      </c>
      <c r="G46" s="3186" t="s">
        <v>3444</v>
      </c>
      <c r="H46" s="3186" t="s">
        <v>3451</v>
      </c>
      <c r="I46" s="3186" t="s">
        <v>3100</v>
      </c>
      <c r="J46" s="3186">
        <v>49427.27</v>
      </c>
      <c r="K46" s="3186">
        <v>19770.91</v>
      </c>
      <c r="L46" s="3186" t="s">
        <v>3386</v>
      </c>
      <c r="M46" s="3186" t="s">
        <v>2780</v>
      </c>
      <c r="N46" s="3186" t="s">
        <v>2780</v>
      </c>
      <c r="O46" s="3186" t="s">
        <v>2780</v>
      </c>
      <c r="P46" s="3186" t="s">
        <v>2780</v>
      </c>
      <c r="Q46" s="3186" t="s">
        <v>2780</v>
      </c>
      <c r="R46" s="3186" t="s">
        <v>2780</v>
      </c>
      <c r="S46" s="3186" t="s">
        <v>2780</v>
      </c>
      <c r="T46" s="3186" t="s">
        <v>2780</v>
      </c>
      <c r="U46" s="3186" t="s">
        <v>2780</v>
      </c>
      <c r="V46" s="3186" t="s">
        <v>2780</v>
      </c>
      <c r="W46" s="3186" t="s">
        <v>3301</v>
      </c>
      <c r="X46" s="3186" t="s">
        <v>3446</v>
      </c>
      <c r="Y46" s="3186" t="s">
        <v>3446</v>
      </c>
      <c r="Z46" s="3186" t="s">
        <v>3447</v>
      </c>
      <c r="AA46" s="3186" t="s">
        <v>3447</v>
      </c>
      <c r="AB46" s="3186" t="s">
        <v>3452</v>
      </c>
      <c r="AC46" s="3186" t="s">
        <v>3066</v>
      </c>
      <c r="AD46" s="3186" t="s">
        <v>3449</v>
      </c>
      <c r="AE46" s="3186">
        <v>5253</v>
      </c>
      <c r="AF46" s="3186" t="s">
        <v>2780</v>
      </c>
      <c r="AG46" s="3186">
        <v>18068</v>
      </c>
      <c r="AH46" s="3186" t="s">
        <v>2780</v>
      </c>
      <c r="AI46" s="3186">
        <v>243.7</v>
      </c>
      <c r="AJ46" s="3186" t="s">
        <v>2780</v>
      </c>
      <c r="AK46" s="3186">
        <v>9138.68</v>
      </c>
      <c r="AL46" s="3186" t="s">
        <v>2780</v>
      </c>
      <c r="AM46" s="3186" t="s">
        <v>2780</v>
      </c>
      <c r="AN46" s="3186" t="s">
        <v>2780</v>
      </c>
      <c r="AO46" s="3186" t="s">
        <v>3105</v>
      </c>
      <c r="AP46" s="3186" t="s">
        <v>2780</v>
      </c>
      <c r="AQ46" s="3186" t="s">
        <v>2780</v>
      </c>
      <c r="AR46" s="3186" t="s">
        <v>2780</v>
      </c>
      <c r="AS46" s="3186" t="s">
        <v>3341</v>
      </c>
    </row>
    <row r="47" spans="1:45">
      <c r="A47" s="3186" t="s">
        <v>3453</v>
      </c>
      <c r="B47" s="3186" t="s">
        <v>3084</v>
      </c>
      <c r="C47" s="3186" t="s">
        <v>3099</v>
      </c>
      <c r="D47" s="3186" t="s">
        <v>3107</v>
      </c>
      <c r="E47" s="3186" t="s">
        <v>2780</v>
      </c>
      <c r="F47" s="3186" t="s">
        <v>3453</v>
      </c>
      <c r="G47" s="3186" t="s">
        <v>3444</v>
      </c>
      <c r="H47" s="3186" t="s">
        <v>3454</v>
      </c>
      <c r="I47" s="3186" t="s">
        <v>3100</v>
      </c>
      <c r="J47" s="3186">
        <v>55616.05</v>
      </c>
      <c r="K47" s="3186">
        <v>22246.42</v>
      </c>
      <c r="L47" s="3186" t="s">
        <v>3386</v>
      </c>
      <c r="M47" s="3186" t="s">
        <v>2780</v>
      </c>
      <c r="N47" s="3186" t="s">
        <v>2780</v>
      </c>
      <c r="O47" s="3186" t="s">
        <v>2780</v>
      </c>
      <c r="P47" s="3186" t="s">
        <v>2780</v>
      </c>
      <c r="Q47" s="3186" t="s">
        <v>2780</v>
      </c>
      <c r="R47" s="3186" t="s">
        <v>2780</v>
      </c>
      <c r="S47" s="3186" t="s">
        <v>2780</v>
      </c>
      <c r="T47" s="3186" t="s">
        <v>2780</v>
      </c>
      <c r="U47" s="3186" t="s">
        <v>2780</v>
      </c>
      <c r="V47" s="3186" t="s">
        <v>2780</v>
      </c>
      <c r="W47" s="3186" t="s">
        <v>3301</v>
      </c>
      <c r="X47" s="3186" t="s">
        <v>3446</v>
      </c>
      <c r="Y47" s="3186" t="s">
        <v>3446</v>
      </c>
      <c r="Z47" s="3186" t="s">
        <v>3447</v>
      </c>
      <c r="AA47" s="3186" t="s">
        <v>3447</v>
      </c>
      <c r="AB47" s="3186" t="s">
        <v>3455</v>
      </c>
      <c r="AC47" s="3186" t="s">
        <v>3066</v>
      </c>
      <c r="AD47" s="3186" t="s">
        <v>3449</v>
      </c>
      <c r="AE47" s="3186">
        <v>5911</v>
      </c>
      <c r="AF47" s="3186" t="s">
        <v>2780</v>
      </c>
      <c r="AG47" s="3186">
        <v>20330</v>
      </c>
      <c r="AH47" s="3186" t="s">
        <v>2780</v>
      </c>
      <c r="AI47" s="3186">
        <v>243.69</v>
      </c>
      <c r="AJ47" s="3186" t="s">
        <v>2780</v>
      </c>
      <c r="AK47" s="3186">
        <v>9138.5400000000009</v>
      </c>
      <c r="AL47" s="3186" t="s">
        <v>2780</v>
      </c>
      <c r="AM47" s="3186" t="s">
        <v>2780</v>
      </c>
      <c r="AN47" s="3186" t="s">
        <v>2780</v>
      </c>
      <c r="AO47" s="3186" t="s">
        <v>3105</v>
      </c>
      <c r="AP47" s="3186" t="s">
        <v>2780</v>
      </c>
      <c r="AQ47" s="3186" t="s">
        <v>2780</v>
      </c>
      <c r="AR47" s="3186" t="s">
        <v>2780</v>
      </c>
      <c r="AS47" s="3186" t="s">
        <v>3341</v>
      </c>
    </row>
    <row r="48" spans="1:45">
      <c r="A48" s="3186" t="s">
        <v>3456</v>
      </c>
      <c r="B48" s="3186" t="s">
        <v>3084</v>
      </c>
      <c r="C48" s="3186" t="s">
        <v>3099</v>
      </c>
      <c r="D48" s="3186" t="s">
        <v>3086</v>
      </c>
      <c r="E48" s="3186" t="s">
        <v>2780</v>
      </c>
      <c r="F48" s="3186" t="s">
        <v>3456</v>
      </c>
      <c r="G48" s="3186" t="s">
        <v>3063</v>
      </c>
      <c r="H48" s="3186" t="s">
        <v>3457</v>
      </c>
      <c r="I48" s="3186" t="s">
        <v>3100</v>
      </c>
      <c r="J48" s="3186">
        <v>153243.1</v>
      </c>
      <c r="K48" s="3186">
        <v>61297.25</v>
      </c>
      <c r="L48" s="3186" t="s">
        <v>3386</v>
      </c>
      <c r="M48" s="3186" t="s">
        <v>2780</v>
      </c>
      <c r="N48" s="3186" t="s">
        <v>3458</v>
      </c>
      <c r="O48" s="3186" t="s">
        <v>3459</v>
      </c>
      <c r="P48" s="3186" t="s">
        <v>2780</v>
      </c>
      <c r="Q48" s="3186" t="s">
        <v>2780</v>
      </c>
      <c r="R48" s="3186" t="s">
        <v>2780</v>
      </c>
      <c r="S48" s="3186" t="s">
        <v>2780</v>
      </c>
      <c r="T48" s="3186" t="s">
        <v>2780</v>
      </c>
      <c r="U48" s="3186" t="s">
        <v>2780</v>
      </c>
      <c r="V48" s="3186" t="s">
        <v>2780</v>
      </c>
      <c r="W48" s="3186" t="s">
        <v>3301</v>
      </c>
      <c r="X48" s="3186" t="s">
        <v>3460</v>
      </c>
      <c r="Y48" s="3186" t="s">
        <v>3446</v>
      </c>
      <c r="Z48" s="3186" t="s">
        <v>3461</v>
      </c>
      <c r="AA48" s="3186" t="s">
        <v>3461</v>
      </c>
      <c r="AB48" s="3186" t="s">
        <v>3462</v>
      </c>
      <c r="AC48" s="3186" t="s">
        <v>3066</v>
      </c>
      <c r="AD48" s="3186" t="s">
        <v>3463</v>
      </c>
      <c r="AE48" s="3186">
        <v>75000</v>
      </c>
      <c r="AF48" s="3186" t="s">
        <v>2780</v>
      </c>
      <c r="AG48" s="3186">
        <v>76577</v>
      </c>
      <c r="AH48" s="3186" t="s">
        <v>2780</v>
      </c>
      <c r="AI48" s="3186">
        <v>333.14</v>
      </c>
      <c r="AJ48" s="3186" t="s">
        <v>2780</v>
      </c>
      <c r="AK48" s="3186">
        <v>12492.72</v>
      </c>
      <c r="AL48" s="3186" t="s">
        <v>2780</v>
      </c>
      <c r="AM48" s="3186" t="s">
        <v>2780</v>
      </c>
      <c r="AN48" s="3186" t="s">
        <v>2780</v>
      </c>
      <c r="AO48" s="3186" t="s">
        <v>3105</v>
      </c>
      <c r="AP48" s="3186" t="s">
        <v>2780</v>
      </c>
      <c r="AQ48" s="3186" t="s">
        <v>2780</v>
      </c>
      <c r="AR48" s="3186" t="s">
        <v>2780</v>
      </c>
      <c r="AS48" s="3186" t="s">
        <v>3341</v>
      </c>
    </row>
    <row r="49" spans="1:45">
      <c r="A49" s="3186" t="s">
        <v>3464</v>
      </c>
      <c r="B49" s="3186" t="s">
        <v>3084</v>
      </c>
      <c r="C49" s="3186" t="s">
        <v>3099</v>
      </c>
      <c r="D49" s="3186" t="s">
        <v>3189</v>
      </c>
      <c r="E49" s="3186" t="s">
        <v>2780</v>
      </c>
      <c r="F49" s="3186" t="s">
        <v>3464</v>
      </c>
      <c r="G49" s="3186" t="s">
        <v>3063</v>
      </c>
      <c r="H49" s="3186" t="s">
        <v>3465</v>
      </c>
      <c r="I49" s="3186" t="s">
        <v>3191</v>
      </c>
      <c r="J49" s="3186">
        <v>17111.39</v>
      </c>
      <c r="K49" s="3186">
        <v>77001.259999999995</v>
      </c>
      <c r="L49" s="3186" t="s">
        <v>3466</v>
      </c>
      <c r="M49" s="3186" t="s">
        <v>2780</v>
      </c>
      <c r="N49" s="3186" t="s">
        <v>3436</v>
      </c>
      <c r="O49" s="3186" t="s">
        <v>3467</v>
      </c>
      <c r="P49" s="3186" t="s">
        <v>2780</v>
      </c>
      <c r="Q49" s="3186" t="s">
        <v>2780</v>
      </c>
      <c r="R49" s="3186" t="s">
        <v>2780</v>
      </c>
      <c r="S49" s="3186" t="s">
        <v>2780</v>
      </c>
      <c r="T49" s="3186" t="s">
        <v>2780</v>
      </c>
      <c r="U49" s="3186" t="s">
        <v>2780</v>
      </c>
      <c r="V49" s="3186" t="s">
        <v>2780</v>
      </c>
      <c r="W49" s="3186" t="s">
        <v>3301</v>
      </c>
      <c r="X49" s="3186" t="s">
        <v>3468</v>
      </c>
      <c r="Y49" s="3186" t="s">
        <v>3469</v>
      </c>
      <c r="Z49" s="3186" t="s">
        <v>3470</v>
      </c>
      <c r="AA49" s="3186" t="s">
        <v>3470</v>
      </c>
      <c r="AB49" s="3186" t="s">
        <v>3471</v>
      </c>
      <c r="AC49" s="3186" t="s">
        <v>3066</v>
      </c>
      <c r="AD49" s="3186" t="s">
        <v>3472</v>
      </c>
      <c r="AE49" s="3186">
        <v>26900</v>
      </c>
      <c r="AF49" s="3186" t="s">
        <v>2780</v>
      </c>
      <c r="AG49" s="3186">
        <v>28490.36</v>
      </c>
      <c r="AH49" s="3186" t="s">
        <v>2780</v>
      </c>
      <c r="AI49" s="3186">
        <v>1110</v>
      </c>
      <c r="AJ49" s="3186" t="s">
        <v>2780</v>
      </c>
      <c r="AK49" s="3186">
        <v>3699.98</v>
      </c>
      <c r="AL49" s="3186" t="s">
        <v>2780</v>
      </c>
      <c r="AM49" s="3186" t="s">
        <v>2780</v>
      </c>
      <c r="AN49" s="3186" t="s">
        <v>2780</v>
      </c>
      <c r="AO49" s="3186" t="s">
        <v>3105</v>
      </c>
      <c r="AP49" s="3186" t="s">
        <v>2780</v>
      </c>
      <c r="AQ49" s="3186" t="s">
        <v>2780</v>
      </c>
      <c r="AR49" s="3186" t="s">
        <v>2780</v>
      </c>
      <c r="AS49" s="3186" t="s">
        <v>3340</v>
      </c>
    </row>
    <row r="50" spans="1:45">
      <c r="A50" s="3186" t="s">
        <v>3473</v>
      </c>
      <c r="B50" s="3186" t="s">
        <v>3084</v>
      </c>
      <c r="C50" s="3186" t="s">
        <v>3099</v>
      </c>
      <c r="D50" s="3186" t="s">
        <v>3117</v>
      </c>
      <c r="E50" s="3186" t="s">
        <v>2780</v>
      </c>
      <c r="F50" s="3186" t="s">
        <v>3473</v>
      </c>
      <c r="G50" s="3186" t="s">
        <v>3063</v>
      </c>
      <c r="H50" s="3186" t="s">
        <v>3474</v>
      </c>
      <c r="I50" s="3186" t="s">
        <v>3100</v>
      </c>
      <c r="J50" s="3186">
        <v>82423.11</v>
      </c>
      <c r="K50" s="3186">
        <v>82423.11</v>
      </c>
      <c r="L50" s="3186" t="s">
        <v>3475</v>
      </c>
      <c r="M50" s="3186" t="s">
        <v>2780</v>
      </c>
      <c r="N50" s="3186" t="s">
        <v>3396</v>
      </c>
      <c r="O50" s="3186" t="s">
        <v>3397</v>
      </c>
      <c r="P50" s="3186" t="s">
        <v>2780</v>
      </c>
      <c r="Q50" s="3186" t="s">
        <v>2780</v>
      </c>
      <c r="R50" s="3186" t="s">
        <v>2780</v>
      </c>
      <c r="S50" s="3186" t="s">
        <v>2780</v>
      </c>
      <c r="T50" s="3186" t="s">
        <v>2780</v>
      </c>
      <c r="U50" s="3186" t="s">
        <v>2780</v>
      </c>
      <c r="V50" s="3186" t="s">
        <v>2780</v>
      </c>
      <c r="W50" s="3186" t="s">
        <v>3301</v>
      </c>
      <c r="X50" s="3186" t="s">
        <v>3476</v>
      </c>
      <c r="Y50" s="3186" t="s">
        <v>3477</v>
      </c>
      <c r="Z50" s="3186" t="s">
        <v>3478</v>
      </c>
      <c r="AA50" s="3186" t="s">
        <v>3478</v>
      </c>
      <c r="AB50" s="3186" t="s">
        <v>3479</v>
      </c>
      <c r="AC50" s="3186" t="s">
        <v>3066</v>
      </c>
      <c r="AD50" s="3186" t="s">
        <v>3480</v>
      </c>
      <c r="AE50" s="3186">
        <v>5113</v>
      </c>
      <c r="AF50" s="3186" t="s">
        <v>2780</v>
      </c>
      <c r="AG50" s="3186">
        <v>25880</v>
      </c>
      <c r="AH50" s="3186" t="s">
        <v>2780</v>
      </c>
      <c r="AI50" s="3186">
        <v>209.33</v>
      </c>
      <c r="AJ50" s="3186" t="s">
        <v>2780</v>
      </c>
      <c r="AK50" s="3186">
        <v>3139.9</v>
      </c>
      <c r="AL50" s="3186" t="s">
        <v>2780</v>
      </c>
      <c r="AM50" s="3186" t="s">
        <v>2780</v>
      </c>
      <c r="AN50" s="3186" t="s">
        <v>2780</v>
      </c>
      <c r="AO50" s="3186" t="s">
        <v>3105</v>
      </c>
      <c r="AP50" s="3186" t="s">
        <v>2780</v>
      </c>
      <c r="AQ50" s="3186" t="s">
        <v>2780</v>
      </c>
      <c r="AR50" s="3186" t="s">
        <v>2780</v>
      </c>
      <c r="AS50" s="3186" t="s">
        <v>3342</v>
      </c>
    </row>
    <row r="51" spans="1:45">
      <c r="A51" s="3186" t="s">
        <v>3481</v>
      </c>
      <c r="B51" s="3186" t="s">
        <v>3084</v>
      </c>
      <c r="C51" s="3186" t="s">
        <v>3099</v>
      </c>
      <c r="D51" s="3186" t="s">
        <v>3189</v>
      </c>
      <c r="E51" s="3186" t="s">
        <v>2780</v>
      </c>
      <c r="F51" s="3186" t="s">
        <v>3481</v>
      </c>
      <c r="G51" s="3186" t="s">
        <v>3063</v>
      </c>
      <c r="H51" s="3186" t="s">
        <v>3482</v>
      </c>
      <c r="I51" s="3186" t="s">
        <v>3191</v>
      </c>
      <c r="J51" s="3186">
        <v>41588</v>
      </c>
      <c r="K51" s="3186">
        <v>41588</v>
      </c>
      <c r="L51" s="3186" t="s">
        <v>3475</v>
      </c>
      <c r="M51" s="3186" t="s">
        <v>2780</v>
      </c>
      <c r="N51" s="3186" t="s">
        <v>3483</v>
      </c>
      <c r="O51" s="3186" t="s">
        <v>3388</v>
      </c>
      <c r="P51" s="3186" t="s">
        <v>2780</v>
      </c>
      <c r="Q51" s="3186" t="s">
        <v>2780</v>
      </c>
      <c r="R51" s="3186" t="s">
        <v>2780</v>
      </c>
      <c r="S51" s="3186" t="s">
        <v>2780</v>
      </c>
      <c r="T51" s="3186" t="s">
        <v>2780</v>
      </c>
      <c r="U51" s="3186" t="s">
        <v>2780</v>
      </c>
      <c r="V51" s="3186" t="s">
        <v>2780</v>
      </c>
      <c r="W51" s="3186" t="s">
        <v>3301</v>
      </c>
      <c r="X51" s="3186" t="s">
        <v>3484</v>
      </c>
      <c r="Y51" s="3186" t="s">
        <v>3485</v>
      </c>
      <c r="Z51" s="3186" t="s">
        <v>3486</v>
      </c>
      <c r="AA51" s="3186" t="s">
        <v>3486</v>
      </c>
      <c r="AB51" s="3186" t="s">
        <v>3487</v>
      </c>
      <c r="AC51" s="3186" t="s">
        <v>3066</v>
      </c>
      <c r="AD51" s="3186" t="s">
        <v>3488</v>
      </c>
      <c r="AE51" s="3186">
        <v>19000</v>
      </c>
      <c r="AF51" s="3186" t="s">
        <v>2780</v>
      </c>
      <c r="AG51" s="3186">
        <v>42419.76</v>
      </c>
      <c r="AH51" s="3186" t="s">
        <v>2780</v>
      </c>
      <c r="AI51" s="3186">
        <v>680</v>
      </c>
      <c r="AJ51" s="3186" t="s">
        <v>2780</v>
      </c>
      <c r="AK51" s="3186">
        <v>10200</v>
      </c>
      <c r="AL51" s="3186" t="s">
        <v>2780</v>
      </c>
      <c r="AM51" s="3186" t="s">
        <v>2780</v>
      </c>
      <c r="AN51" s="3186" t="s">
        <v>2780</v>
      </c>
      <c r="AO51" s="3186" t="s">
        <v>3105</v>
      </c>
      <c r="AP51" s="3186" t="s">
        <v>2780</v>
      </c>
      <c r="AQ51" s="3186" t="s">
        <v>2780</v>
      </c>
      <c r="AR51" s="3186" t="s">
        <v>2780</v>
      </c>
      <c r="AS51" s="3186" t="s">
        <v>3341</v>
      </c>
    </row>
  </sheetData>
  <autoFilter ref="A1:WWZ51"/>
  <phoneticPr fontId="23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H25" zoomScaleNormal="100" zoomScaleSheetLayoutView="100" zoomScalePageLayoutView="80" workbookViewId="0">
      <selection activeCell="I20" sqref="I20"/>
    </sheetView>
  </sheetViews>
  <sheetFormatPr defaultColWidth="12.6640625" defaultRowHeight="21.75" customHeight="1"/>
  <cols>
    <col min="1" max="2" width="12.77734375" style="1248" bestFit="1" customWidth="1"/>
    <col min="3" max="4" width="12.6640625" style="1248" customWidth="1"/>
    <col min="5" max="9" width="12.77734375" style="1248"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8"/>
  </cols>
  <sheetData>
    <row r="1" spans="1:22" ht="21.75" customHeight="1" thickBot="1">
      <c r="A1" s="1774" t="s">
        <v>2017</v>
      </c>
      <c r="B1" s="1775"/>
      <c r="C1" s="1803" t="s">
        <v>2018</v>
      </c>
      <c r="D1" s="1804" t="s">
        <v>2979</v>
      </c>
      <c r="E1" s="1803" t="s">
        <v>2019</v>
      </c>
      <c r="F1" s="1805" t="s">
        <v>2980</v>
      </c>
      <c r="G1" s="310"/>
      <c r="H1" s="310"/>
      <c r="I1" s="310"/>
      <c r="J1" s="2027"/>
      <c r="K1" s="2027"/>
      <c r="L1" s="2027"/>
      <c r="M1" s="2027"/>
      <c r="N1" s="2027"/>
      <c r="O1" s="2027"/>
      <c r="P1" s="2027"/>
      <c r="Q1" s="2027"/>
      <c r="R1" s="2027"/>
      <c r="S1" s="2027"/>
      <c r="T1" s="2027"/>
      <c r="U1" s="2027"/>
      <c r="V1" s="2027"/>
    </row>
    <row r="2" spans="1:22" ht="21.75" customHeight="1" thickBot="1">
      <c r="A2" s="3318" t="str">
        <f>项目基本情况!K2</f>
        <v>三亚吉阳区人民街出让国有建设用地使用权</v>
      </c>
      <c r="B2" s="3319"/>
      <c r="C2" s="3320"/>
      <c r="D2" s="3320"/>
      <c r="E2" s="3320"/>
      <c r="F2" s="3320"/>
      <c r="G2" s="3319"/>
      <c r="H2" s="3319"/>
      <c r="I2" s="3321"/>
      <c r="J2" s="2028"/>
      <c r="K2" s="2027"/>
      <c r="L2" s="2027"/>
      <c r="M2" s="2027"/>
      <c r="N2" s="2027"/>
      <c r="O2" s="2027"/>
      <c r="P2" s="2027"/>
      <c r="Q2" s="2027"/>
      <c r="R2" s="2027"/>
      <c r="S2" s="2027"/>
      <c r="T2" s="2027"/>
      <c r="U2" s="2027"/>
      <c r="V2" s="2027"/>
    </row>
    <row r="3" spans="1:22" ht="13.8">
      <c r="A3" s="3311" t="s">
        <v>263</v>
      </c>
      <c r="B3" s="3312"/>
      <c r="C3" s="3312"/>
      <c r="D3" s="3312"/>
      <c r="E3" s="3312"/>
      <c r="F3" s="3312"/>
      <c r="G3" s="3312"/>
      <c r="H3" s="3312"/>
      <c r="I3" s="3312"/>
      <c r="J3" s="2028"/>
      <c r="K3" s="2027"/>
      <c r="L3" s="2027"/>
      <c r="M3" s="2027"/>
      <c r="N3" s="2027"/>
      <c r="O3" s="2027"/>
      <c r="P3" s="2027"/>
      <c r="Q3" s="2027"/>
      <c r="R3" s="2027"/>
      <c r="S3" s="2027"/>
      <c r="T3" s="2027"/>
      <c r="U3" s="2027"/>
      <c r="V3" s="2027"/>
    </row>
    <row r="4" spans="1:22" ht="14.4">
      <c r="A4" s="257" t="s">
        <v>264</v>
      </c>
      <c r="B4" s="258" t="s">
        <v>265</v>
      </c>
      <c r="C4" s="259" t="s">
        <v>2981</v>
      </c>
      <c r="D4" s="259" t="s">
        <v>2982</v>
      </c>
      <c r="E4" s="3283" t="s">
        <v>266</v>
      </c>
      <c r="F4" s="3284"/>
      <c r="G4" s="3284"/>
      <c r="H4" s="3284"/>
      <c r="I4" s="3313"/>
      <c r="J4" s="2028"/>
      <c r="K4" s="2027"/>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3.8">
      <c r="A5" s="3282" t="s">
        <v>267</v>
      </c>
      <c r="B5" s="3308">
        <v>25</v>
      </c>
      <c r="C5" s="3306"/>
      <c r="D5" s="3310"/>
      <c r="E5" s="260" t="s">
        <v>268</v>
      </c>
      <c r="F5" s="261"/>
      <c r="G5" s="261"/>
      <c r="H5" s="261"/>
      <c r="I5" s="262"/>
      <c r="J5" s="2028"/>
      <c r="K5" s="2027"/>
      <c r="L5" s="2027"/>
      <c r="M5" s="2027"/>
      <c r="N5" s="2027"/>
      <c r="O5" s="2027"/>
      <c r="P5" s="2027"/>
      <c r="Q5" s="2027"/>
      <c r="R5" s="2027"/>
      <c r="S5" s="2027"/>
      <c r="T5" s="2027"/>
      <c r="U5" s="2027"/>
      <c r="V5" s="2027"/>
    </row>
    <row r="6" spans="1:22" ht="13.8">
      <c r="A6" s="3282"/>
      <c r="B6" s="3308"/>
      <c r="C6" s="3309"/>
      <c r="D6" s="3310"/>
      <c r="E6" s="260" t="s">
        <v>269</v>
      </c>
      <c r="F6" s="261"/>
      <c r="G6" s="261"/>
      <c r="H6" s="261"/>
      <c r="I6" s="262"/>
      <c r="J6" s="2028"/>
      <c r="K6" s="2027"/>
      <c r="L6" s="2027"/>
      <c r="M6" s="2027"/>
      <c r="N6" s="2027"/>
      <c r="O6" s="2027"/>
      <c r="P6" s="2027"/>
      <c r="Q6" s="2027"/>
      <c r="R6" s="2027"/>
      <c r="S6" s="2027"/>
      <c r="T6" s="2027"/>
      <c r="U6" s="2027"/>
      <c r="V6" s="2027"/>
    </row>
    <row r="7" spans="1:22" ht="13.8">
      <c r="A7" s="3282"/>
      <c r="B7" s="3308"/>
      <c r="C7" s="3307"/>
      <c r="D7" s="3310"/>
      <c r="E7" s="260" t="s">
        <v>270</v>
      </c>
      <c r="F7" s="261"/>
      <c r="G7" s="261"/>
      <c r="H7" s="261"/>
      <c r="I7" s="262"/>
      <c r="J7" s="2028"/>
      <c r="K7" s="2027"/>
      <c r="L7" s="2027"/>
      <c r="M7" s="2027"/>
      <c r="N7" s="2027"/>
      <c r="O7" s="2027"/>
      <c r="P7" s="2027"/>
      <c r="Q7" s="2027"/>
      <c r="R7" s="2027"/>
      <c r="S7" s="2027"/>
      <c r="T7" s="2027"/>
      <c r="U7" s="2027"/>
      <c r="V7" s="2027"/>
    </row>
    <row r="8" spans="1:22" ht="13.8">
      <c r="A8" s="3282" t="s">
        <v>271</v>
      </c>
      <c r="B8" s="3308">
        <v>15</v>
      </c>
      <c r="C8" s="3306"/>
      <c r="D8" s="3310"/>
      <c r="E8" s="260" t="s">
        <v>272</v>
      </c>
      <c r="F8" s="261"/>
      <c r="G8" s="261"/>
      <c r="H8" s="261"/>
      <c r="I8" s="262"/>
      <c r="J8" s="2028"/>
      <c r="K8" s="2027"/>
      <c r="L8" s="2027" t="s">
        <v>2986</v>
      </c>
      <c r="M8" s="2027"/>
      <c r="N8" s="2027"/>
      <c r="O8" s="2027"/>
      <c r="P8" s="2027"/>
      <c r="Q8" s="2027"/>
      <c r="R8" s="2027"/>
      <c r="S8" s="2027"/>
      <c r="T8" s="2027"/>
      <c r="U8" s="2027"/>
      <c r="V8" s="2027"/>
    </row>
    <row r="9" spans="1:22" ht="13.8">
      <c r="A9" s="3282"/>
      <c r="B9" s="3308"/>
      <c r="C9" s="3307"/>
      <c r="D9" s="3310"/>
      <c r="E9" s="260" t="s">
        <v>273</v>
      </c>
      <c r="F9" s="261"/>
      <c r="G9" s="261"/>
      <c r="H9" s="261"/>
      <c r="I9" s="262"/>
      <c r="J9" s="2028"/>
      <c r="K9" s="2027"/>
      <c r="L9" s="2027"/>
      <c r="M9" s="2027"/>
      <c r="N9" s="2027"/>
      <c r="O9" s="2027"/>
      <c r="P9" s="2027"/>
      <c r="Q9" s="2027"/>
      <c r="R9" s="2027"/>
      <c r="S9" s="2027"/>
      <c r="T9" s="2027"/>
      <c r="U9" s="2027"/>
      <c r="V9" s="2027"/>
    </row>
    <row r="10" spans="1:22" ht="13.8">
      <c r="A10" s="3282" t="s">
        <v>274</v>
      </c>
      <c r="B10" s="3308">
        <v>15</v>
      </c>
      <c r="C10" s="3306"/>
      <c r="D10" s="3310"/>
      <c r="E10" s="260" t="s">
        <v>275</v>
      </c>
      <c r="F10" s="261"/>
      <c r="G10" s="261"/>
      <c r="H10" s="261"/>
      <c r="I10" s="262"/>
      <c r="J10" s="2028"/>
      <c r="K10" s="2027"/>
      <c r="L10" s="2027"/>
      <c r="M10" s="2027"/>
      <c r="N10" s="2027"/>
      <c r="O10" s="2027"/>
      <c r="P10" s="2027"/>
      <c r="Q10" s="2027"/>
      <c r="R10" s="2027"/>
      <c r="S10" s="2027"/>
      <c r="T10" s="2027"/>
      <c r="U10" s="2027"/>
      <c r="V10" s="2027"/>
    </row>
    <row r="11" spans="1:22" ht="13.8">
      <c r="A11" s="3282"/>
      <c r="B11" s="3308"/>
      <c r="C11" s="3307"/>
      <c r="D11" s="3310"/>
      <c r="E11" s="260" t="s">
        <v>276</v>
      </c>
      <c r="F11" s="261"/>
      <c r="G11" s="261"/>
      <c r="H11" s="261"/>
      <c r="I11" s="262"/>
      <c r="J11" s="2028"/>
      <c r="K11" s="2027"/>
      <c r="L11" s="2027"/>
      <c r="M11" s="2027"/>
      <c r="N11" s="2027"/>
      <c r="O11" s="2027"/>
      <c r="P11" s="2027"/>
      <c r="Q11" s="2027"/>
      <c r="R11" s="2027"/>
      <c r="S11" s="2027"/>
      <c r="T11" s="2027"/>
      <c r="U11" s="2027"/>
      <c r="V11" s="2027"/>
    </row>
    <row r="12" spans="1:22" ht="13.8">
      <c r="A12" s="3282" t="s">
        <v>277</v>
      </c>
      <c r="B12" s="3308">
        <v>15</v>
      </c>
      <c r="C12" s="3306"/>
      <c r="D12" s="3310"/>
      <c r="E12" s="260" t="s">
        <v>278</v>
      </c>
      <c r="F12" s="261"/>
      <c r="G12" s="261"/>
      <c r="H12" s="261"/>
      <c r="I12" s="262"/>
      <c r="J12" s="2028"/>
      <c r="K12" s="2027"/>
      <c r="L12" s="2027"/>
      <c r="M12" s="2027"/>
      <c r="N12" s="2027"/>
      <c r="O12" s="2027"/>
      <c r="P12" s="2027"/>
      <c r="Q12" s="2027"/>
      <c r="R12" s="2027"/>
      <c r="S12" s="2027"/>
      <c r="T12" s="2027"/>
      <c r="U12" s="2027"/>
      <c r="V12" s="2027"/>
    </row>
    <row r="13" spans="1:22" ht="13.8">
      <c r="A13" s="3282"/>
      <c r="B13" s="3308"/>
      <c r="C13" s="3307"/>
      <c r="D13" s="3310"/>
      <c r="E13" s="260" t="s">
        <v>279</v>
      </c>
      <c r="F13" s="261"/>
      <c r="G13" s="261"/>
      <c r="H13" s="261"/>
      <c r="I13" s="262"/>
      <c r="J13" s="2028"/>
      <c r="K13" s="2027"/>
      <c r="L13" s="2027"/>
      <c r="M13" s="2027"/>
      <c r="N13" s="2027"/>
      <c r="O13" s="2027"/>
      <c r="P13" s="2027"/>
      <c r="Q13" s="2027"/>
      <c r="R13" s="2027"/>
      <c r="S13" s="2027"/>
      <c r="T13" s="2027"/>
      <c r="U13" s="2027"/>
      <c r="V13" s="2027"/>
    </row>
    <row r="14" spans="1:22" ht="13.8">
      <c r="A14" s="3282" t="s">
        <v>280</v>
      </c>
      <c r="B14" s="3308">
        <v>30</v>
      </c>
      <c r="C14" s="3306">
        <v>7</v>
      </c>
      <c r="D14" s="3310">
        <v>3</v>
      </c>
      <c r="E14" s="260" t="s">
        <v>281</v>
      </c>
      <c r="F14" s="261"/>
      <c r="G14" s="261"/>
      <c r="H14" s="261"/>
      <c r="I14" s="262"/>
      <c r="J14" s="2028"/>
      <c r="K14" s="2027"/>
      <c r="L14" s="2027"/>
      <c r="M14" s="2027"/>
      <c r="N14" s="2027"/>
      <c r="O14" s="2027"/>
      <c r="P14" s="2027"/>
      <c r="Q14" s="2027"/>
      <c r="R14" s="2027"/>
      <c r="S14" s="2027"/>
      <c r="T14" s="2027"/>
      <c r="U14" s="2027"/>
      <c r="V14" s="2027"/>
    </row>
    <row r="15" spans="1:22" ht="13.8">
      <c r="A15" s="3282"/>
      <c r="B15" s="3308"/>
      <c r="C15" s="3309"/>
      <c r="D15" s="3310"/>
      <c r="E15" s="260" t="s">
        <v>282</v>
      </c>
      <c r="F15" s="261"/>
      <c r="G15" s="261"/>
      <c r="H15" s="261"/>
      <c r="I15" s="262"/>
      <c r="J15" s="2028"/>
      <c r="K15" s="2027"/>
      <c r="L15" s="2027"/>
      <c r="M15" s="2027"/>
      <c r="N15" s="2027"/>
      <c r="O15" s="2027"/>
      <c r="P15" s="2027"/>
      <c r="Q15" s="2027"/>
      <c r="R15" s="2027"/>
      <c r="S15" s="2027"/>
      <c r="T15" s="2027"/>
      <c r="U15" s="2027"/>
      <c r="V15" s="2027"/>
    </row>
    <row r="16" spans="1:22" ht="13.8">
      <c r="A16" s="3282"/>
      <c r="B16" s="3308"/>
      <c r="C16" s="3307"/>
      <c r="D16" s="3310"/>
      <c r="E16" s="260" t="s">
        <v>283</v>
      </c>
      <c r="F16" s="261"/>
      <c r="G16" s="261"/>
      <c r="H16" s="261"/>
      <c r="I16" s="262"/>
      <c r="J16" s="2028"/>
      <c r="K16" s="2027"/>
      <c r="L16" s="2027"/>
      <c r="M16" s="2027"/>
      <c r="N16" s="2027"/>
      <c r="O16" s="2027"/>
      <c r="P16" s="2027"/>
      <c r="Q16" s="2027"/>
      <c r="R16" s="2027"/>
      <c r="S16" s="2027"/>
      <c r="T16" s="2027"/>
      <c r="U16" s="2027"/>
      <c r="V16" s="2027"/>
    </row>
    <row r="17" spans="1:26" ht="14.4">
      <c r="A17" s="263" t="s">
        <v>284</v>
      </c>
      <c r="B17" s="143"/>
      <c r="C17" s="264">
        <f>SUM(C5:C16)</f>
        <v>7</v>
      </c>
      <c r="D17" s="264">
        <f>SUM(D5:D16)</f>
        <v>3</v>
      </c>
      <c r="E17" s="310"/>
      <c r="F17" s="310"/>
      <c r="G17" s="310"/>
      <c r="H17" s="310"/>
      <c r="I17" s="310"/>
      <c r="J17" s="2028"/>
      <c r="K17" s="2027"/>
      <c r="L17" s="2027"/>
      <c r="M17" s="2027"/>
      <c r="N17" s="2027"/>
      <c r="O17" s="2027"/>
      <c r="P17" s="2027"/>
      <c r="Q17" s="2027"/>
      <c r="R17" s="2027"/>
      <c r="S17" s="2027"/>
      <c r="T17" s="2027"/>
      <c r="U17" s="2027"/>
      <c r="V17" s="2027"/>
    </row>
    <row r="18" spans="1:26" ht="15" thickBot="1">
      <c r="A18" s="265" t="s">
        <v>285</v>
      </c>
      <c r="B18" s="104"/>
      <c r="C18" s="266">
        <f>ROUND(C17/SUM(C17:D17),2)</f>
        <v>0.7</v>
      </c>
      <c r="D18" s="266">
        <f>1-C18</f>
        <v>0.30000000000000004</v>
      </c>
      <c r="E18" s="310"/>
      <c r="F18" s="310"/>
      <c r="G18" s="310"/>
      <c r="H18" s="310"/>
      <c r="I18" s="310"/>
      <c r="J18" s="2027"/>
      <c r="K18" s="2027"/>
      <c r="L18" s="2027"/>
      <c r="M18" s="2027"/>
      <c r="N18" s="2027"/>
      <c r="O18" s="2027"/>
      <c r="P18" s="2027"/>
      <c r="Q18" s="2027"/>
      <c r="R18" s="2027"/>
      <c r="S18" s="2027"/>
      <c r="T18" s="2027"/>
      <c r="U18" s="2027"/>
      <c r="V18" s="2027"/>
    </row>
    <row r="19" spans="1:26" ht="14.4">
      <c r="A19" s="267" t="s">
        <v>286</v>
      </c>
      <c r="B19" s="268" t="s">
        <v>287</v>
      </c>
      <c r="C19" s="269">
        <f ca="1">SUMIF(INDIRECT("'"&amp;C4&amp;"'"&amp;"!A:A"),结果表!B19,INDIRECT("'"&amp;C4&amp;"'"&amp;"!B:B"))</f>
        <v>6158</v>
      </c>
      <c r="D19" s="270">
        <f ca="1">SUMIF(INDIRECT("'"&amp;D4&amp;"'"&amp;"!A:A"),结果表!B19,INDIRECT("'"&amp;D4&amp;"'"&amp;"!B:B"))</f>
        <v>2773</v>
      </c>
      <c r="E19" s="267" t="s">
        <v>288</v>
      </c>
      <c r="F19" s="268" t="s">
        <v>287</v>
      </c>
      <c r="G19" s="271">
        <f ca="1">ROUND(C19*$C$18+D19*$D$18,0)</f>
        <v>5143</v>
      </c>
      <c r="H19" s="272" t="s">
        <v>289</v>
      </c>
      <c r="I19" s="310"/>
      <c r="J19" s="2027"/>
      <c r="K19" s="2027"/>
      <c r="L19" s="2027"/>
      <c r="M19" s="2027"/>
      <c r="N19" s="2027"/>
      <c r="O19" s="2027"/>
      <c r="P19" s="2027"/>
      <c r="Q19" s="2027"/>
      <c r="R19" s="2027"/>
      <c r="S19" s="2027"/>
      <c r="T19" s="2027"/>
      <c r="U19" s="2027"/>
      <c r="V19" s="2027"/>
    </row>
    <row r="20" spans="1:26" ht="14.4">
      <c r="A20" s="273"/>
      <c r="B20" s="274" t="s">
        <v>290</v>
      </c>
      <c r="C20" s="275">
        <f ca="1">SUMIF(INDIRECT("'"&amp;C4&amp;"'"&amp;"!A:A"),结果表!B20,INDIRECT("'"&amp;C4&amp;"'"&amp;"!B:B"))</f>
        <v>2870</v>
      </c>
      <c r="D20" s="276">
        <f ca="1">SUMIF(INDIRECT("'"&amp;D4&amp;"'"&amp;"!A:A"),结果表!B20,INDIRECT("'"&amp;D4&amp;"'"&amp;"!B:B"))</f>
        <v>1292</v>
      </c>
      <c r="E20" s="273"/>
      <c r="F20" s="274" t="s">
        <v>290</v>
      </c>
      <c r="G20" s="277">
        <f ca="1">ROUND(C20*$C$18+D20*$D$18,0)</f>
        <v>2397</v>
      </c>
      <c r="H20" s="278" t="s">
        <v>291</v>
      </c>
      <c r="I20" s="310"/>
      <c r="J20" s="2027"/>
      <c r="K20" s="2027"/>
      <c r="L20" s="2027"/>
      <c r="M20" s="2027"/>
      <c r="N20" s="2027"/>
      <c r="O20" s="2027"/>
      <c r="P20" s="2027"/>
      <c r="Q20" s="2027"/>
      <c r="R20" s="2027"/>
      <c r="S20" s="2027"/>
      <c r="T20" s="2027"/>
      <c r="U20" s="2027"/>
      <c r="V20" s="2027"/>
    </row>
    <row r="21" spans="1:26" ht="15" customHeight="1">
      <c r="A21" s="273"/>
      <c r="B21" s="279" t="s">
        <v>292</v>
      </c>
      <c r="C21" s="280">
        <f ca="1">SUMIF(INDIRECT("'"&amp;C4&amp;"'"&amp;"!A:A"),结果表!B21,INDIRECT("'"&amp;C4&amp;"'"&amp;"!B:B"))</f>
        <v>8311</v>
      </c>
      <c r="D21" s="150">
        <f ca="1">SUMIF(INDIRECT("'"&amp;D4&amp;"'"&amp;"!A:A"),结果表!B21,INDIRECT("'"&amp;D4&amp;"'"&amp;"!B:B"))</f>
        <v>3742</v>
      </c>
      <c r="E21" s="273"/>
      <c r="F21" s="279" t="s">
        <v>292</v>
      </c>
      <c r="G21" s="281">
        <f ca="1">ROUND(C21*$C$18+D21*$D$18,0)</f>
        <v>6940</v>
      </c>
      <c r="H21" s="1249" t="s">
        <v>291</v>
      </c>
      <c r="I21" s="310"/>
      <c r="J21" s="2027"/>
      <c r="K21" s="2027"/>
      <c r="L21" s="2027"/>
      <c r="M21" s="2027"/>
      <c r="N21" s="2027"/>
      <c r="O21" s="2027"/>
      <c r="P21" s="2027"/>
      <c r="Q21" s="2027"/>
      <c r="R21" s="2027"/>
      <c r="S21" s="2027"/>
      <c r="T21" s="2027"/>
      <c r="U21" s="2027"/>
      <c r="V21" s="2027"/>
    </row>
    <row r="22" spans="1:26" ht="15" thickBot="1">
      <c r="A22" s="125" t="s">
        <v>293</v>
      </c>
      <c r="B22" s="1250"/>
      <c r="C22" s="1251"/>
      <c r="D22" s="282">
        <f ca="1">IF(C19&lt;D19,D19/C19-1,C19/D19-1)</f>
        <v>1.2206996033177067</v>
      </c>
      <c r="E22" s="283"/>
      <c r="F22" s="284"/>
      <c r="G22" s="285">
        <f ca="1">ROUND(G19/('数据-汇总表'!D3/666.67),0)</f>
        <v>463</v>
      </c>
      <c r="H22" s="286" t="s">
        <v>294</v>
      </c>
      <c r="I22" s="310"/>
      <c r="J22" s="2027"/>
      <c r="K22" s="2027"/>
      <c r="L22" s="2027"/>
      <c r="M22" s="2027"/>
      <c r="N22" s="2027"/>
      <c r="O22" s="2027"/>
      <c r="P22" s="2027"/>
      <c r="Q22" s="2027"/>
      <c r="R22" s="2027"/>
      <c r="S22" s="2027"/>
      <c r="T22" s="2027"/>
      <c r="U22" s="2027"/>
      <c r="V22" s="2027"/>
    </row>
    <row r="23" spans="1:26" ht="13.8" thickBot="1">
      <c r="A23" s="310"/>
      <c r="B23" s="310"/>
      <c r="C23" s="310"/>
      <c r="D23" s="310"/>
      <c r="E23" s="310"/>
      <c r="F23" s="310"/>
      <c r="G23" s="310"/>
      <c r="H23" s="310"/>
      <c r="I23" s="310"/>
      <c r="J23" s="2027"/>
      <c r="K23" s="2027"/>
      <c r="L23" s="2027"/>
      <c r="M23" s="2027"/>
      <c r="N23" s="2027"/>
      <c r="O23" s="2027"/>
      <c r="P23" s="2027"/>
      <c r="Q23" s="2027"/>
      <c r="R23" s="2027"/>
      <c r="S23" s="2027"/>
      <c r="T23" s="2027"/>
      <c r="U23" s="2027"/>
      <c r="V23" s="2027"/>
    </row>
    <row r="24" spans="1:26" ht="15" thickBot="1">
      <c r="A24" s="3288" t="s">
        <v>295</v>
      </c>
      <c r="B24" s="268" t="s">
        <v>287</v>
      </c>
      <c r="C24" s="287">
        <f>IF(B30=0,0,D30)</f>
        <v>0</v>
      </c>
      <c r="D24" s="288"/>
      <c r="E24" s="310"/>
      <c r="F24" s="310"/>
      <c r="G24" s="310"/>
      <c r="H24" s="310"/>
      <c r="I24" s="310"/>
      <c r="J24" s="2027"/>
      <c r="K24" s="2027"/>
      <c r="L24" s="2027"/>
      <c r="M24" s="2027"/>
      <c r="N24" s="2027"/>
      <c r="O24" s="2027"/>
      <c r="P24" s="2027"/>
      <c r="Q24" s="2027"/>
      <c r="R24" s="2027"/>
      <c r="S24" s="2027"/>
      <c r="T24" s="2027"/>
      <c r="U24" s="2027"/>
      <c r="V24" s="2027"/>
    </row>
    <row r="25" spans="1:26" ht="17.399999999999999">
      <c r="A25" s="3289"/>
      <c r="B25" s="1319" t="s">
        <v>296</v>
      </c>
      <c r="C25" s="289">
        <f>IF(B30=0,0,C30)</f>
        <v>0</v>
      </c>
      <c r="D25" s="290"/>
      <c r="E25" s="310"/>
      <c r="F25" s="310"/>
      <c r="G25" s="310"/>
      <c r="H25" s="310"/>
      <c r="I25" s="310"/>
      <c r="J25" s="2027"/>
      <c r="K25" s="1253" t="str">
        <f ca="1">项目基本情况!B16&amp;"国有建设用地使用权价格："&amp;O38&amp;"万元"</f>
        <v>出让国有建设用地使用权价格：5143万元</v>
      </c>
      <c r="L25" s="1254"/>
      <c r="M25" s="1254"/>
      <c r="N25" s="1254"/>
      <c r="O25" s="1255"/>
      <c r="P25" s="2027"/>
      <c r="Q25" s="2027"/>
      <c r="R25" s="2027"/>
      <c r="S25" s="2027"/>
      <c r="T25" s="2027"/>
      <c r="U25" s="2027"/>
      <c r="V25" s="2027"/>
    </row>
    <row r="26" spans="1:26" s="1252" customFormat="1" ht="17.399999999999999">
      <c r="A26" s="292" t="s">
        <v>297</v>
      </c>
      <c r="B26" s="293" t="s">
        <v>298</v>
      </c>
      <c r="C26" s="293" t="s">
        <v>299</v>
      </c>
      <c r="D26" s="294" t="s">
        <v>300</v>
      </c>
      <c r="E26" s="310"/>
      <c r="F26" s="310"/>
      <c r="G26" s="310"/>
      <c r="H26" s="310"/>
      <c r="I26" s="310"/>
      <c r="J26" s="2027"/>
      <c r="K26" s="1256" t="str">
        <f ca="1">"大写金额：人民币"&amp;NUMBERSTRING(INT(O38*10000),2)&amp;"元整"</f>
        <v>大写金额：人民币伍仟壹佰肆拾叁万元整</v>
      </c>
      <c r="L26" s="1250"/>
      <c r="M26" s="1250"/>
      <c r="N26" s="1250"/>
      <c r="O26" s="1249"/>
      <c r="P26" s="2027"/>
      <c r="Q26" s="2027"/>
      <c r="R26" s="2027"/>
      <c r="S26" s="2027"/>
      <c r="T26" s="2027"/>
      <c r="U26" s="2027"/>
      <c r="V26" s="2027"/>
      <c r="W26" s="291"/>
      <c r="X26" s="291"/>
      <c r="Y26" s="291"/>
      <c r="Z26" s="291"/>
    </row>
    <row r="27" spans="1:26" ht="17.399999999999999">
      <c r="A27" s="292"/>
      <c r="B27" s="293"/>
      <c r="C27" s="293"/>
      <c r="D27" s="3179">
        <f ca="1">G19/'数据-汇总表'!F31*10000</f>
        <v>5838.4200506533743</v>
      </c>
      <c r="E27" s="310"/>
      <c r="F27" s="310"/>
      <c r="G27" s="310"/>
      <c r="H27" s="310"/>
      <c r="I27" s="310"/>
      <c r="J27" s="2027"/>
      <c r="K27" s="1256" t="str">
        <f ca="1">"单位面积地价："&amp;M38&amp;"元/平方米"</f>
        <v>单位面积地价：6941元/平方米</v>
      </c>
      <c r="L27" s="1250"/>
      <c r="M27" s="1250"/>
      <c r="N27" s="1250"/>
      <c r="O27" s="1249"/>
      <c r="P27" s="2027"/>
      <c r="Q27" s="2027"/>
      <c r="R27" s="2027"/>
      <c r="S27" s="2027"/>
      <c r="T27" s="2027"/>
      <c r="U27" s="2027"/>
      <c r="V27" s="2027"/>
    </row>
    <row r="28" spans="1:26" ht="18.75" customHeight="1">
      <c r="A28" s="292"/>
      <c r="B28" s="293"/>
      <c r="C28" s="293"/>
      <c r="D28" s="294"/>
      <c r="E28" s="310"/>
      <c r="F28" s="310"/>
      <c r="G28" s="310"/>
      <c r="H28" s="310"/>
      <c r="I28" s="310"/>
      <c r="J28" s="2027"/>
      <c r="K28" s="1256" t="str">
        <f ca="1">"楼面地价："&amp;N38&amp;"元/平方米"</f>
        <v>楼面地价：2397元/平方米</v>
      </c>
      <c r="L28" s="1250"/>
      <c r="M28" s="1250"/>
      <c r="N28" s="1250"/>
      <c r="O28" s="1249"/>
      <c r="P28" s="2027"/>
      <c r="V28" s="2027"/>
    </row>
    <row r="29" spans="1:26" ht="17.399999999999999">
      <c r="A29" s="292"/>
      <c r="B29" s="293"/>
      <c r="C29" s="293"/>
      <c r="D29" s="294"/>
      <c r="E29" s="310"/>
      <c r="F29" s="310"/>
      <c r="G29" s="310"/>
      <c r="H29" s="310"/>
      <c r="I29" s="310"/>
      <c r="J29" s="2027"/>
      <c r="K29" s="1256" t="str">
        <f ca="1">IF(OR(项目基本情况!E8="抵押价格",项目基本情况!E8="已注销及未注销"),"抵押价格："&amp;O39&amp;"万元","——")</f>
        <v>抵押价格：5143万元</v>
      </c>
      <c r="L29" s="1250"/>
      <c r="M29" s="1250"/>
      <c r="N29" s="1250"/>
      <c r="O29" s="1249"/>
      <c r="P29" s="2027"/>
      <c r="V29" s="2027"/>
    </row>
    <row r="30" spans="1:26" ht="18" thickBot="1">
      <c r="A30" s="3129" t="s">
        <v>301</v>
      </c>
      <c r="B30" s="308"/>
      <c r="C30" s="308"/>
      <c r="D30" s="309"/>
      <c r="E30" s="3130" t="s">
        <v>2928</v>
      </c>
      <c r="F30" s="310"/>
      <c r="G30" s="310"/>
      <c r="H30" s="310"/>
      <c r="I30" s="310"/>
      <c r="J30" s="2027"/>
      <c r="K30" s="1256" t="str">
        <f ca="1">IF(K29="——","——","大写金额：人民币"&amp;NUMBERSTRING(INT(O39*10000),2)&amp;"元整")</f>
        <v>大写金额：人民币伍仟壹佰肆拾叁万元整</v>
      </c>
      <c r="L30" s="1250"/>
      <c r="M30" s="1250"/>
      <c r="N30" s="1250"/>
      <c r="O30" s="1249"/>
      <c r="P30" s="2027"/>
      <c r="V30" s="2027"/>
    </row>
    <row r="31" spans="1:26" ht="24" customHeight="1" thickBot="1">
      <c r="A31" s="310"/>
      <c r="B31" s="310"/>
      <c r="C31" s="310"/>
      <c r="D31" s="310"/>
      <c r="E31" s="310"/>
      <c r="F31" s="310"/>
      <c r="G31" s="310"/>
      <c r="H31" s="310"/>
      <c r="I31" s="310"/>
      <c r="J31" s="2027"/>
      <c r="K31" s="2467" t="str">
        <f>IF(项目基本情况!E8="抵押价格","——","抵押担保权已注销时的抵押价格："&amp;O40&amp;"万元")</f>
        <v>——</v>
      </c>
      <c r="L31" s="2463"/>
      <c r="M31" s="2463"/>
      <c r="N31" s="2463"/>
      <c r="O31" s="2464"/>
      <c r="P31" s="2027"/>
      <c r="V31" s="2027"/>
    </row>
    <row r="32" spans="1:26" ht="18" thickBot="1">
      <c r="A32" s="267" t="s">
        <v>302</v>
      </c>
      <c r="B32" s="1379" t="s">
        <v>1650</v>
      </c>
      <c r="C32" s="1380">
        <f ca="1">G19-C24</f>
        <v>5143</v>
      </c>
      <c r="D32" s="1381" t="s">
        <v>1651</v>
      </c>
      <c r="E32" s="310"/>
      <c r="F32" s="310"/>
      <c r="G32" s="310"/>
      <c r="H32" s="310"/>
      <c r="I32" s="310"/>
      <c r="J32" s="2027"/>
      <c r="K32" s="2462" t="str">
        <f>IF(K31="——","——","大写金额：人民币"&amp;NUMBERSTRING(INT(O40*10000),2)&amp;"元整")</f>
        <v>——</v>
      </c>
      <c r="L32" s="2465"/>
      <c r="M32" s="2465"/>
      <c r="N32" s="2465"/>
      <c r="O32" s="2466"/>
      <c r="P32" s="2027"/>
      <c r="V32" s="2027"/>
    </row>
    <row r="33" spans="1:26" ht="18" thickBot="1">
      <c r="A33" s="297" t="s">
        <v>305</v>
      </c>
      <c r="B33" s="1382" t="s">
        <v>1652</v>
      </c>
      <c r="C33" s="263">
        <f ca="1">ROUND(C32*10000/'数据-汇总表'!E3,0)</f>
        <v>2397</v>
      </c>
      <c r="D33" s="1383" t="s">
        <v>1653</v>
      </c>
      <c r="E33" s="3288" t="s">
        <v>303</v>
      </c>
      <c r="F33" s="295" t="s">
        <v>304</v>
      </c>
      <c r="G33" s="296"/>
      <c r="H33" s="978"/>
      <c r="I33" s="1257"/>
      <c r="J33" s="2027"/>
      <c r="K33" s="1256" t="str">
        <f>IF(项目基本情况!E9="——","——","抵押净值："&amp;C46&amp;"万元")</f>
        <v>——</v>
      </c>
      <c r="L33" s="1250"/>
      <c r="M33" s="1250"/>
      <c r="N33" s="1250"/>
      <c r="O33" s="1249"/>
      <c r="P33" s="2027"/>
      <c r="V33" s="2027"/>
    </row>
    <row r="34" spans="1:26" s="1252" customFormat="1" ht="18" thickBot="1">
      <c r="A34" s="299"/>
      <c r="B34" s="1384" t="s">
        <v>1654</v>
      </c>
      <c r="C34" s="263">
        <f ca="1">ROUND(C32*10000/'数据-汇总表'!D3,0)</f>
        <v>6941</v>
      </c>
      <c r="D34" s="1385" t="s">
        <v>1653</v>
      </c>
      <c r="E34" s="3329"/>
      <c r="F34" s="126" t="s">
        <v>306</v>
      </c>
      <c r="G34" s="298"/>
      <c r="H34" s="104"/>
      <c r="I34" s="310"/>
      <c r="J34" s="2027"/>
      <c r="K34" s="1259" t="str">
        <f>IF(K33="——","——","大写金额：人民币"&amp;NUMBERSTRING(INT(O41*10000),2)&amp;"元整")</f>
        <v>——</v>
      </c>
      <c r="L34" s="1260"/>
      <c r="M34" s="1260"/>
      <c r="N34" s="1260"/>
      <c r="O34" s="1261"/>
      <c r="P34" s="2027"/>
      <c r="Q34" s="291"/>
      <c r="R34" s="291"/>
      <c r="S34" s="291"/>
      <c r="T34" s="291"/>
      <c r="U34" s="291"/>
      <c r="V34" s="2027"/>
      <c r="W34" s="291"/>
      <c r="X34" s="291"/>
      <c r="Y34" s="291"/>
      <c r="Z34" s="291"/>
    </row>
    <row r="35" spans="1:26" ht="15" thickBot="1">
      <c r="A35" s="283"/>
      <c r="B35" s="1386"/>
      <c r="C35" s="1387">
        <f ca="1">ROUND(C32/('数据-汇总表'!D3/666.67),0)</f>
        <v>463</v>
      </c>
      <c r="D35" s="1388" t="s">
        <v>1655</v>
      </c>
      <c r="E35" s="3330"/>
      <c r="F35" s="300" t="s">
        <v>307</v>
      </c>
      <c r="G35" s="980"/>
      <c r="H35" s="979" t="s">
        <v>308</v>
      </c>
      <c r="I35" s="310"/>
      <c r="J35" s="2027"/>
      <c r="K35" s="3303" t="s">
        <v>315</v>
      </c>
      <c r="L35" s="3303" t="s">
        <v>316</v>
      </c>
      <c r="M35" s="1262" t="s">
        <v>317</v>
      </c>
      <c r="N35" s="3303" t="s">
        <v>318</v>
      </c>
      <c r="O35" s="3303" t="s">
        <v>319</v>
      </c>
      <c r="P35" s="2027"/>
      <c r="V35" s="2027"/>
    </row>
    <row r="36" spans="1:26" ht="16.5" customHeight="1">
      <c r="A36" s="302" t="s">
        <v>309</v>
      </c>
      <c r="B36" s="303" t="s">
        <v>298</v>
      </c>
      <c r="C36" s="304" t="s">
        <v>310</v>
      </c>
      <c r="D36" s="304" t="s">
        <v>311</v>
      </c>
      <c r="E36" s="305" t="s">
        <v>312</v>
      </c>
      <c r="F36" s="310"/>
      <c r="G36" s="310"/>
      <c r="H36" s="310"/>
      <c r="I36" s="310"/>
      <c r="J36" s="2029"/>
      <c r="K36" s="3304"/>
      <c r="L36" s="3304"/>
      <c r="M36" s="1264" t="s">
        <v>320</v>
      </c>
      <c r="N36" s="3304"/>
      <c r="O36" s="3304"/>
      <c r="P36" s="2027"/>
      <c r="V36" s="2027"/>
    </row>
    <row r="37" spans="1:26" ht="16.5" customHeight="1" thickBot="1">
      <c r="A37" s="1258" t="s">
        <v>313</v>
      </c>
      <c r="B37" s="306"/>
      <c r="C37" s="293"/>
      <c r="D37" s="293"/>
      <c r="E37" s="294"/>
      <c r="F37" s="310"/>
      <c r="G37" s="310"/>
      <c r="H37" s="310"/>
      <c r="I37" s="310"/>
      <c r="J37" s="2029"/>
      <c r="K37" s="3305"/>
      <c r="L37" s="3305"/>
      <c r="M37" s="1265"/>
      <c r="N37" s="3305"/>
      <c r="O37" s="3305"/>
      <c r="P37" s="2027"/>
      <c r="V37" s="2027"/>
    </row>
    <row r="38" spans="1:26" ht="16.5" customHeight="1" thickBot="1">
      <c r="A38" s="1258" t="s">
        <v>314</v>
      </c>
      <c r="B38" s="306"/>
      <c r="C38" s="293"/>
      <c r="D38" s="293"/>
      <c r="E38" s="294"/>
      <c r="F38" s="310"/>
      <c r="G38" s="310"/>
      <c r="H38" s="310"/>
      <c r="I38" s="310"/>
      <c r="J38" s="2029"/>
      <c r="K38" s="1266">
        <f>'数据-汇总表'!D3</f>
        <v>7409.7</v>
      </c>
      <c r="L38" s="1267">
        <f>'数据-汇总表'!E3</f>
        <v>21457.599999999999</v>
      </c>
      <c r="M38" s="1267">
        <f ca="1">C34</f>
        <v>6941</v>
      </c>
      <c r="N38" s="1267">
        <f ca="1">C33</f>
        <v>2397</v>
      </c>
      <c r="O38" s="1268">
        <f ca="1">C32</f>
        <v>5143</v>
      </c>
      <c r="P38" s="2027"/>
      <c r="V38" s="2027"/>
    </row>
    <row r="39" spans="1:26" ht="16.5" customHeight="1" thickBot="1">
      <c r="A39" s="1263"/>
      <c r="B39" s="307"/>
      <c r="C39" s="308"/>
      <c r="D39" s="308"/>
      <c r="E39" s="309"/>
      <c r="F39" s="310"/>
      <c r="G39" s="310"/>
      <c r="H39" s="310"/>
      <c r="I39" s="310"/>
      <c r="J39" s="2029"/>
      <c r="K39" s="3348" t="str">
        <f>MID(A44,3,LEN(A44)-2)</f>
        <v>抵押价格</v>
      </c>
      <c r="L39" s="3349"/>
      <c r="M39" s="3349"/>
      <c r="N39" s="3350"/>
      <c r="O39" s="1390">
        <f ca="1">C44</f>
        <v>5143</v>
      </c>
      <c r="P39" s="2027"/>
      <c r="V39" s="2027"/>
    </row>
    <row r="40" spans="1:26" ht="18" thickBot="1">
      <c r="A40" s="103" t="s">
        <v>838</v>
      </c>
      <c r="B40" s="310"/>
      <c r="C40" s="310"/>
      <c r="D40" s="310"/>
      <c r="E40" s="310"/>
      <c r="F40" s="310"/>
      <c r="G40" s="310"/>
      <c r="H40" s="310"/>
      <c r="I40" s="310"/>
      <c r="J40" s="2029"/>
      <c r="K40" s="3348" t="str">
        <f t="shared" ref="K40:K41" si="0">MID(A45,3,LEN(A45)-2)</f>
        <v/>
      </c>
      <c r="L40" s="3349"/>
      <c r="M40" s="3349"/>
      <c r="N40" s="3350"/>
      <c r="O40" s="1390" t="str">
        <f>C45</f>
        <v>——</v>
      </c>
      <c r="P40" s="2027"/>
      <c r="V40" s="2027"/>
    </row>
    <row r="41" spans="1:26" ht="16.2" thickBot="1">
      <c r="A41" s="311" t="s">
        <v>321</v>
      </c>
      <c r="B41" s="312"/>
      <c r="C41" s="313" t="s">
        <v>322</v>
      </c>
      <c r="D41" s="314" t="s">
        <v>323</v>
      </c>
      <c r="E41" s="314" t="s">
        <v>324</v>
      </c>
      <c r="F41" s="315" t="s">
        <v>325</v>
      </c>
      <c r="G41" s="310"/>
      <c r="H41" s="310"/>
      <c r="I41" s="310"/>
      <c r="J41" s="2029"/>
      <c r="K41" s="3348" t="str">
        <f t="shared" si="0"/>
        <v/>
      </c>
      <c r="L41" s="3349"/>
      <c r="M41" s="3349"/>
      <c r="N41" s="3350"/>
      <c r="O41" s="1390" t="str">
        <f>C46</f>
        <v>——</v>
      </c>
      <c r="P41" s="2027"/>
      <c r="V41" s="2027"/>
    </row>
    <row r="42" spans="1:26" ht="31.2">
      <c r="A42" s="3290" t="s">
        <v>2029</v>
      </c>
      <c r="B42" s="3291"/>
      <c r="C42" s="263">
        <f ca="1">C32</f>
        <v>5143</v>
      </c>
      <c r="D42" s="316">
        <f ca="1">C33</f>
        <v>2397</v>
      </c>
      <c r="E42" s="316">
        <f ca="1">C34</f>
        <v>6941</v>
      </c>
      <c r="F42" s="317">
        <f ca="1">C35</f>
        <v>463</v>
      </c>
      <c r="G42" s="310"/>
      <c r="H42" s="310"/>
      <c r="I42" s="318"/>
      <c r="J42" s="2029"/>
      <c r="K42" s="1269" t="s">
        <v>326</v>
      </c>
      <c r="L42" s="2046" t="s">
        <v>327</v>
      </c>
      <c r="M42" s="1270" t="s">
        <v>328</v>
      </c>
      <c r="N42" s="2047" t="s">
        <v>329</v>
      </c>
      <c r="O42" s="2048" t="s">
        <v>330</v>
      </c>
      <c r="P42" s="2027"/>
      <c r="V42" s="2027"/>
    </row>
    <row r="43" spans="1:26" ht="30">
      <c r="A43" s="3301" t="s">
        <v>2692</v>
      </c>
      <c r="B43" s="3302"/>
      <c r="C43" s="263">
        <f>IF(H33="正常操作",G33+G34+G35,G34+G35)</f>
        <v>0</v>
      </c>
      <c r="D43" s="316" t="s">
        <v>42</v>
      </c>
      <c r="E43" s="316" t="s">
        <v>43</v>
      </c>
      <c r="F43" s="317" t="s">
        <v>43</v>
      </c>
      <c r="G43" s="2865" t="s">
        <v>917</v>
      </c>
      <c r="H43" s="310"/>
      <c r="I43" s="318"/>
      <c r="J43" s="2029"/>
      <c r="K43" s="1271" t="str">
        <f>C4</f>
        <v>比较法-住宅、综合</v>
      </c>
      <c r="L43" s="1272">
        <f ca="1">IF(L42="估价结果/万元",C19,C20)</f>
        <v>6158</v>
      </c>
      <c r="M43" s="1273">
        <f>C18</f>
        <v>0.7</v>
      </c>
      <c r="N43" s="1274">
        <f ca="1">IF(N42="测算结果/万元",G19,G20)</f>
        <v>5143</v>
      </c>
      <c r="O43" s="1275">
        <f ca="1">IF(O42="最终结果/万元",C32,C33)</f>
        <v>5143</v>
      </c>
      <c r="P43" s="2027"/>
      <c r="V43" s="2027"/>
    </row>
    <row r="44" spans="1:26" ht="30.6" thickBot="1">
      <c r="A44" s="3290" t="str">
        <f>IF(OR(项目基本情况!E8="抵押价格",项目基本情况!E8="已注销及未注销"),"3.抵押价格","——")</f>
        <v>3.抵押价格</v>
      </c>
      <c r="B44" s="3291"/>
      <c r="C44" s="263">
        <f ca="1">IF(A44="——","——",C42-C43)</f>
        <v>5143</v>
      </c>
      <c r="D44" s="316">
        <f ca="1">ROUND(C44*10000/'数据-汇总表'!E3,0)</f>
        <v>2397</v>
      </c>
      <c r="E44" s="316">
        <f ca="1">ROUND(C44*10000/'数据-汇总表'!D3,0)</f>
        <v>6941</v>
      </c>
      <c r="F44" s="317">
        <f ca="1">ROUND(C44/('数据-汇总表'!D3/666.67),0)</f>
        <v>463</v>
      </c>
      <c r="G44" s="310"/>
      <c r="H44" s="310"/>
      <c r="I44" s="318"/>
      <c r="J44" s="2029"/>
      <c r="K44" s="1276" t="str">
        <f>D4</f>
        <v>剩余法-待开发</v>
      </c>
      <c r="L44" s="1277">
        <f ca="1">IF(L42="估价结果/万元",D19,D20)</f>
        <v>2773</v>
      </c>
      <c r="M44" s="1278">
        <f>D18</f>
        <v>0.30000000000000004</v>
      </c>
      <c r="N44" s="1279"/>
      <c r="O44" s="1280"/>
      <c r="P44" s="2027"/>
      <c r="V44" s="2027"/>
    </row>
    <row r="45" spans="1:26" ht="13.8">
      <c r="A45" s="3296" t="str">
        <f>IF(项目基本情况!E8="已注销及未注销","4.抵押担保权已注销时的抵押价格",IF(项目基本情况!E8="已注销","3.抵押担保权已注销时的抵押价格","——"))</f>
        <v>——</v>
      </c>
      <c r="B45" s="3297"/>
      <c r="C45" s="1802"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9"/>
      <c r="K45" s="2027"/>
      <c r="L45" s="2027"/>
      <c r="M45" s="2027"/>
      <c r="N45" s="2027"/>
      <c r="O45" s="2027"/>
      <c r="P45" s="2027"/>
      <c r="V45" s="2027"/>
    </row>
    <row r="46" spans="1:26" ht="14.4" thickBot="1">
      <c r="A46" s="3292" t="str">
        <f>IF(项目基本情况!E9="抵押净值",IF(A45="——","4.抵押净值","5.抵押净值"),"——")</f>
        <v>——</v>
      </c>
      <c r="B46" s="3293"/>
      <c r="C46" s="319" t="str">
        <f>IF(A46="——","——",O79)</f>
        <v>——</v>
      </c>
      <c r="D46" s="316" t="e">
        <f>ROUND(C46*10000/'数据-汇总表'!E3,0)</f>
        <v>#VALUE!</v>
      </c>
      <c r="E46" s="316" t="e">
        <f>ROUND(C46*10000/'数据-汇总表'!D3,0)</f>
        <v>#VALUE!</v>
      </c>
      <c r="F46" s="317" t="e">
        <f>ROUND(C46/('数据-汇总表'!D3/666.67),0)</f>
        <v>#VALUE!</v>
      </c>
      <c r="G46" s="310"/>
      <c r="H46" s="310"/>
      <c r="I46" s="318"/>
      <c r="J46" s="2029"/>
      <c r="K46" s="2027"/>
      <c r="L46" s="2027"/>
      <c r="M46" s="2027"/>
      <c r="N46" s="2027"/>
      <c r="O46" s="2027"/>
      <c r="P46" s="2027"/>
      <c r="Q46" s="2027"/>
      <c r="R46" s="2027"/>
      <c r="S46" s="2027"/>
      <c r="T46" s="2027"/>
      <c r="U46" s="2027"/>
      <c r="V46" s="2027"/>
    </row>
    <row r="47" spans="1:26" ht="15.6">
      <c r="A47" s="320" t="s">
        <v>331</v>
      </c>
      <c r="B47" s="1281"/>
      <c r="C47" s="321" t="s">
        <v>332</v>
      </c>
      <c r="D47" s="322"/>
      <c r="E47" s="322"/>
      <c r="F47" s="322"/>
      <c r="G47" s="323"/>
      <c r="H47" s="324"/>
      <c r="I47" s="325"/>
      <c r="J47" s="2029"/>
      <c r="K47" s="310"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3.2">
      <c r="A48" s="326">
        <v>1</v>
      </c>
      <c r="B48" s="327"/>
      <c r="C48" s="327"/>
      <c r="D48" s="322"/>
      <c r="E48" s="322"/>
      <c r="F48" s="322"/>
      <c r="G48" s="322"/>
      <c r="H48" s="328"/>
      <c r="I48" s="329"/>
      <c r="J48" s="2029"/>
      <c r="K48" s="2027"/>
      <c r="L48" s="2027"/>
      <c r="M48" s="2027"/>
      <c r="N48" s="2027"/>
      <c r="O48" s="2027"/>
      <c r="P48" s="2027"/>
      <c r="Q48" s="2027"/>
      <c r="R48" s="2027"/>
      <c r="S48" s="2027"/>
      <c r="T48" s="2027"/>
      <c r="U48" s="2027"/>
      <c r="V48" s="2027"/>
    </row>
    <row r="49" spans="1:22" ht="13.2">
      <c r="A49" s="326">
        <v>2</v>
      </c>
      <c r="B49" s="327"/>
      <c r="C49" s="327"/>
      <c r="D49" s="322"/>
      <c r="E49" s="322"/>
      <c r="F49" s="322"/>
      <c r="G49" s="322"/>
      <c r="H49" s="328"/>
      <c r="I49" s="329"/>
      <c r="J49" s="2030"/>
      <c r="K49" s="2027"/>
      <c r="L49" s="2027"/>
      <c r="M49" s="2027"/>
      <c r="N49" s="2027"/>
      <c r="O49" s="2027"/>
      <c r="P49" s="2027"/>
      <c r="Q49" s="2027"/>
      <c r="R49" s="2027"/>
      <c r="S49" s="2027"/>
      <c r="T49" s="2027"/>
      <c r="U49" s="2027"/>
      <c r="V49" s="2027"/>
    </row>
    <row r="50" spans="1:22" ht="13.2">
      <c r="A50" s="326">
        <v>3</v>
      </c>
      <c r="B50" s="327"/>
      <c r="C50" s="327"/>
      <c r="D50" s="322"/>
      <c r="E50" s="322"/>
      <c r="F50" s="322"/>
      <c r="G50" s="322"/>
      <c r="H50" s="328"/>
      <c r="I50" s="329"/>
      <c r="J50" s="2030"/>
      <c r="K50" s="2027"/>
      <c r="L50" s="2027"/>
      <c r="M50" s="2027"/>
      <c r="N50" s="2027"/>
      <c r="O50" s="2027"/>
      <c r="P50" s="2027"/>
      <c r="Q50" s="2027"/>
      <c r="R50" s="2027"/>
      <c r="S50" s="2027"/>
      <c r="T50" s="2027"/>
      <c r="U50" s="2027"/>
      <c r="V50" s="2027"/>
    </row>
    <row r="51" spans="1:22" ht="13.2">
      <c r="A51" s="330"/>
      <c r="B51" s="331"/>
      <c r="C51" s="331"/>
      <c r="D51" s="332"/>
      <c r="E51" s="332"/>
      <c r="F51" s="332"/>
      <c r="G51" s="332"/>
      <c r="H51" s="333"/>
      <c r="I51" s="334"/>
      <c r="J51" s="2030"/>
      <c r="K51" s="2027"/>
      <c r="L51" s="2027"/>
      <c r="M51" s="2027"/>
      <c r="N51" s="2027"/>
      <c r="O51" s="2027"/>
      <c r="P51" s="2027"/>
      <c r="Q51" s="2027"/>
      <c r="R51" s="2027"/>
      <c r="S51" s="2027"/>
      <c r="T51" s="2027"/>
      <c r="U51" s="2027"/>
      <c r="V51" s="2027"/>
    </row>
    <row r="52" spans="1:22" ht="13.2">
      <c r="A52" s="327"/>
      <c r="B52" s="327"/>
      <c r="C52" s="327"/>
      <c r="D52" s="322"/>
      <c r="E52" s="322"/>
      <c r="F52" s="322"/>
      <c r="G52" s="322"/>
      <c r="H52" s="328"/>
      <c r="I52" s="256"/>
      <c r="J52" s="2030"/>
      <c r="K52" s="2027"/>
      <c r="L52" s="2027"/>
      <c r="M52" s="2027"/>
      <c r="N52" s="2027"/>
      <c r="O52" s="2027"/>
      <c r="P52" s="2027"/>
      <c r="Q52" s="2027"/>
      <c r="R52" s="2027"/>
      <c r="S52" s="2027"/>
      <c r="T52" s="2027"/>
      <c r="U52" s="2027"/>
      <c r="V52" s="2027"/>
    </row>
    <row r="53" spans="1:22" ht="13.2">
      <c r="A53" s="256"/>
      <c r="B53" s="256"/>
      <c r="C53" s="256"/>
      <c r="D53" s="256"/>
      <c r="E53" s="256"/>
      <c r="F53" s="335" t="s">
        <v>333</v>
      </c>
      <c r="G53" s="336"/>
      <c r="H53" s="336"/>
      <c r="I53" s="337" t="s">
        <v>334</v>
      </c>
      <c r="J53" s="2030"/>
      <c r="K53" s="2027"/>
      <c r="L53" s="2027"/>
      <c r="M53" s="2027"/>
      <c r="N53" s="2027"/>
      <c r="O53" s="2027"/>
      <c r="P53" s="2027"/>
      <c r="Q53" s="2027"/>
      <c r="R53" s="2027"/>
      <c r="S53" s="2027"/>
      <c r="T53" s="2027"/>
      <c r="U53" s="2027"/>
      <c r="V53" s="2027"/>
    </row>
    <row r="54" spans="1:22" ht="13.2">
      <c r="A54" s="256"/>
      <c r="B54" s="338" t="s">
        <v>335</v>
      </c>
      <c r="C54" s="256"/>
      <c r="D54" s="256"/>
      <c r="E54" s="256"/>
      <c r="F54" s="256"/>
      <c r="G54" s="256"/>
      <c r="H54" s="256"/>
      <c r="I54" s="256"/>
      <c r="J54" s="2030"/>
      <c r="K54" s="2027"/>
      <c r="L54" s="2027"/>
      <c r="M54" s="2027"/>
      <c r="N54" s="2027"/>
      <c r="O54" s="2027"/>
      <c r="P54" s="2027"/>
      <c r="Q54" s="2027"/>
      <c r="R54" s="2027"/>
      <c r="S54" s="2027"/>
      <c r="T54" s="2027"/>
      <c r="U54" s="2027"/>
      <c r="V54" s="2027"/>
    </row>
    <row r="55" spans="1:22" ht="13.2">
      <c r="A55" s="256"/>
      <c r="B55" s="256"/>
      <c r="C55" s="256"/>
      <c r="D55" s="256"/>
      <c r="E55" s="256"/>
      <c r="F55" s="256"/>
      <c r="G55" s="256"/>
      <c r="H55" s="256"/>
      <c r="I55" s="256"/>
      <c r="J55" s="2030"/>
      <c r="K55" s="2027"/>
      <c r="L55" s="2027"/>
      <c r="M55" s="2027"/>
      <c r="N55" s="2027"/>
      <c r="O55" s="2027"/>
      <c r="P55" s="2027"/>
      <c r="Q55" s="2027"/>
      <c r="R55" s="2027"/>
      <c r="S55" s="2027"/>
      <c r="T55" s="2027"/>
      <c r="U55" s="2027"/>
      <c r="V55" s="2027"/>
    </row>
    <row r="56" spans="1:22" ht="13.2">
      <c r="A56" s="256"/>
      <c r="B56" s="336"/>
      <c r="C56" s="336"/>
      <c r="D56" s="336"/>
      <c r="E56" s="336"/>
      <c r="F56" s="336"/>
      <c r="G56" s="336"/>
      <c r="H56" s="336"/>
      <c r="I56" s="337" t="s">
        <v>336</v>
      </c>
      <c r="J56" s="2030"/>
      <c r="K56" s="2027"/>
      <c r="L56" s="2027"/>
      <c r="M56" s="2027"/>
      <c r="N56" s="2027"/>
      <c r="O56" s="2027"/>
      <c r="P56" s="2027"/>
      <c r="Q56" s="2027"/>
      <c r="R56" s="2027"/>
      <c r="S56" s="2027"/>
      <c r="T56" s="2027"/>
      <c r="U56" s="2027"/>
      <c r="V56" s="2027"/>
    </row>
    <row r="57" spans="1:22" ht="13.2">
      <c r="A57" s="256"/>
      <c r="B57" s="338" t="s">
        <v>337</v>
      </c>
      <c r="C57" s="256"/>
      <c r="D57" s="256"/>
      <c r="E57" s="256"/>
      <c r="F57" s="256"/>
      <c r="G57" s="256"/>
      <c r="H57" s="256"/>
      <c r="I57" s="256"/>
      <c r="J57" s="2030"/>
      <c r="K57" s="2027"/>
      <c r="L57" s="2027"/>
      <c r="M57" s="2027"/>
      <c r="N57" s="2027"/>
      <c r="O57" s="2027"/>
      <c r="P57" s="2027"/>
      <c r="Q57" s="2027"/>
      <c r="R57" s="2027"/>
      <c r="S57" s="2027"/>
      <c r="T57" s="2027"/>
      <c r="U57" s="2027"/>
      <c r="V57" s="2027"/>
    </row>
    <row r="58" spans="1:22" ht="13.2">
      <c r="A58" s="256"/>
      <c r="B58" s="338"/>
      <c r="C58" s="256"/>
      <c r="D58" s="256"/>
      <c r="E58" s="256"/>
      <c r="F58" s="256"/>
      <c r="G58" s="256"/>
      <c r="H58" s="256"/>
      <c r="I58" s="256"/>
      <c r="J58" s="2030"/>
      <c r="K58" s="2027"/>
      <c r="L58" s="2027"/>
      <c r="M58" s="2027"/>
      <c r="N58" s="2027"/>
      <c r="O58" s="2027"/>
      <c r="P58" s="2027"/>
      <c r="Q58" s="2027"/>
      <c r="R58" s="2027"/>
      <c r="S58" s="2027"/>
      <c r="T58" s="2027"/>
      <c r="U58" s="2027"/>
      <c r="V58" s="2027"/>
    </row>
    <row r="59" spans="1:22" ht="13.2">
      <c r="A59" s="256"/>
      <c r="B59" s="336"/>
      <c r="C59" s="336"/>
      <c r="D59" s="336"/>
      <c r="E59" s="336"/>
      <c r="F59" s="336"/>
      <c r="G59" s="336"/>
      <c r="H59" s="336"/>
      <c r="I59" s="337" t="s">
        <v>336</v>
      </c>
      <c r="J59" s="2030"/>
      <c r="K59" s="2027"/>
      <c r="L59" s="2027"/>
      <c r="M59" s="2027"/>
      <c r="N59" s="2027"/>
      <c r="O59" s="2027"/>
      <c r="P59" s="2027"/>
      <c r="Q59" s="2027"/>
      <c r="R59" s="2027"/>
      <c r="S59" s="2027"/>
      <c r="T59" s="2027"/>
      <c r="U59" s="2027"/>
      <c r="V59" s="2027"/>
    </row>
    <row r="60" spans="1:22" ht="13.2">
      <c r="A60" s="256"/>
      <c r="B60" s="256"/>
      <c r="C60" s="256"/>
      <c r="D60" s="256"/>
      <c r="E60" s="256"/>
      <c r="F60" s="256"/>
      <c r="G60" s="256"/>
      <c r="H60" s="256"/>
      <c r="I60" s="256"/>
      <c r="J60" s="2030"/>
      <c r="K60" s="2027"/>
      <c r="L60" s="2027"/>
      <c r="M60" s="2027"/>
      <c r="N60" s="2027"/>
      <c r="O60" s="2027"/>
      <c r="P60" s="2027"/>
      <c r="Q60" s="2027"/>
      <c r="R60" s="2027"/>
      <c r="S60" s="2027"/>
      <c r="T60" s="2027"/>
      <c r="U60" s="2027"/>
      <c r="V60" s="2027"/>
    </row>
    <row r="61" spans="1:22" ht="13.2">
      <c r="A61" s="256"/>
      <c r="B61" s="338"/>
      <c r="C61" s="339"/>
      <c r="D61" s="215"/>
      <c r="E61" s="215"/>
      <c r="F61" s="252"/>
      <c r="G61" s="256"/>
      <c r="H61" s="256"/>
      <c r="I61" s="256"/>
      <c r="J61" s="2030"/>
      <c r="K61" s="2027"/>
      <c r="L61" s="2027"/>
      <c r="M61" s="2027"/>
      <c r="N61" s="2027"/>
      <c r="O61" s="2027"/>
      <c r="P61" s="2027"/>
      <c r="Q61" s="2027"/>
      <c r="R61" s="2027"/>
      <c r="S61" s="2027"/>
      <c r="T61" s="2027"/>
      <c r="U61" s="2027"/>
      <c r="V61" s="2027"/>
    </row>
    <row r="62" spans="1:22" ht="17.399999999999999">
      <c r="A62" s="1282" t="s">
        <v>338</v>
      </c>
      <c r="B62" s="1283"/>
      <c r="C62" s="1283"/>
      <c r="D62" s="1284"/>
      <c r="E62" s="1284"/>
      <c r="F62" s="1285"/>
      <c r="G62" s="1285"/>
      <c r="H62" s="1285"/>
      <c r="I62" s="1285"/>
      <c r="J62" s="2031"/>
      <c r="K62" s="2027"/>
      <c r="L62" s="2027"/>
      <c r="M62" s="2027"/>
      <c r="N62" s="2027"/>
      <c r="O62" s="2027"/>
      <c r="P62" s="2027"/>
      <c r="Q62" s="2027"/>
      <c r="R62" s="2027"/>
      <c r="S62" s="2027"/>
      <c r="T62" s="2027"/>
      <c r="U62" s="2027"/>
      <c r="V62" s="2027"/>
    </row>
    <row r="63" spans="1:22" ht="14.25" customHeight="1" thickBot="1">
      <c r="A63" s="3337" t="s">
        <v>339</v>
      </c>
      <c r="B63" s="3338"/>
      <c r="C63" s="3339"/>
      <c r="D63" s="340">
        <f ca="1">ROUND(C42*F63,0)</f>
        <v>5143</v>
      </c>
      <c r="E63" s="301" t="s">
        <v>340</v>
      </c>
      <c r="F63" s="341">
        <v>1</v>
      </c>
      <c r="G63" s="342" t="s">
        <v>341</v>
      </c>
      <c r="H63" s="310"/>
      <c r="I63" s="310"/>
      <c r="J63" s="2027"/>
      <c r="K63" s="2027"/>
      <c r="L63" s="2027"/>
      <c r="M63" s="2027"/>
      <c r="N63" s="2027"/>
      <c r="O63" s="2027"/>
      <c r="P63" s="310"/>
      <c r="Q63" s="2027"/>
      <c r="R63" s="2027"/>
      <c r="S63" s="2027"/>
      <c r="T63" s="2027"/>
      <c r="U63" s="2027"/>
      <c r="V63" s="2027"/>
    </row>
    <row r="64" spans="1:22" ht="14.25" customHeight="1">
      <c r="A64" s="3298" t="s">
        <v>343</v>
      </c>
      <c r="B64" s="3299"/>
      <c r="C64" s="3299"/>
      <c r="D64" s="3299"/>
      <c r="E64" s="3299"/>
      <c r="F64" s="3299"/>
      <c r="G64" s="3300"/>
      <c r="H64" s="1286"/>
      <c r="I64" s="946"/>
      <c r="J64" s="1989"/>
      <c r="K64" s="1559" t="s">
        <v>342</v>
      </c>
      <c r="L64" s="10"/>
      <c r="M64" s="10"/>
      <c r="N64" s="10"/>
      <c r="O64" s="10"/>
      <c r="P64" s="310"/>
      <c r="Q64" s="2027"/>
      <c r="R64" s="2027"/>
      <c r="S64" s="2027"/>
      <c r="T64" s="2027"/>
      <c r="U64" s="2027"/>
      <c r="V64" s="2027"/>
    </row>
    <row r="65" spans="1:22" ht="12" customHeight="1">
      <c r="A65" s="343" t="s">
        <v>345</v>
      </c>
      <c r="B65" s="344"/>
      <c r="C65" s="345"/>
      <c r="D65" s="346" t="s">
        <v>346</v>
      </c>
      <c r="E65" s="52" t="s">
        <v>347</v>
      </c>
      <c r="F65" s="347" t="s">
        <v>348</v>
      </c>
      <c r="G65" s="348" t="s">
        <v>349</v>
      </c>
      <c r="H65" s="1286"/>
      <c r="I65" s="946"/>
      <c r="J65" s="1989"/>
      <c r="K65" s="1287"/>
      <c r="L65" s="1288"/>
      <c r="M65" s="1288"/>
      <c r="N65" s="1320" t="s">
        <v>344</v>
      </c>
      <c r="O65" s="1321"/>
      <c r="P65" s="1322"/>
      <c r="Q65" s="2027"/>
      <c r="R65" s="2027"/>
      <c r="S65" s="2027"/>
      <c r="T65" s="2027"/>
      <c r="U65" s="2027"/>
      <c r="V65" s="2027"/>
    </row>
    <row r="66" spans="1:22" ht="26.4">
      <c r="A66" s="3294" t="s">
        <v>351</v>
      </c>
      <c r="B66" s="3295"/>
      <c r="C66" s="3295"/>
      <c r="D66" s="260">
        <f ca="1">IF(H66="情况1",0,IF(H66="情况2",D70,IF(H66="情况3",D71,IF(H66="情况4",D72))))</f>
        <v>274</v>
      </c>
      <c r="E66" s="991" t="str">
        <f>IF(H66="情况4","(销售额-原购置价)×税（费）率","销售额×税（费）率")</f>
        <v>销售额×税（费）率</v>
      </c>
      <c r="F66" s="349">
        <f>IF(H66="情况1","免征",'数据-取费表'!B41)</f>
        <v>5.6000000000000001E-2</v>
      </c>
      <c r="G66" s="350" t="s">
        <v>352</v>
      </c>
      <c r="H66" s="190" t="s">
        <v>353</v>
      </c>
      <c r="I66" s="1286"/>
      <c r="J66" s="2033"/>
      <c r="K66" s="1289">
        <v>1</v>
      </c>
      <c r="L66" s="3352" t="s">
        <v>350</v>
      </c>
      <c r="M66" s="3353"/>
      <c r="N66" s="2457"/>
      <c r="O66" s="2458"/>
      <c r="P66" s="2459"/>
      <c r="Q66" s="2027"/>
      <c r="R66" s="2027"/>
      <c r="S66" s="2027"/>
      <c r="T66" s="2027"/>
      <c r="U66" s="2027"/>
      <c r="V66" s="2027"/>
    </row>
    <row r="67" spans="1:22" ht="25.5" customHeight="1">
      <c r="A67" s="351" t="s">
        <v>355</v>
      </c>
      <c r="B67" s="3285" t="s">
        <v>356</v>
      </c>
      <c r="C67" s="3285"/>
      <c r="D67" s="352">
        <v>0</v>
      </c>
      <c r="E67" s="40" t="s">
        <v>357</v>
      </c>
      <c r="F67" s="61" t="s">
        <v>20</v>
      </c>
      <c r="G67" s="3340"/>
      <c r="H67" s="310"/>
      <c r="I67" s="1290"/>
      <c r="J67" s="2034"/>
      <c r="K67" s="1975">
        <v>2</v>
      </c>
      <c r="L67" s="3351" t="s">
        <v>354</v>
      </c>
      <c r="M67" s="3351"/>
      <c r="N67" s="1323">
        <f>'数据-取费表'!B2</f>
        <v>43458</v>
      </c>
      <c r="O67" s="1323"/>
      <c r="P67" s="1323"/>
      <c r="Q67" s="2027"/>
      <c r="R67" s="2027"/>
      <c r="S67" s="2027"/>
      <c r="T67" s="2027"/>
      <c r="U67" s="2027"/>
      <c r="V67" s="2027"/>
    </row>
    <row r="68" spans="1:22" ht="25.5" customHeight="1">
      <c r="A68" s="353"/>
      <c r="B68" s="3285" t="s">
        <v>359</v>
      </c>
      <c r="C68" s="3285"/>
      <c r="D68" s="354"/>
      <c r="E68" s="76"/>
      <c r="F68" s="355"/>
      <c r="G68" s="3341"/>
      <c r="H68" s="310"/>
      <c r="I68" s="1290"/>
      <c r="J68" s="2034"/>
      <c r="K68" s="1975">
        <v>3</v>
      </c>
      <c r="L68" s="3351" t="s">
        <v>358</v>
      </c>
      <c r="M68" s="3351"/>
      <c r="N68" s="1291">
        <f ca="1">C42</f>
        <v>5143</v>
      </c>
      <c r="O68" s="1291"/>
      <c r="P68" s="1291"/>
      <c r="Q68" s="2027"/>
      <c r="R68" s="2027"/>
      <c r="S68" s="2027"/>
      <c r="T68" s="2027"/>
      <c r="U68" s="2027"/>
      <c r="V68" s="2027"/>
    </row>
    <row r="69" spans="1:22" ht="12" customHeight="1">
      <c r="A69" s="356"/>
      <c r="B69" s="3285" t="s">
        <v>360</v>
      </c>
      <c r="C69" s="3285"/>
      <c r="D69" s="357"/>
      <c r="E69" s="72"/>
      <c r="F69" s="355"/>
      <c r="G69" s="3342"/>
      <c r="H69" s="310"/>
      <c r="I69" s="1290"/>
      <c r="J69" s="2034"/>
      <c r="K69" s="1292">
        <v>4</v>
      </c>
      <c r="L69" s="3356" t="s">
        <v>2845</v>
      </c>
      <c r="M69" s="3357"/>
      <c r="N69" s="1293">
        <f ca="1">C44</f>
        <v>5143</v>
      </c>
      <c r="O69" s="1293"/>
      <c r="P69" s="1293"/>
      <c r="Q69" s="2027"/>
      <c r="R69" s="2027"/>
      <c r="S69" s="2027"/>
      <c r="T69" s="2027"/>
      <c r="U69" s="2027"/>
      <c r="V69" s="2027"/>
    </row>
    <row r="70" spans="1:22" ht="24" customHeight="1">
      <c r="A70" s="358" t="s">
        <v>361</v>
      </c>
      <c r="B70" s="3285" t="s">
        <v>362</v>
      </c>
      <c r="C70" s="3285"/>
      <c r="D70" s="357">
        <f ca="1">ROUND(D63*'数据-取费表'!B41/(1+'数据-取费表'!C42),0)</f>
        <v>274</v>
      </c>
      <c r="E70" s="16" t="s">
        <v>363</v>
      </c>
      <c r="F70" s="359">
        <f>'数据-取费表'!B41</f>
        <v>5.6000000000000001E-2</v>
      </c>
      <c r="G70" s="360"/>
      <c r="H70" s="310"/>
      <c r="I70" s="1290"/>
      <c r="J70" s="2034"/>
      <c r="K70" s="3061"/>
      <c r="L70" s="3062"/>
      <c r="M70" s="3062"/>
      <c r="N70" s="3063" t="s">
        <v>2850</v>
      </c>
      <c r="O70" s="3062"/>
      <c r="P70" s="3064"/>
      <c r="Q70" s="2027"/>
      <c r="R70" s="2027"/>
      <c r="S70" s="2027"/>
      <c r="T70" s="2027"/>
      <c r="U70" s="2027"/>
      <c r="V70" s="2027"/>
    </row>
    <row r="71" spans="1:22" ht="12" customHeight="1">
      <c r="A71" s="358" t="s">
        <v>369</v>
      </c>
      <c r="B71" s="3286" t="s">
        <v>370</v>
      </c>
      <c r="C71" s="3287"/>
      <c r="D71" s="357">
        <f ca="1">ROUND(D63*'数据-取费表'!B41/(1+'数据-取费表'!C42),0)</f>
        <v>274</v>
      </c>
      <c r="E71" s="16" t="s">
        <v>363</v>
      </c>
      <c r="F71" s="359">
        <f>'数据-取费表'!B41</f>
        <v>5.6000000000000001E-2</v>
      </c>
      <c r="G71" s="360"/>
      <c r="H71" s="310"/>
      <c r="I71" s="1290"/>
      <c r="J71" s="2034"/>
      <c r="K71" s="3060" t="s">
        <v>364</v>
      </c>
      <c r="L71" s="3358" t="s">
        <v>365</v>
      </c>
      <c r="M71" s="3358"/>
      <c r="N71" s="3060" t="s">
        <v>366</v>
      </c>
      <c r="O71" s="3060" t="s">
        <v>367</v>
      </c>
      <c r="P71" s="3060" t="s">
        <v>368</v>
      </c>
      <c r="Q71" s="2027"/>
      <c r="R71" s="2027"/>
      <c r="S71" s="2027"/>
      <c r="T71" s="2027"/>
      <c r="U71" s="2027"/>
      <c r="V71" s="2027"/>
    </row>
    <row r="72" spans="1:22" ht="12" customHeight="1">
      <c r="A72" s="358" t="s">
        <v>372</v>
      </c>
      <c r="B72" s="3286" t="s">
        <v>373</v>
      </c>
      <c r="C72" s="3287"/>
      <c r="D72" s="357">
        <f ca="1">C86</f>
        <v>162</v>
      </c>
      <c r="E72" s="72" t="s">
        <v>374</v>
      </c>
      <c r="F72" s="359">
        <f>'数据-取费表'!B41</f>
        <v>5.6000000000000001E-2</v>
      </c>
      <c r="G72" s="360"/>
      <c r="H72" s="1296"/>
      <c r="I72" s="1290"/>
      <c r="J72" s="2034"/>
      <c r="K72" s="1975">
        <v>1</v>
      </c>
      <c r="L72" s="3333" t="s">
        <v>371</v>
      </c>
      <c r="M72" s="3333"/>
      <c r="N72" s="1294">
        <f ca="1">D66</f>
        <v>274</v>
      </c>
      <c r="O72" s="1858" t="str">
        <f>E66</f>
        <v>销售额×税（费）率</v>
      </c>
      <c r="P72" s="1295">
        <f>F66</f>
        <v>5.6000000000000001E-2</v>
      </c>
      <c r="Q72" s="2027"/>
      <c r="R72" s="2027"/>
      <c r="S72" s="2027"/>
      <c r="T72" s="2027"/>
      <c r="U72" s="2027"/>
      <c r="V72" s="2027"/>
    </row>
    <row r="73" spans="1:22" ht="24" customHeight="1">
      <c r="A73" s="3327" t="s">
        <v>376</v>
      </c>
      <c r="B73" s="3295"/>
      <c r="C73" s="3295"/>
      <c r="D73" s="361">
        <f>IF(H73="个人住宅",0,ROUND(D63*I73,0))</f>
        <v>0</v>
      </c>
      <c r="E73" s="16" t="s">
        <v>377</v>
      </c>
      <c r="F73" s="359" t="str">
        <f>IF(H73="正常",I73,"免征")</f>
        <v>免征</v>
      </c>
      <c r="G73" s="360"/>
      <c r="H73" s="190" t="s">
        <v>2417</v>
      </c>
      <c r="I73" s="359">
        <f>'数据-取费表'!B49</f>
        <v>5.0000000000000001E-4</v>
      </c>
      <c r="J73" s="2034"/>
      <c r="K73" s="1975">
        <v>2</v>
      </c>
      <c r="L73" s="3333" t="s">
        <v>375</v>
      </c>
      <c r="M73" s="3333"/>
      <c r="N73" s="1294">
        <f t="shared" ref="N73:P74" si="1">D73</f>
        <v>0</v>
      </c>
      <c r="O73" s="1858" t="str">
        <f t="shared" si="1"/>
        <v>销售额×税（费）率</v>
      </c>
      <c r="P73" s="1295" t="str">
        <f t="shared" si="1"/>
        <v>免征</v>
      </c>
      <c r="Q73" s="2027"/>
      <c r="R73" s="2027"/>
      <c r="S73" s="2027"/>
      <c r="T73" s="2027"/>
      <c r="U73" s="2027"/>
      <c r="V73" s="2027"/>
    </row>
    <row r="74" spans="1:22" ht="25.2">
      <c r="A74" s="3327" t="s">
        <v>380</v>
      </c>
      <c r="B74" s="3295"/>
      <c r="C74" s="3295"/>
      <c r="D74" s="361">
        <f ca="1">IF(H74="个人住宅",D75,D76)</f>
        <v>2911</v>
      </c>
      <c r="E74" s="16" t="s">
        <v>381</v>
      </c>
      <c r="F74" s="359" t="str">
        <f>IF(H74="正常",F76,"免征")</f>
        <v>——</v>
      </c>
      <c r="G74" s="981" t="s">
        <v>382</v>
      </c>
      <c r="H74" s="362" t="s">
        <v>378</v>
      </c>
      <c r="I74" s="41"/>
      <c r="J74" s="2034"/>
      <c r="K74" s="1975">
        <v>3</v>
      </c>
      <c r="L74" s="3333" t="s">
        <v>379</v>
      </c>
      <c r="M74" s="3333"/>
      <c r="N74" s="1294">
        <f t="shared" ca="1" si="1"/>
        <v>2911</v>
      </c>
      <c r="O74" s="1858" t="str">
        <f t="shared" si="1"/>
        <v>增值额×税（费）率</v>
      </c>
      <c r="P74" s="1297" t="str">
        <f t="shared" si="1"/>
        <v>——</v>
      </c>
      <c r="Q74" s="2027"/>
      <c r="R74" s="2027"/>
      <c r="S74" s="2027"/>
      <c r="T74" s="2027"/>
      <c r="U74" s="2027"/>
      <c r="V74" s="2027"/>
    </row>
    <row r="75" spans="1:22" ht="24">
      <c r="A75" s="358" t="s">
        <v>383</v>
      </c>
      <c r="B75" s="3283" t="s">
        <v>384</v>
      </c>
      <c r="C75" s="3313"/>
      <c r="D75" s="363">
        <v>0</v>
      </c>
      <c r="E75" s="40" t="s">
        <v>385</v>
      </c>
      <c r="F75" s="364"/>
      <c r="G75" s="360"/>
      <c r="H75" s="41"/>
      <c r="I75" s="41"/>
      <c r="J75" s="2034"/>
      <c r="K75" s="3053">
        <f>IF(H77="非个人房产","",4)</f>
        <v>4</v>
      </c>
      <c r="L75" s="3333" t="str">
        <f>IF(H77="非个人房产","——","个人所得税")</f>
        <v>个人所得税</v>
      </c>
      <c r="M75" s="3333"/>
      <c r="N75" s="1298">
        <f ca="1">D77</f>
        <v>51</v>
      </c>
      <c r="O75" s="1871" t="str">
        <f>E77</f>
        <v>销售额×税（费）率</v>
      </c>
      <c r="P75" s="1299">
        <f>F77</f>
        <v>0.01</v>
      </c>
      <c r="Q75" s="2027"/>
      <c r="R75" s="2027"/>
      <c r="S75" s="2027"/>
      <c r="T75" s="2027"/>
      <c r="U75" s="2027"/>
      <c r="V75" s="2027"/>
    </row>
    <row r="76" spans="1:22" ht="25.2">
      <c r="A76" s="358" t="s">
        <v>361</v>
      </c>
      <c r="B76" s="3283" t="s">
        <v>387</v>
      </c>
      <c r="C76" s="3284"/>
      <c r="D76" s="361">
        <f ca="1">IF(H76="转让取得",C99,C115)</f>
        <v>2911</v>
      </c>
      <c r="E76" s="16" t="s">
        <v>388</v>
      </c>
      <c r="F76" s="52" t="s">
        <v>20</v>
      </c>
      <c r="G76" s="360"/>
      <c r="H76" s="362" t="s">
        <v>389</v>
      </c>
      <c r="I76" s="41"/>
      <c r="J76" s="2034"/>
      <c r="K76" s="3053" t="str">
        <f>IF(项目基本情况!K6="上海银行",IF(K75="",4,K75+1),"")</f>
        <v/>
      </c>
      <c r="L76" s="3344" t="str">
        <f>IF(项目基本情况!K6="上海银行","其他处置费用","")</f>
        <v/>
      </c>
      <c r="M76" s="3345"/>
      <c r="N76" s="1294" t="str">
        <f>IF(项目基本情况!K6="上海银行",N89,"")</f>
        <v/>
      </c>
      <c r="O76" s="3346" t="str">
        <f>IF(项目基本情况!K6="上海银行","包含处置中涉及的律师、诉讼、拍卖、评估等费用","")</f>
        <v/>
      </c>
      <c r="P76" s="3347"/>
      <c r="Q76" s="2027"/>
      <c r="R76" s="2027"/>
      <c r="S76" s="2027"/>
      <c r="T76" s="2027"/>
      <c r="U76" s="2027"/>
      <c r="V76" s="2027"/>
    </row>
    <row r="77" spans="1:22" ht="27" thickBot="1">
      <c r="A77" s="3335" t="s">
        <v>391</v>
      </c>
      <c r="B77" s="3336"/>
      <c r="C77" s="3336"/>
      <c r="D77" s="365">
        <f ca="1">IF(H77="非个人房产","——",IF(H77="个人住宅",0,ROUND(D63*I77,0)))</f>
        <v>51</v>
      </c>
      <c r="E77" s="366" t="str">
        <f>IF(H77="非个人房产","——","销售额×税（费）率")</f>
        <v>销售额×税（费）率</v>
      </c>
      <c r="F77" s="367">
        <f>IF(H77="非个人房产","——",IF(H77="个人住宅","免征",I77))</f>
        <v>0.01</v>
      </c>
      <c r="G77" s="982" t="s">
        <v>382</v>
      </c>
      <c r="H77" s="362" t="s">
        <v>2846</v>
      </c>
      <c r="I77" s="368">
        <v>0.01</v>
      </c>
      <c r="J77" s="2034"/>
      <c r="K77" s="3334">
        <f>IF(AND(K75="",K76=""),4,IF(项目基本情况!K6="上海银行",K76+1,K75+1))</f>
        <v>5</v>
      </c>
      <c r="L77" s="3333" t="s">
        <v>2847</v>
      </c>
      <c r="M77" s="3059" t="s">
        <v>386</v>
      </c>
      <c r="N77" s="1300"/>
      <c r="O77" s="1301">
        <f ca="1">SUMIF(N72:N76,"&lt;9e307")</f>
        <v>3236</v>
      </c>
      <c r="P77" s="1302"/>
      <c r="Q77" s="3057">
        <f ca="1">O77/N69</f>
        <v>0.62920474431265794</v>
      </c>
      <c r="R77" s="2027"/>
      <c r="S77" s="2027"/>
      <c r="T77" s="2027"/>
      <c r="U77" s="2027"/>
      <c r="V77" s="2027"/>
    </row>
    <row r="78" spans="1:22" ht="12" customHeight="1">
      <c r="A78" s="1303"/>
      <c r="B78" s="310"/>
      <c r="C78" s="310"/>
      <c r="D78" s="310"/>
      <c r="E78" s="41"/>
      <c r="F78" s="41"/>
      <c r="G78" s="41"/>
      <c r="H78" s="1001"/>
      <c r="I78" s="310"/>
      <c r="J78" s="2034"/>
      <c r="K78" s="3334"/>
      <c r="L78" s="3333"/>
      <c r="M78" s="3059" t="s">
        <v>390</v>
      </c>
      <c r="N78" s="1300"/>
      <c r="O78" s="1301" t="str">
        <f ca="1">NUMBERSTRING(INT(O77*10000),2)&amp;"元整"</f>
        <v>叁仟贰佰叁拾陆万元整</v>
      </c>
      <c r="P78" s="1302"/>
      <c r="Q78" s="2027"/>
      <c r="R78" s="2027"/>
      <c r="S78" s="2027"/>
      <c r="T78" s="2027"/>
      <c r="U78" s="2027"/>
      <c r="V78" s="2027"/>
    </row>
    <row r="79" spans="1:22" ht="13.8" thickBot="1">
      <c r="A79" s="3328" t="s">
        <v>392</v>
      </c>
      <c r="B79" s="3328"/>
      <c r="C79" s="3328"/>
      <c r="D79" s="3328"/>
      <c r="E79" s="3328"/>
      <c r="F79" s="41"/>
      <c r="G79" s="41"/>
      <c r="H79" s="1001"/>
      <c r="I79" s="310"/>
      <c r="J79" s="2034"/>
      <c r="K79" s="3354">
        <f>K77+1</f>
        <v>6</v>
      </c>
      <c r="L79" s="3333" t="s">
        <v>2848</v>
      </c>
      <c r="M79" s="3059" t="s">
        <v>386</v>
      </c>
      <c r="N79" s="1300"/>
      <c r="O79" s="1301">
        <f ca="1">N69-O77</f>
        <v>1907</v>
      </c>
      <c r="P79" s="1302"/>
      <c r="Q79" s="2027"/>
      <c r="R79" s="2027"/>
      <c r="S79" s="2027"/>
      <c r="T79" s="2027"/>
      <c r="U79" s="2027"/>
      <c r="V79" s="2027"/>
    </row>
    <row r="80" spans="1:22" ht="26.4">
      <c r="A80" s="3323" t="s">
        <v>393</v>
      </c>
      <c r="B80" s="3324"/>
      <c r="C80" s="992"/>
      <c r="D80" s="992" t="s">
        <v>394</v>
      </c>
      <c r="E80" s="369" t="s">
        <v>395</v>
      </c>
      <c r="F80" s="41"/>
      <c r="G80" s="41"/>
      <c r="H80" s="1001"/>
      <c r="I80" s="310"/>
      <c r="J80" s="2027"/>
      <c r="K80" s="3355"/>
      <c r="L80" s="3333"/>
      <c r="M80" s="3059" t="s">
        <v>390</v>
      </c>
      <c r="N80" s="1300"/>
      <c r="O80" s="1301" t="str">
        <f ca="1">NUMBERSTRING(INT(O79*10000),2)&amp;"元整"</f>
        <v>壹仟玖佰零柒万元整</v>
      </c>
      <c r="P80" s="1302"/>
      <c r="Q80" s="2027"/>
      <c r="R80" s="2027"/>
      <c r="S80" s="2027"/>
      <c r="T80" s="2027"/>
      <c r="U80" s="2027"/>
      <c r="V80" s="2027"/>
    </row>
    <row r="81" spans="1:26" ht="13.8" thickBot="1">
      <c r="A81" s="380" t="s">
        <v>1785</v>
      </c>
      <c r="B81" s="370" t="s">
        <v>396</v>
      </c>
      <c r="C81" s="371">
        <f ca="1">ROUND((C82+C83)/(1+'数据-取费表'!C42),0)</f>
        <v>4898</v>
      </c>
      <c r="D81" s="372"/>
      <c r="E81" s="373"/>
      <c r="F81" s="41"/>
      <c r="G81" s="41"/>
      <c r="H81" s="1001"/>
      <c r="I81" s="310"/>
      <c r="J81" s="2027"/>
      <c r="K81" s="3053">
        <f>K79+1</f>
        <v>7</v>
      </c>
      <c r="L81" s="3331" t="s">
        <v>2849</v>
      </c>
      <c r="M81" s="3332"/>
      <c r="N81" s="1304"/>
      <c r="O81" s="1305">
        <f ca="1">ROUND(O79*10000/'数据-汇总表'!E3,0)</f>
        <v>889</v>
      </c>
      <c r="P81" s="1306"/>
      <c r="Q81" s="2027"/>
      <c r="R81" s="2027"/>
      <c r="S81" s="2027"/>
      <c r="T81" s="2027"/>
      <c r="U81" s="2027"/>
      <c r="V81" s="2027"/>
    </row>
    <row r="82" spans="1:26" ht="13.8" thickTop="1">
      <c r="A82" s="374" t="s">
        <v>1786</v>
      </c>
      <c r="B82" s="375" t="s">
        <v>397</v>
      </c>
      <c r="C82" s="376">
        <f ca="1">D63</f>
        <v>5143</v>
      </c>
      <c r="D82" s="377" t="s">
        <v>18</v>
      </c>
      <c r="E82" s="378"/>
      <c r="F82" s="41"/>
      <c r="G82" s="41"/>
      <c r="H82" s="1001"/>
      <c r="I82" s="310"/>
      <c r="J82" s="2027"/>
      <c r="K82" s="2027"/>
      <c r="L82" s="2027"/>
      <c r="M82" s="2027"/>
      <c r="N82" s="2027"/>
      <c r="O82" s="2027"/>
      <c r="P82" s="2027"/>
      <c r="Q82" s="2027"/>
      <c r="R82" s="2027"/>
      <c r="S82" s="2027"/>
      <c r="T82" s="2027"/>
      <c r="U82" s="2027"/>
      <c r="V82" s="2027"/>
    </row>
    <row r="83" spans="1:26" ht="13.2">
      <c r="A83" s="374" t="s">
        <v>1787</v>
      </c>
      <c r="B83" s="375" t="s">
        <v>398</v>
      </c>
      <c r="C83" s="379">
        <v>0</v>
      </c>
      <c r="D83" s="377"/>
      <c r="E83" s="378"/>
      <c r="F83" s="41"/>
      <c r="G83" s="41"/>
      <c r="H83" s="1001"/>
      <c r="I83" s="310"/>
      <c r="J83" s="2027"/>
      <c r="K83" s="3343" t="s">
        <v>2836</v>
      </c>
      <c r="L83" s="3065" t="s">
        <v>2837</v>
      </c>
      <c r="M83" s="3055">
        <f ca="1">IF(N69&gt;10000,N69*0.5%,IF(AND(N69&gt;1000,N69&lt;=10000),N69*1%,IF(AND(N69&gt;100,N69&lt;=1000),N69*3%,IF(AND(N69&gt;10,N69&lt;=100),N69*5%,N69*8%))))</f>
        <v>51.43</v>
      </c>
      <c r="N83" s="52">
        <f ca="1">ROUND(M83,1)</f>
        <v>51.4</v>
      </c>
      <c r="O83" s="3058"/>
      <c r="P83" s="2027"/>
      <c r="Q83" s="2027"/>
      <c r="R83" s="2027"/>
      <c r="S83" s="2027"/>
      <c r="T83" s="2027"/>
      <c r="U83" s="2027"/>
      <c r="V83" s="2027"/>
    </row>
    <row r="84" spans="1:26" ht="25.2">
      <c r="A84" s="380" t="s">
        <v>1788</v>
      </c>
      <c r="B84" s="381" t="s">
        <v>399</v>
      </c>
      <c r="C84" s="382">
        <v>2000</v>
      </c>
      <c r="D84" s="383" t="s">
        <v>18</v>
      </c>
      <c r="E84" s="3100" t="s">
        <v>2902</v>
      </c>
      <c r="F84" s="41"/>
      <c r="G84" s="41"/>
      <c r="H84" s="1001"/>
      <c r="I84" s="310"/>
      <c r="J84" s="2027"/>
      <c r="K84" s="3343"/>
      <c r="L84" s="3065" t="s">
        <v>2838</v>
      </c>
      <c r="M84" s="3055">
        <f ca="1">IF(N69&gt;2000,N69*0.5%,IF(AND(N69&gt;1000,N69&lt;=2000),N69*0.6%,IF(AND(N69&gt;500,N69&lt;=1000),N69*0.7%,IF(AND(N69&gt;200,N69&lt;=500),N69*0.8%,IF(AND(N69&gt;100,N69&lt;=200),N69*0.9%,IF(AND(N69&gt;50,N69&lt;=100),N69*1%,IF(AND(N69&gt;20,N69&lt;=50),N69*1.5%,IF(AND(N69&gt;10,N69&lt;=20),N69*2%,IF(AND(N69&gt;1,N69&lt;=10),N69*2.5%)))))))))</f>
        <v>25.715</v>
      </c>
      <c r="N84" s="52">
        <f t="shared" ref="N84:N85" ca="1" si="2">ROUND(M84,1)</f>
        <v>25.7</v>
      </c>
      <c r="O84" s="2027" t="s">
        <v>2839</v>
      </c>
      <c r="P84" s="2027"/>
      <c r="Q84" s="2027"/>
      <c r="R84" s="2027"/>
      <c r="S84" s="2027"/>
      <c r="T84" s="2027"/>
      <c r="U84" s="2027"/>
      <c r="V84" s="2027"/>
    </row>
    <row r="85" spans="1:26" ht="13.2">
      <c r="A85" s="380" t="s">
        <v>1789</v>
      </c>
      <c r="B85" s="381" t="s">
        <v>400</v>
      </c>
      <c r="C85" s="384">
        <f ca="1">C81-C84</f>
        <v>2898</v>
      </c>
      <c r="D85" s="377" t="s">
        <v>18</v>
      </c>
      <c r="E85" s="378"/>
      <c r="F85" s="41"/>
      <c r="G85" s="41"/>
      <c r="H85" s="1001"/>
      <c r="I85" s="310"/>
      <c r="J85" s="2027"/>
      <c r="K85" s="3343"/>
      <c r="L85" s="3065" t="s">
        <v>2840</v>
      </c>
      <c r="M85" s="3055">
        <f ca="1">IF(N69&gt;1000,N69*0.1%,IF(AND(N69&gt;500,N69&lt;=1000),N69*0.5%,IF(AND(N69&gt;50,N69&lt;=500),N69*1%,IF(AND(N69&gt;1,N69&lt;=50),N69*1.5%))))</f>
        <v>5.1429999999999998</v>
      </c>
      <c r="N85" s="52">
        <f t="shared" ca="1" si="2"/>
        <v>5.0999999999999996</v>
      </c>
      <c r="O85" s="2027" t="s">
        <v>2839</v>
      </c>
      <c r="P85" s="2027"/>
      <c r="Q85" s="2027"/>
      <c r="R85" s="2027"/>
      <c r="S85" s="2027"/>
      <c r="T85" s="2027"/>
      <c r="U85" s="2027"/>
      <c r="V85" s="2027"/>
    </row>
    <row r="86" spans="1:26" ht="13.8" thickBot="1">
      <c r="A86" s="385" t="s">
        <v>1790</v>
      </c>
      <c r="B86" s="386" t="s">
        <v>401</v>
      </c>
      <c r="C86" s="387">
        <f ca="1">IF(C85&lt;=0,0,ROUND(C85*D86,0))</f>
        <v>162</v>
      </c>
      <c r="D86" s="388">
        <f>'数据-取费表'!B41</f>
        <v>5.6000000000000001E-2</v>
      </c>
      <c r="E86" s="389"/>
      <c r="F86" s="41"/>
      <c r="G86" s="41"/>
      <c r="H86" s="1001"/>
      <c r="I86" s="310"/>
      <c r="J86" s="2027"/>
      <c r="K86" s="3343"/>
      <c r="L86" s="3065" t="s">
        <v>2841</v>
      </c>
      <c r="M86" s="3055">
        <f ca="1">N69*0.5%</f>
        <v>25.715</v>
      </c>
      <c r="N86" s="52">
        <f ca="1">IF(M86&gt;0.5,0.5,ROUND(M86,0))</f>
        <v>0.5</v>
      </c>
      <c r="O86" s="2027" t="s">
        <v>2842</v>
      </c>
      <c r="P86" s="2027"/>
      <c r="Q86" s="2027"/>
      <c r="R86" s="2027"/>
      <c r="S86" s="2027"/>
      <c r="T86" s="2027"/>
      <c r="U86" s="2027"/>
      <c r="V86" s="2027"/>
    </row>
    <row r="87" spans="1:26" s="1252" customFormat="1" ht="14.25" customHeight="1">
      <c r="A87" s="1307"/>
      <c r="B87" s="1308"/>
      <c r="C87" s="1309"/>
      <c r="D87" s="1310"/>
      <c r="E87" s="1311"/>
      <c r="F87" s="41"/>
      <c r="G87" s="41"/>
      <c r="H87" s="1001"/>
      <c r="I87" s="310"/>
      <c r="J87" s="2027"/>
      <c r="K87" s="3343"/>
      <c r="L87" s="3065" t="s">
        <v>2843</v>
      </c>
      <c r="M87" s="3055">
        <f ca="1">IF(N69&gt;=10000,(8.25+(N69-10000)*0.01%),IF(AND(N69&gt;=8000,N69&lt;10000),(7.85+(N69-8000)*0.02%),IF(AND(N69&gt;=5000,N69&lt;8000),(6.65+(N69-5000)*0.04%),IF(AND(N69&gt;=2000,N69&lt;5000),(4.25+(PN69-2000)*0.08%),IF(AND(N69&gt;=1000,N69&lt;2000),(2.75+(N69-1000)*0.15%),IF(AND(N69&gt;=100,N69&lt;1000),(0.5+(N69-100)*0.25%),IF(AND(N69&gt;0,N69&lt;100),N69*0.5%)))))))</f>
        <v>6.7072000000000003</v>
      </c>
      <c r="N87" s="52">
        <f ca="1">ROUND(M87*0.9,1)</f>
        <v>6</v>
      </c>
      <c r="O87" s="3058"/>
      <c r="P87" s="310"/>
      <c r="Q87" s="2027"/>
      <c r="R87" s="2027"/>
      <c r="S87" s="2027"/>
      <c r="T87" s="2027"/>
      <c r="U87" s="2027"/>
      <c r="V87" s="2027"/>
      <c r="W87" s="291"/>
      <c r="X87" s="291"/>
      <c r="Y87" s="291"/>
      <c r="Z87" s="291"/>
    </row>
    <row r="88" spans="1:26" s="1312" customFormat="1" ht="14.4" thickBot="1">
      <c r="A88" s="3325" t="s">
        <v>402</v>
      </c>
      <c r="B88" s="3326"/>
      <c r="C88" s="3326"/>
      <c r="D88" s="3326"/>
      <c r="E88" s="3326"/>
      <c r="F88" s="3326"/>
      <c r="G88" s="3326"/>
      <c r="H88" s="3326"/>
      <c r="I88" s="1313"/>
      <c r="J88" s="2035"/>
      <c r="K88" s="3343"/>
      <c r="L88" s="3065" t="s">
        <v>2844</v>
      </c>
      <c r="M88" s="3055">
        <f ca="1">IF(N69&gt;10000,N69*0.5%,IF(AND(N69&gt;5000,N69&lt;=10000),N69*1%,IF(AND(N69&gt;1000,N69&lt;=5000),N69*2%,IF(AND(N69&gt;200,N69&lt;=1000),N69*3%,N69*5%))))</f>
        <v>51.43</v>
      </c>
      <c r="N88" s="52">
        <f ca="1">ROUND(M88,1)</f>
        <v>51.4</v>
      </c>
      <c r="O88" s="3058"/>
      <c r="P88" s="10"/>
      <c r="Q88" s="2032"/>
      <c r="R88" s="2032"/>
      <c r="S88" s="2032"/>
      <c r="T88" s="2032"/>
      <c r="U88" s="2032"/>
      <c r="V88" s="2032"/>
      <c r="W88" s="2036"/>
      <c r="X88" s="2036"/>
      <c r="Y88" s="2036"/>
      <c r="Z88" s="2036"/>
    </row>
    <row r="89" spans="1:26" s="1312" customFormat="1" ht="13.8">
      <c r="A89" s="3323" t="s">
        <v>393</v>
      </c>
      <c r="B89" s="3324"/>
      <c r="C89" s="992"/>
      <c r="D89" s="992" t="s">
        <v>394</v>
      </c>
      <c r="E89" s="390" t="s">
        <v>403</v>
      </c>
      <c r="F89" s="391"/>
      <c r="G89" s="391"/>
      <c r="H89" s="392"/>
      <c r="I89" s="1314"/>
      <c r="J89" s="2037"/>
      <c r="K89" s="3343"/>
      <c r="L89" s="3065" t="s">
        <v>26</v>
      </c>
      <c r="M89" s="3056"/>
      <c r="N89" s="52">
        <f ca="1">ROUND(SUM(N83:N88),0)</f>
        <v>140</v>
      </c>
      <c r="O89" s="3066">
        <f ca="1">N89/N69</f>
        <v>2.7221466070386932E-2</v>
      </c>
      <c r="P89" s="2032"/>
      <c r="Q89" s="2032"/>
      <c r="R89" s="2032"/>
      <c r="S89" s="2032"/>
      <c r="T89" s="2032"/>
      <c r="U89" s="2032"/>
      <c r="V89" s="2032"/>
      <c r="W89" s="2036"/>
      <c r="X89" s="2036"/>
      <c r="Y89" s="2036"/>
      <c r="Z89" s="2036"/>
    </row>
    <row r="90" spans="1:26" s="1312" customFormat="1" ht="13.8">
      <c r="A90" s="380" t="s">
        <v>1785</v>
      </c>
      <c r="B90" s="381" t="s">
        <v>404</v>
      </c>
      <c r="C90" s="384">
        <f ca="1">ROUND(D63/(1+'数据-取费表'!C42),0)</f>
        <v>4898</v>
      </c>
      <c r="D90" s="377" t="s">
        <v>18</v>
      </c>
      <c r="E90" s="989"/>
      <c r="F90" s="988"/>
      <c r="G90" s="988"/>
      <c r="H90" s="393"/>
      <c r="I90" s="1314"/>
      <c r="J90" s="2037"/>
      <c r="K90" s="2032"/>
      <c r="L90" s="2032"/>
      <c r="M90" s="2032"/>
      <c r="N90" s="2032"/>
      <c r="O90" s="2032"/>
      <c r="P90" s="2032"/>
      <c r="Q90" s="2032"/>
      <c r="R90" s="2032"/>
      <c r="S90" s="2032"/>
      <c r="T90" s="2032"/>
      <c r="U90" s="2032"/>
      <c r="V90" s="2032"/>
      <c r="W90" s="2036"/>
      <c r="X90" s="2036"/>
      <c r="Y90" s="2036"/>
      <c r="Z90" s="2036"/>
    </row>
    <row r="91" spans="1:26" s="1312" customFormat="1" ht="13.8">
      <c r="A91" s="380" t="s">
        <v>1791</v>
      </c>
      <c r="B91" s="347" t="s">
        <v>405</v>
      </c>
      <c r="C91" s="384">
        <f ca="1">C92+C96</f>
        <v>2590</v>
      </c>
      <c r="D91" s="377" t="s">
        <v>18</v>
      </c>
      <c r="E91" s="989"/>
      <c r="F91" s="988"/>
      <c r="G91" s="988"/>
      <c r="H91" s="393"/>
      <c r="I91" s="1314"/>
      <c r="J91" s="2037"/>
      <c r="K91" s="2032"/>
      <c r="L91" s="2032"/>
      <c r="M91" s="2032"/>
      <c r="N91" s="2032"/>
      <c r="O91" s="2032"/>
      <c r="P91" s="2032"/>
      <c r="Q91" s="2032"/>
      <c r="R91" s="2032"/>
      <c r="S91" s="2032"/>
      <c r="T91" s="2032"/>
      <c r="U91" s="2032"/>
      <c r="V91" s="2032"/>
      <c r="W91" s="2036"/>
      <c r="X91" s="2036"/>
      <c r="Y91" s="2036"/>
      <c r="Z91" s="2036"/>
    </row>
    <row r="92" spans="1:26" s="1312" customFormat="1" ht="24">
      <c r="A92" s="394" t="s">
        <v>1792</v>
      </c>
      <c r="B92" s="375" t="s">
        <v>406</v>
      </c>
      <c r="C92" s="377">
        <f>ROUND(IF(G95="2016年5月1日后购买",C93/(1+'数据-取费表'!C30)+C94+C95,C93+C94+C95),0)</f>
        <v>2561</v>
      </c>
      <c r="D92" s="377" t="s">
        <v>18</v>
      </c>
      <c r="E92" s="989"/>
      <c r="F92" s="988"/>
      <c r="G92" s="988"/>
      <c r="H92" s="393"/>
      <c r="I92" s="1314"/>
      <c r="J92" s="2037"/>
      <c r="K92" s="2032"/>
      <c r="L92" s="2032"/>
      <c r="M92" s="2032"/>
      <c r="N92" s="2032"/>
      <c r="O92" s="2032"/>
      <c r="P92" s="2032"/>
      <c r="Q92" s="2032"/>
      <c r="R92" s="2032"/>
      <c r="S92" s="2032"/>
      <c r="T92" s="2032"/>
      <c r="U92" s="2032"/>
      <c r="V92" s="2032"/>
      <c r="W92" s="2036"/>
      <c r="X92" s="2036"/>
      <c r="Y92" s="2036"/>
      <c r="Z92" s="2036"/>
    </row>
    <row r="93" spans="1:26" s="1312" customFormat="1" ht="14.4">
      <c r="A93" s="394" t="s">
        <v>1793</v>
      </c>
      <c r="B93" s="375" t="s">
        <v>407</v>
      </c>
      <c r="C93" s="395">
        <v>2000</v>
      </c>
      <c r="D93" s="377" t="s">
        <v>18</v>
      </c>
      <c r="E93" s="396" t="s">
        <v>408</v>
      </c>
      <c r="F93" s="397" t="s">
        <v>409</v>
      </c>
      <c r="G93" s="396" t="s">
        <v>410</v>
      </c>
      <c r="H93" s="398">
        <v>5</v>
      </c>
      <c r="I93" s="10"/>
      <c r="J93" s="2032"/>
      <c r="K93" s="2032"/>
      <c r="L93" s="2032"/>
      <c r="M93" s="2032"/>
      <c r="N93" s="2032"/>
      <c r="O93" s="2032"/>
      <c r="P93" s="2032"/>
      <c r="Q93" s="2032"/>
      <c r="R93" s="2032"/>
      <c r="S93" s="2032"/>
      <c r="T93" s="2032"/>
      <c r="U93" s="2032"/>
      <c r="V93" s="2032"/>
      <c r="W93" s="2036"/>
      <c r="X93" s="2036"/>
      <c r="Y93" s="2036"/>
      <c r="Z93" s="2036"/>
    </row>
    <row r="94" spans="1:26" s="1312" customFormat="1" ht="24.75" customHeight="1">
      <c r="A94" s="394" t="s">
        <v>1794</v>
      </c>
      <c r="B94" s="399" t="s">
        <v>411</v>
      </c>
      <c r="C94" s="377">
        <f>IF(F93="购房发票",ROUND(C93*H93*5%,0),0)</f>
        <v>500</v>
      </c>
      <c r="D94" s="400">
        <v>0.05</v>
      </c>
      <c r="E94" s="3286" t="s">
        <v>412</v>
      </c>
      <c r="F94" s="3285"/>
      <c r="G94" s="3285"/>
      <c r="H94" s="3322"/>
      <c r="I94" s="1314"/>
      <c r="J94" s="2037"/>
      <c r="K94" s="2032"/>
      <c r="L94" s="2032"/>
      <c r="M94" s="2032"/>
      <c r="N94" s="2032"/>
      <c r="O94" s="2032"/>
      <c r="P94" s="2032"/>
      <c r="Q94" s="2032"/>
      <c r="R94" s="2032"/>
      <c r="S94" s="2032"/>
      <c r="T94" s="2032"/>
      <c r="U94" s="2032"/>
      <c r="V94" s="2032"/>
      <c r="W94" s="2036"/>
      <c r="X94" s="2036"/>
      <c r="Y94" s="2036"/>
      <c r="Z94" s="2036"/>
    </row>
    <row r="95" spans="1:26" s="1312" customFormat="1" ht="24.75" customHeight="1">
      <c r="A95" s="394" t="s">
        <v>1795</v>
      </c>
      <c r="B95" s="375" t="s">
        <v>413</v>
      </c>
      <c r="C95" s="377">
        <f>ROUND(IF(G95="个人买卖住房",0,IF(G95="2016年5月1日前购买",C93*D95,C93*D95/(1+'数据-取费表'!C42))),0)</f>
        <v>61</v>
      </c>
      <c r="D95" s="401">
        <f>'数据-取费表'!B48+'数据-取费表'!B49</f>
        <v>3.0499999999999999E-2</v>
      </c>
      <c r="E95" s="25" t="s">
        <v>414</v>
      </c>
      <c r="F95" s="402"/>
      <c r="G95" s="403" t="s">
        <v>2391</v>
      </c>
      <c r="H95" s="997" t="str">
        <f>IF(G95="个人买卖住房","免征印花税"," ")</f>
        <v xml:space="preserve"> </v>
      </c>
      <c r="I95" s="1314"/>
      <c r="J95" s="2037"/>
      <c r="K95" s="2032"/>
      <c r="L95" s="2032"/>
      <c r="M95" s="2032"/>
      <c r="N95" s="2032"/>
      <c r="O95" s="2032"/>
      <c r="P95" s="2032"/>
      <c r="Q95" s="2032"/>
      <c r="R95" s="2032"/>
      <c r="S95" s="2032"/>
      <c r="T95" s="2032"/>
      <c r="U95" s="2032"/>
      <c r="V95" s="2032"/>
      <c r="W95" s="2036"/>
      <c r="X95" s="2036"/>
      <c r="Y95" s="2036"/>
      <c r="Z95" s="2036"/>
    </row>
    <row r="96" spans="1:26" s="1312" customFormat="1" ht="24.75" customHeight="1">
      <c r="A96" s="394" t="s">
        <v>1796</v>
      </c>
      <c r="B96" s="375" t="s">
        <v>415</v>
      </c>
      <c r="C96" s="404">
        <f ca="1">ROUND(D63*D96/(1+'数据-取费表'!C42),0)</f>
        <v>29</v>
      </c>
      <c r="D96" s="405">
        <f>'数据-取费表'!B43</f>
        <v>6.000000000000001E-3</v>
      </c>
      <c r="E96" s="3314" t="s">
        <v>2390</v>
      </c>
      <c r="F96" s="3315"/>
      <c r="G96" s="3315"/>
      <c r="H96" s="3316"/>
      <c r="I96" s="1315"/>
      <c r="J96" s="2038"/>
      <c r="K96" s="2032"/>
      <c r="L96" s="2032"/>
      <c r="M96" s="2032"/>
      <c r="N96" s="2032"/>
      <c r="O96" s="2032"/>
      <c r="P96" s="2032"/>
      <c r="Q96" s="2032"/>
      <c r="R96" s="2032"/>
      <c r="S96" s="2032"/>
      <c r="T96" s="2032"/>
      <c r="U96" s="2032"/>
      <c r="V96" s="2032"/>
      <c r="W96" s="2036"/>
      <c r="X96" s="2036"/>
      <c r="Y96" s="2036"/>
      <c r="Z96" s="2036"/>
    </row>
    <row r="97" spans="1:26" s="1312" customFormat="1" ht="13.8">
      <c r="A97" s="1615" t="s">
        <v>1797</v>
      </c>
      <c r="B97" s="381" t="s">
        <v>416</v>
      </c>
      <c r="C97" s="384">
        <f ca="1">C90-C91</f>
        <v>2308</v>
      </c>
      <c r="D97" s="377" t="s">
        <v>18</v>
      </c>
      <c r="E97" s="989"/>
      <c r="F97" s="988"/>
      <c r="G97" s="988"/>
      <c r="H97" s="393"/>
      <c r="I97" s="1314"/>
      <c r="J97" s="2037"/>
      <c r="K97" s="2032"/>
      <c r="L97" s="2032"/>
      <c r="M97" s="2032"/>
      <c r="N97" s="2032"/>
      <c r="O97" s="2032"/>
      <c r="P97" s="2032"/>
      <c r="Q97" s="2032"/>
      <c r="R97" s="2032"/>
      <c r="S97" s="2032"/>
      <c r="T97" s="2032"/>
      <c r="U97" s="2032"/>
      <c r="V97" s="2032"/>
      <c r="W97" s="2036"/>
      <c r="X97" s="2036"/>
      <c r="Y97" s="2036"/>
      <c r="Z97" s="2036"/>
    </row>
    <row r="98" spans="1:26" s="1312" customFormat="1" ht="24">
      <c r="A98" s="1615" t="s">
        <v>1798</v>
      </c>
      <c r="B98" s="381" t="s">
        <v>417</v>
      </c>
      <c r="C98" s="406">
        <f ca="1">IF(C97&lt;=0,0,C97/C91)</f>
        <v>0.89111969111969114</v>
      </c>
      <c r="D98" s="377" t="s">
        <v>18</v>
      </c>
      <c r="E98" s="25" t="str">
        <f ca="1">IF(C98&gt;=200%,"增值额超过扣除项目金额200%",IF(C98&gt;=100%,"增值额超过扣除项目金额100%，未超过200%",IF(C98&gt;=50%,"增值额超过扣除项目金额50%，未超过100%",IF(C98&lt;50%,"增值额未超过扣除项目金额50%"))))</f>
        <v>增值额超过扣除项目金额50%，未超过100%</v>
      </c>
      <c r="F98" s="988"/>
      <c r="G98" s="988"/>
      <c r="H98" s="393"/>
      <c r="I98" s="1314"/>
      <c r="J98" s="2037"/>
      <c r="K98" s="2032"/>
      <c r="L98" s="2032"/>
      <c r="M98" s="2032"/>
      <c r="N98" s="2032"/>
      <c r="O98" s="2032"/>
      <c r="P98" s="2032"/>
      <c r="Q98" s="2032"/>
      <c r="R98" s="2032"/>
      <c r="S98" s="2032"/>
      <c r="T98" s="2032"/>
      <c r="U98" s="2032"/>
      <c r="V98" s="2032"/>
      <c r="W98" s="2036"/>
      <c r="X98" s="2036"/>
      <c r="Y98" s="2036"/>
      <c r="Z98" s="2036"/>
    </row>
    <row r="99" spans="1:26" s="1312" customFormat="1" ht="24.6" thickBot="1">
      <c r="A99" s="1616" t="s">
        <v>1799</v>
      </c>
      <c r="B99" s="386" t="s">
        <v>418</v>
      </c>
      <c r="C99" s="407">
        <f ca="1">ROUND(IF(C97&lt;=0,0,IF(C98&gt;=200%,C97*60%-C91*35%,IF(C98&gt;=100%,C97*50%-C91*15%,IF(C98&gt;=50%,C97*40%-C91*5%,IF(C98&lt;50%,C97*30%,0))))),0)</f>
        <v>794</v>
      </c>
      <c r="D99" s="408" t="s">
        <v>18</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 xml:space="preserve">土地增值税税额=增值额×40%－扣除项目金额×5% </v>
      </c>
      <c r="F99" s="410"/>
      <c r="G99" s="410"/>
      <c r="H99" s="411"/>
      <c r="I99" s="1314"/>
      <c r="J99" s="2037"/>
      <c r="K99" s="2032"/>
      <c r="L99" s="2032"/>
      <c r="M99" s="2032"/>
      <c r="N99" s="2032"/>
      <c r="O99" s="2032"/>
      <c r="P99" s="2032"/>
      <c r="Q99" s="2032"/>
      <c r="R99" s="2032"/>
      <c r="S99" s="2032"/>
      <c r="T99" s="2032"/>
      <c r="U99" s="2032"/>
      <c r="V99" s="2032"/>
      <c r="W99" s="2036"/>
      <c r="X99" s="2036"/>
      <c r="Y99" s="2036"/>
      <c r="Z99" s="2036"/>
    </row>
    <row r="100" spans="1:26" s="1312" customFormat="1" ht="7.5" customHeight="1">
      <c r="A100" s="1316"/>
      <c r="B100" s="1317"/>
      <c r="C100" s="10"/>
      <c r="D100" s="10"/>
      <c r="E100" s="1317"/>
      <c r="F100" s="1317"/>
      <c r="G100" s="1317"/>
      <c r="H100" s="1318"/>
      <c r="I100" s="1315"/>
      <c r="J100" s="2038"/>
      <c r="K100" s="2032"/>
      <c r="L100" s="2032"/>
      <c r="M100" s="2032"/>
      <c r="N100" s="2032"/>
      <c r="O100" s="2032"/>
      <c r="P100" s="2032"/>
      <c r="Q100" s="2032"/>
      <c r="R100" s="2032"/>
      <c r="S100" s="2032"/>
      <c r="T100" s="2032"/>
      <c r="U100" s="2032"/>
      <c r="V100" s="2032"/>
      <c r="W100" s="2036"/>
      <c r="X100" s="2036"/>
      <c r="Y100" s="2036"/>
      <c r="Z100" s="2036"/>
    </row>
    <row r="101" spans="1:26" s="1312" customFormat="1" ht="14.4" thickBot="1">
      <c r="A101" s="3325" t="s">
        <v>419</v>
      </c>
      <c r="B101" s="3326"/>
      <c r="C101" s="3326"/>
      <c r="D101" s="3326"/>
      <c r="E101" s="3326"/>
      <c r="F101" s="3326"/>
      <c r="G101" s="3326"/>
      <c r="H101" s="3326"/>
      <c r="I101" s="10"/>
      <c r="J101" s="2032"/>
      <c r="K101" s="2032"/>
      <c r="L101" s="2032"/>
      <c r="M101" s="2032"/>
      <c r="N101" s="2032"/>
      <c r="O101" s="2032"/>
      <c r="P101" s="2032"/>
      <c r="Q101" s="2032"/>
      <c r="R101" s="2032"/>
      <c r="S101" s="2032"/>
      <c r="T101" s="2032"/>
      <c r="U101" s="2032"/>
      <c r="V101" s="2032"/>
      <c r="W101" s="2036"/>
      <c r="X101" s="2036"/>
      <c r="Y101" s="2036"/>
      <c r="Z101" s="2036"/>
    </row>
    <row r="102" spans="1:26" s="1312" customFormat="1" ht="13.8">
      <c r="A102" s="3323" t="s">
        <v>393</v>
      </c>
      <c r="B102" s="3324"/>
      <c r="C102" s="992"/>
      <c r="D102" s="992" t="s">
        <v>394</v>
      </c>
      <c r="E102" s="390" t="s">
        <v>403</v>
      </c>
      <c r="F102" s="391"/>
      <c r="G102" s="391"/>
      <c r="H102" s="412"/>
      <c r="I102" s="10"/>
      <c r="J102" s="2032"/>
      <c r="K102" s="2032"/>
      <c r="L102" s="2032"/>
      <c r="M102" s="2032"/>
      <c r="N102" s="2032"/>
      <c r="O102" s="2032"/>
      <c r="P102" s="2032"/>
      <c r="Q102" s="2032"/>
      <c r="R102" s="2032"/>
      <c r="S102" s="2032"/>
      <c r="T102" s="2032"/>
      <c r="U102" s="2032"/>
      <c r="V102" s="2032"/>
      <c r="W102" s="2036"/>
      <c r="X102" s="2036"/>
      <c r="Y102" s="2036"/>
      <c r="Z102" s="2036"/>
    </row>
    <row r="103" spans="1:26" s="1312" customFormat="1" ht="13.8">
      <c r="A103" s="380" t="s">
        <v>1785</v>
      </c>
      <c r="B103" s="381" t="s">
        <v>404</v>
      </c>
      <c r="C103" s="384">
        <f ca="1">ROUND(D63/(1+'数据-取费表'!C42),0)</f>
        <v>4898</v>
      </c>
      <c r="D103" s="377" t="s">
        <v>18</v>
      </c>
      <c r="E103" s="989"/>
      <c r="F103" s="988"/>
      <c r="G103" s="988"/>
      <c r="H103" s="413"/>
      <c r="I103" s="10"/>
      <c r="J103" s="2032"/>
      <c r="K103" s="2032"/>
      <c r="L103" s="2032"/>
      <c r="M103" s="2032"/>
      <c r="N103" s="2032"/>
      <c r="O103" s="2032"/>
      <c r="P103" s="2032"/>
      <c r="Q103" s="2032"/>
      <c r="R103" s="2032"/>
      <c r="S103" s="2032"/>
      <c r="T103" s="2032"/>
      <c r="U103" s="2032"/>
      <c r="V103" s="2032"/>
      <c r="W103" s="2036"/>
      <c r="X103" s="2036"/>
      <c r="Y103" s="2036"/>
      <c r="Z103" s="2036"/>
    </row>
    <row r="104" spans="1:26" s="1312" customFormat="1" ht="13.8">
      <c r="A104" s="380" t="s">
        <v>1791</v>
      </c>
      <c r="B104" s="347" t="s">
        <v>405</v>
      </c>
      <c r="C104" s="384">
        <f ca="1">IF(H106="仅含出让金",C105+C108+C109+C110+C111+C112,C105+C109+C110+C111+C112)</f>
        <v>29</v>
      </c>
      <c r="D104" s="414"/>
      <c r="E104" s="989"/>
      <c r="F104" s="988"/>
      <c r="G104" s="988"/>
      <c r="H104" s="413"/>
      <c r="I104" s="10"/>
      <c r="J104" s="2032"/>
      <c r="K104" s="2032"/>
      <c r="L104" s="2032"/>
      <c r="M104" s="2032"/>
      <c r="N104" s="2032"/>
      <c r="O104" s="2032"/>
      <c r="P104" s="2032"/>
      <c r="Q104" s="2032"/>
      <c r="R104" s="2032"/>
      <c r="S104" s="2032"/>
      <c r="T104" s="2032"/>
      <c r="U104" s="2032"/>
      <c r="V104" s="2032"/>
      <c r="W104" s="2036"/>
      <c r="X104" s="2036"/>
      <c r="Y104" s="2036"/>
      <c r="Z104" s="2036"/>
    </row>
    <row r="105" spans="1:26" s="1312" customFormat="1" ht="13.8">
      <c r="A105" s="394" t="s">
        <v>1792</v>
      </c>
      <c r="B105" s="375" t="s">
        <v>420</v>
      </c>
      <c r="C105" s="404">
        <f>C106+C107</f>
        <v>0</v>
      </c>
      <c r="D105" s="405"/>
      <c r="E105" s="983"/>
      <c r="F105" s="984"/>
      <c r="G105" s="984"/>
      <c r="H105" s="985"/>
      <c r="I105" s="10"/>
      <c r="J105" s="2032"/>
      <c r="K105" s="2032"/>
      <c r="L105" s="2032"/>
      <c r="M105" s="2032"/>
      <c r="N105" s="2032"/>
      <c r="O105" s="2032"/>
      <c r="P105" s="2032"/>
      <c r="Q105" s="2032"/>
      <c r="R105" s="2032"/>
      <c r="S105" s="2032"/>
      <c r="T105" s="2032"/>
      <c r="U105" s="2032"/>
      <c r="V105" s="2032"/>
      <c r="W105" s="2036"/>
      <c r="X105" s="2036"/>
      <c r="Y105" s="2036"/>
      <c r="Z105" s="2036"/>
    </row>
    <row r="106" spans="1:26" s="1312" customFormat="1" ht="26.4">
      <c r="A106" s="394" t="s">
        <v>1793</v>
      </c>
      <c r="B106" s="375" t="s">
        <v>421</v>
      </c>
      <c r="C106" s="415">
        <f>K22</f>
        <v>0</v>
      </c>
      <c r="D106" s="405"/>
      <c r="E106" s="416" t="s">
        <v>422</v>
      </c>
      <c r="F106" s="984"/>
      <c r="G106" s="417" t="s">
        <v>423</v>
      </c>
      <c r="H106" s="418" t="s">
        <v>2401</v>
      </c>
      <c r="I106" s="10"/>
      <c r="J106" s="2032"/>
      <c r="K106" s="2032"/>
      <c r="L106" s="2032"/>
      <c r="M106" s="2032"/>
      <c r="N106" s="2032"/>
      <c r="O106" s="2032"/>
      <c r="P106" s="2032"/>
      <c r="Q106" s="2032"/>
      <c r="R106" s="2032"/>
      <c r="S106" s="2032"/>
      <c r="T106" s="2032"/>
      <c r="U106" s="2032"/>
      <c r="V106" s="2032"/>
      <c r="W106" s="2036"/>
      <c r="X106" s="2036"/>
      <c r="Y106" s="2036"/>
      <c r="Z106" s="2036"/>
    </row>
    <row r="107" spans="1:26" s="1312" customFormat="1" ht="13.8">
      <c r="A107" s="394" t="s">
        <v>1794</v>
      </c>
      <c r="B107" s="375" t="s">
        <v>413</v>
      </c>
      <c r="C107" s="404">
        <f>ROUND(C106*D107,0)</f>
        <v>0</v>
      </c>
      <c r="D107" s="405">
        <f>'数据-取费表'!B48+'数据-取费表'!B49</f>
        <v>3.0499999999999999E-2</v>
      </c>
      <c r="E107" s="416" t="s">
        <v>424</v>
      </c>
      <c r="F107" s="984"/>
      <c r="G107" s="984"/>
      <c r="H107" s="985"/>
      <c r="I107" s="10"/>
      <c r="J107" s="2032"/>
      <c r="K107" s="2032"/>
      <c r="L107" s="2032"/>
      <c r="M107" s="2032"/>
      <c r="N107" s="2032"/>
      <c r="O107" s="2032"/>
      <c r="P107" s="2032"/>
      <c r="Q107" s="2032"/>
      <c r="R107" s="2032"/>
      <c r="S107" s="2032"/>
      <c r="T107" s="2032"/>
      <c r="U107" s="2032"/>
      <c r="V107" s="2032"/>
      <c r="W107" s="2036"/>
      <c r="X107" s="2036"/>
      <c r="Y107" s="2036"/>
      <c r="Z107" s="2036"/>
    </row>
    <row r="108" spans="1:26" s="1312" customFormat="1" ht="13.8">
      <c r="A108" s="394" t="s">
        <v>1796</v>
      </c>
      <c r="B108" s="375" t="s">
        <v>425</v>
      </c>
      <c r="C108" s="415"/>
      <c r="D108" s="405"/>
      <c r="E108" s="416" t="str">
        <f>IF(H106="-","土地取得成本中已包含该笔费用"," ")</f>
        <v xml:space="preserve"> </v>
      </c>
      <c r="F108" s="984"/>
      <c r="G108" s="984"/>
      <c r="H108" s="985"/>
      <c r="I108" s="10"/>
      <c r="J108" s="2032"/>
      <c r="K108" s="2032"/>
      <c r="L108" s="2032"/>
      <c r="M108" s="2032"/>
      <c r="N108" s="2032"/>
      <c r="O108" s="2032"/>
      <c r="P108" s="2032"/>
      <c r="Q108" s="2032"/>
      <c r="R108" s="2032"/>
      <c r="S108" s="2032"/>
      <c r="T108" s="2032"/>
      <c r="U108" s="2032"/>
      <c r="V108" s="2032"/>
      <c r="W108" s="2036"/>
      <c r="X108" s="2036"/>
      <c r="Y108" s="2036"/>
      <c r="Z108" s="2036"/>
    </row>
    <row r="109" spans="1:26" s="1312" customFormat="1" ht="24" customHeight="1">
      <c r="A109" s="1617" t="s">
        <v>1800</v>
      </c>
      <c r="B109" s="375" t="s">
        <v>426</v>
      </c>
      <c r="C109" s="404">
        <f>IF(H109="——",IF(F1="现房",'剩余法-现房'!C18,'剩余法-待开发'!C18),I109)</f>
        <v>0</v>
      </c>
      <c r="D109" s="405"/>
      <c r="E109" s="3317" t="s">
        <v>427</v>
      </c>
      <c r="F109" s="3315"/>
      <c r="G109" s="3315"/>
      <c r="H109" s="1940" t="s">
        <v>2241</v>
      </c>
      <c r="I109" s="1941">
        <v>0</v>
      </c>
      <c r="J109" s="2032"/>
      <c r="K109" s="2032"/>
      <c r="L109" s="2032"/>
      <c r="M109" s="2032"/>
      <c r="N109" s="2032"/>
      <c r="O109" s="2032"/>
      <c r="P109" s="2032"/>
      <c r="Q109" s="2032"/>
      <c r="R109" s="2032"/>
      <c r="S109" s="2032"/>
      <c r="T109" s="2032"/>
      <c r="U109" s="2032"/>
      <c r="V109" s="2032"/>
      <c r="W109" s="2036"/>
      <c r="X109" s="2036"/>
      <c r="Y109" s="2036"/>
      <c r="Z109" s="2036"/>
    </row>
    <row r="110" spans="1:26" s="1312" customFormat="1" ht="25.5" customHeight="1">
      <c r="A110" s="1617" t="s">
        <v>1801</v>
      </c>
      <c r="B110" s="375" t="s">
        <v>428</v>
      </c>
      <c r="C110" s="404">
        <f>ROUND((C105+C108+C109)*D110,0)</f>
        <v>0</v>
      </c>
      <c r="D110" s="405">
        <v>0.1</v>
      </c>
      <c r="E110" s="3317" t="s">
        <v>429</v>
      </c>
      <c r="F110" s="3315"/>
      <c r="G110" s="3315"/>
      <c r="H110" s="3316"/>
      <c r="I110" s="10"/>
      <c r="J110" s="2032"/>
      <c r="K110" s="2032"/>
      <c r="L110" s="2032"/>
      <c r="M110" s="2032"/>
      <c r="N110" s="2032"/>
      <c r="O110" s="2032"/>
      <c r="P110" s="2032"/>
      <c r="Q110" s="2032"/>
      <c r="R110" s="2032"/>
      <c r="S110" s="2032"/>
      <c r="T110" s="2032"/>
      <c r="U110" s="2032"/>
      <c r="V110" s="2032"/>
      <c r="W110" s="2036"/>
      <c r="X110" s="2036"/>
      <c r="Y110" s="2036"/>
      <c r="Z110" s="2036"/>
    </row>
    <row r="111" spans="1:26" s="1312" customFormat="1" ht="25.5" customHeight="1">
      <c r="A111" s="1617" t="s">
        <v>1802</v>
      </c>
      <c r="B111" s="375" t="s">
        <v>415</v>
      </c>
      <c r="C111" s="404">
        <f ca="1">ROUND(D63*D111/(1+'数据-取费表'!C42),0)</f>
        <v>29</v>
      </c>
      <c r="D111" s="405">
        <f>'数据-取费表'!B43</f>
        <v>6.000000000000001E-3</v>
      </c>
      <c r="E111" s="3314" t="s">
        <v>2390</v>
      </c>
      <c r="F111" s="3315"/>
      <c r="G111" s="3315"/>
      <c r="H111" s="3316"/>
      <c r="I111" s="10"/>
      <c r="J111" s="2032"/>
      <c r="K111" s="2032"/>
      <c r="L111" s="2032"/>
      <c r="M111" s="2032"/>
      <c r="N111" s="2032"/>
      <c r="O111" s="2032"/>
      <c r="P111" s="2032"/>
      <c r="Q111" s="2032"/>
      <c r="R111" s="2032"/>
      <c r="S111" s="2032"/>
      <c r="T111" s="2032"/>
      <c r="U111" s="2032"/>
      <c r="V111" s="2032"/>
      <c r="W111" s="2036"/>
      <c r="X111" s="2036"/>
      <c r="Y111" s="2036"/>
      <c r="Z111" s="2036"/>
    </row>
    <row r="112" spans="1:26" s="1312" customFormat="1" ht="25.5" customHeight="1">
      <c r="A112" s="1617" t="s">
        <v>1803</v>
      </c>
      <c r="B112" s="375" t="s">
        <v>430</v>
      </c>
      <c r="C112" s="404">
        <f>ROUND(C108*D112,0)</f>
        <v>0</v>
      </c>
      <c r="D112" s="405">
        <v>0.2</v>
      </c>
      <c r="E112" s="3317" t="s">
        <v>2415</v>
      </c>
      <c r="F112" s="3315"/>
      <c r="G112" s="3315"/>
      <c r="H112" s="3316"/>
      <c r="I112" s="10"/>
      <c r="J112" s="2032"/>
      <c r="K112" s="2032"/>
      <c r="L112" s="2032"/>
      <c r="M112" s="2032"/>
      <c r="N112" s="2032"/>
      <c r="O112" s="2032"/>
      <c r="P112" s="2032"/>
      <c r="Q112" s="2032"/>
      <c r="R112" s="2032"/>
      <c r="S112" s="2032"/>
      <c r="T112" s="2032"/>
      <c r="U112" s="2032"/>
      <c r="V112" s="2032"/>
      <c r="W112" s="2036"/>
      <c r="X112" s="2036"/>
      <c r="Y112" s="2036"/>
      <c r="Z112" s="2036"/>
    </row>
    <row r="113" spans="1:26" s="1312" customFormat="1" ht="13.8">
      <c r="A113" s="1615" t="s">
        <v>1797</v>
      </c>
      <c r="B113" s="381" t="s">
        <v>416</v>
      </c>
      <c r="C113" s="384">
        <f ca="1">ROUND(C103-C104,0)</f>
        <v>4869</v>
      </c>
      <c r="D113" s="377" t="s">
        <v>18</v>
      </c>
      <c r="E113" s="989"/>
      <c r="F113" s="988"/>
      <c r="G113" s="988"/>
      <c r="H113" s="413"/>
      <c r="I113" s="10"/>
      <c r="J113" s="2032"/>
      <c r="K113" s="2032"/>
      <c r="L113" s="2032"/>
      <c r="M113" s="2032"/>
      <c r="N113" s="2032"/>
      <c r="O113" s="2032"/>
      <c r="P113" s="2032"/>
      <c r="Q113" s="2032"/>
      <c r="R113" s="2032"/>
      <c r="S113" s="2032"/>
      <c r="T113" s="2032"/>
      <c r="U113" s="2032"/>
      <c r="V113" s="2032"/>
      <c r="W113" s="2036"/>
      <c r="X113" s="2036"/>
      <c r="Y113" s="2036"/>
      <c r="Z113" s="2036"/>
    </row>
    <row r="114" spans="1:26" s="1312" customFormat="1" ht="24">
      <c r="A114" s="1615" t="s">
        <v>1798</v>
      </c>
      <c r="B114" s="381" t="s">
        <v>417</v>
      </c>
      <c r="C114" s="406">
        <f ca="1">IF(C113&lt;=0,0,C113/C104)</f>
        <v>167.89655172413794</v>
      </c>
      <c r="D114" s="377" t="s">
        <v>18</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0"/>
      <c r="J114" s="2032"/>
      <c r="K114" s="2032"/>
      <c r="L114" s="2032"/>
      <c r="M114" s="2032"/>
      <c r="N114" s="2032"/>
      <c r="O114" s="2032"/>
      <c r="P114" s="2032"/>
      <c r="Q114" s="2032"/>
      <c r="R114" s="2032"/>
      <c r="S114" s="2032"/>
      <c r="T114" s="2032"/>
      <c r="U114" s="2032"/>
      <c r="V114" s="2032"/>
      <c r="W114" s="2036"/>
      <c r="X114" s="2036"/>
      <c r="Y114" s="2036"/>
      <c r="Z114" s="2036"/>
    </row>
    <row r="115" spans="1:26" s="1312" customFormat="1" ht="24.6" thickBot="1">
      <c r="A115" s="1616" t="s">
        <v>1799</v>
      </c>
      <c r="B115" s="386" t="s">
        <v>418</v>
      </c>
      <c r="C115" s="407">
        <f ca="1">ROUND(IF(C113&lt;=0,0,IF(C114&gt;=200%,C113*60%-C104*35%,IF(C114&gt;=100%,C113*50%-C104*15%,IF(C114&gt;=50%,C113*40%-C104*5%,IF(C114&lt;50%,C113*30%,0))))),0)</f>
        <v>2911</v>
      </c>
      <c r="D115" s="408" t="s">
        <v>18</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0"/>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6" customFormat="1" ht="21.75" customHeight="1">
      <c r="K185" s="2040"/>
      <c r="L185" s="2040"/>
      <c r="M185" s="2040"/>
      <c r="N185" s="2040"/>
      <c r="O185" s="2040"/>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G57" sqref="G57:H58"/>
    </sheetView>
  </sheetViews>
  <sheetFormatPr defaultColWidth="9" defaultRowHeight="13.8"/>
  <cols>
    <col min="1" max="1" width="15.6640625" style="1335" customWidth="1"/>
    <col min="2" max="2" width="15.77734375" style="1335" customWidth="1"/>
    <col min="3" max="3" width="16.88671875" style="1335" customWidth="1"/>
    <col min="4" max="4" width="12.21875" style="1335" customWidth="1"/>
    <col min="5" max="5" width="16.109375" style="1335" customWidth="1"/>
    <col min="6" max="6" width="12.21875" style="1335" customWidth="1"/>
    <col min="7" max="7" width="17.88671875" style="1335" customWidth="1"/>
    <col min="8" max="8" width="12.21875" style="1335" customWidth="1"/>
    <col min="9" max="9" width="15.66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30" s="1334" customFormat="1" ht="28.5" customHeight="1">
      <c r="A1" s="501" t="s">
        <v>481</v>
      </c>
      <c r="B1" s="502"/>
      <c r="C1" s="503" t="s">
        <v>482</v>
      </c>
      <c r="D1" s="504" t="s">
        <v>483</v>
      </c>
      <c r="E1" s="505"/>
      <c r="F1" s="427"/>
      <c r="G1" s="505"/>
      <c r="H1" s="505"/>
      <c r="I1" s="505"/>
      <c r="J1" s="505"/>
      <c r="K1" s="506"/>
      <c r="L1" s="1560"/>
      <c r="M1" s="1561"/>
      <c r="N1" s="1561"/>
      <c r="O1" s="1561"/>
      <c r="P1" s="1562"/>
      <c r="Q1" s="1562"/>
      <c r="R1" s="1562"/>
      <c r="S1" s="1562"/>
      <c r="T1" s="1562"/>
      <c r="U1" s="1562"/>
      <c r="V1" s="1562"/>
      <c r="W1" s="1562"/>
      <c r="X1" s="1562"/>
      <c r="Y1" s="1562"/>
      <c r="Z1" s="1562"/>
      <c r="AA1" s="1562"/>
      <c r="AB1" s="1562"/>
      <c r="AC1" s="1563"/>
      <c r="AD1" s="1333"/>
    </row>
    <row r="2" spans="1:30" s="1334" customFormat="1" ht="28.5" customHeight="1">
      <c r="A2" s="422" t="s">
        <v>432</v>
      </c>
      <c r="B2" s="507">
        <f>F68</f>
        <v>6158</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c r="AD2" s="1333"/>
    </row>
    <row r="3" spans="1:30" s="1334" customFormat="1" ht="28.5" customHeight="1">
      <c r="A3" s="1377" t="s">
        <v>1646</v>
      </c>
      <c r="B3" s="509">
        <f>ROUND(B2*10000/'数据-汇总表'!E3,0)</f>
        <v>2870</v>
      </c>
      <c r="C3" s="2060"/>
      <c r="D3" s="2569"/>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1564"/>
      <c r="AC3" s="427"/>
    </row>
    <row r="4" spans="1:30" s="1334" customFormat="1" ht="28.5" customHeight="1">
      <c r="A4" s="510" t="s">
        <v>485</v>
      </c>
      <c r="B4" s="426">
        <f>IF(B48="单位面积地价",C50,ROUND(B2*10000/'数据-汇总表'!D3,0))</f>
        <v>8311</v>
      </c>
      <c r="C4" s="2060"/>
      <c r="D4" s="2569"/>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7"/>
    </row>
    <row r="5" spans="1:30" s="1334" customFormat="1" ht="28.5" customHeight="1" thickBot="1">
      <c r="A5" s="428"/>
      <c r="B5" s="429">
        <f>ROUND(B2/('数据-汇总表'!D3/666.67),0)</f>
        <v>554</v>
      </c>
      <c r="C5" s="430" t="s">
        <v>434</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2"/>
      <c r="AC5" s="427"/>
    </row>
    <row r="6" spans="1:30" ht="21">
      <c r="A6" s="511" t="s">
        <v>486</v>
      </c>
      <c r="B6" s="512"/>
      <c r="C6" s="3368" t="s">
        <v>487</v>
      </c>
      <c r="D6" s="3369"/>
      <c r="E6" s="3368" t="s">
        <v>488</v>
      </c>
      <c r="F6" s="3369"/>
      <c r="G6" s="3368" t="s">
        <v>489</v>
      </c>
      <c r="H6" s="3369"/>
      <c r="I6" s="3368" t="s">
        <v>490</v>
      </c>
      <c r="J6" s="3369"/>
      <c r="K6" s="513" t="s">
        <v>491</v>
      </c>
      <c r="L6" s="2131"/>
      <c r="M6" s="2131"/>
      <c r="N6" s="2131"/>
      <c r="O6" s="2133"/>
      <c r="P6" s="3370" t="s">
        <v>492</v>
      </c>
      <c r="Q6" s="3371"/>
      <c r="R6" s="3376" t="s">
        <v>488</v>
      </c>
      <c r="S6" s="3377"/>
      <c r="T6" s="3376" t="s">
        <v>489</v>
      </c>
      <c r="U6" s="3377"/>
      <c r="V6" s="3363" t="s">
        <v>490</v>
      </c>
      <c r="W6" s="3363"/>
      <c r="X6" s="1565"/>
      <c r="Y6" s="3376" t="s">
        <v>492</v>
      </c>
      <c r="Z6" s="3377"/>
      <c r="AA6" s="3365" t="s">
        <v>488</v>
      </c>
      <c r="AB6" s="3366" t="s">
        <v>489</v>
      </c>
      <c r="AC6" s="3365" t="s">
        <v>490</v>
      </c>
    </row>
    <row r="7" spans="1:30" ht="33" customHeight="1">
      <c r="A7" s="514"/>
      <c r="B7" s="515"/>
      <c r="C7" s="3384" t="s">
        <v>3489</v>
      </c>
      <c r="D7" s="3385"/>
      <c r="E7" s="3384" t="str">
        <f>土地案例!A6</f>
        <v>丰兴隆片区控制性详细规划A-23地块内</v>
      </c>
      <c r="F7" s="3385"/>
      <c r="G7" s="3384" t="str">
        <f>土地案例!A19</f>
        <v>三亚市吉阳区南丁北片区控规ND-003、ND-004、ND-005、ND-006、ND-007、ND-008、ND-009地块</v>
      </c>
      <c r="H7" s="3385"/>
      <c r="I7" s="3384" t="str">
        <f>土地案例!A24</f>
        <v>大东海片区D-10地块内</v>
      </c>
      <c r="J7" s="3385"/>
      <c r="K7" s="513"/>
      <c r="L7" s="2132"/>
      <c r="M7" s="2131"/>
      <c r="N7" s="2131"/>
      <c r="O7" s="2133"/>
      <c r="P7" s="3372"/>
      <c r="Q7" s="3373"/>
      <c r="R7" s="3378"/>
      <c r="S7" s="3379"/>
      <c r="T7" s="3378"/>
      <c r="U7" s="3379"/>
      <c r="V7" s="3363"/>
      <c r="W7" s="3363"/>
      <c r="X7" s="1565"/>
      <c r="Y7" s="3378"/>
      <c r="Z7" s="3379"/>
      <c r="AA7" s="3366"/>
      <c r="AB7" s="3366"/>
      <c r="AC7" s="3366"/>
    </row>
    <row r="8" spans="1:30" ht="21.6" thickBot="1">
      <c r="A8" s="514"/>
      <c r="B8" s="515"/>
      <c r="C8" s="3386" t="s">
        <v>3490</v>
      </c>
      <c r="D8" s="3387"/>
      <c r="E8" s="3386" t="s">
        <v>3491</v>
      </c>
      <c r="F8" s="3387"/>
      <c r="G8" s="3382" t="s">
        <v>3491</v>
      </c>
      <c r="H8" s="3383"/>
      <c r="I8" s="3382" t="s">
        <v>3491</v>
      </c>
      <c r="J8" s="3383"/>
      <c r="K8" s="513" t="s">
        <v>493</v>
      </c>
      <c r="L8" s="2132"/>
      <c r="M8" s="2131"/>
      <c r="N8" s="2131"/>
      <c r="O8" s="2133"/>
      <c r="P8" s="3374"/>
      <c r="Q8" s="3375"/>
      <c r="R8" s="3378"/>
      <c r="S8" s="3379"/>
      <c r="T8" s="3380"/>
      <c r="U8" s="3381"/>
      <c r="V8" s="3363"/>
      <c r="W8" s="3363"/>
      <c r="X8" s="1565"/>
      <c r="Y8" s="3380"/>
      <c r="Z8" s="3381"/>
      <c r="AA8" s="3367"/>
      <c r="AB8" s="3367"/>
      <c r="AC8" s="3367"/>
    </row>
    <row r="9" spans="1:30" s="1218" customFormat="1" ht="21.6" thickBot="1">
      <c r="A9" s="2911"/>
      <c r="B9" s="2918" t="s">
        <v>494</v>
      </c>
      <c r="C9" s="2910">
        <f>'数据-取费表'!B2</f>
        <v>43458</v>
      </c>
      <c r="D9" s="519">
        <v>100</v>
      </c>
      <c r="E9" s="520" t="str">
        <f>土地案例!AA6</f>
        <v>2018-09-07</v>
      </c>
      <c r="F9" s="521">
        <f>SUMIF(72:72,YEAR(E9)&amp;"-"&amp;INT((MONTH(E9)+2)/3),73:73)</f>
        <v>99</v>
      </c>
      <c r="G9" s="522" t="str">
        <f>土地案例!AA19</f>
        <v>2016-10-17</v>
      </c>
      <c r="H9" s="519">
        <f>SUMIF(72:72,YEAR(G9)&amp;"-"&amp;INT((MONTH(G9)+2)/3),73:73)</f>
        <v>92</v>
      </c>
      <c r="I9" s="522" t="str">
        <f>土地案例!AA24</f>
        <v>2016-09-26</v>
      </c>
      <c r="J9" s="519">
        <f>SUMIF(72:72,YEAR(I9)&amp;"-"&amp;INT((MONTH(I9)+2)/3),73:73)</f>
        <v>91</v>
      </c>
      <c r="K9" s="523"/>
      <c r="L9" s="2134"/>
      <c r="M9" s="2131"/>
      <c r="N9" s="2131"/>
      <c r="O9" s="2135"/>
      <c r="P9" s="3393" t="s">
        <v>495</v>
      </c>
      <c r="Q9" s="3395"/>
      <c r="R9" s="1566" t="s">
        <v>8</v>
      </c>
      <c r="S9" s="1567">
        <f t="shared" ref="S9:S17" si="0">F9</f>
        <v>99</v>
      </c>
      <c r="T9" s="1566" t="s">
        <v>8</v>
      </c>
      <c r="U9" s="1567">
        <f t="shared" ref="U9:U17" si="1">H9</f>
        <v>92</v>
      </c>
      <c r="V9" s="1566" t="s">
        <v>8</v>
      </c>
      <c r="W9" s="1567">
        <f t="shared" ref="W9:W17" si="2">J9</f>
        <v>91</v>
      </c>
      <c r="X9" s="1568"/>
      <c r="Y9" s="3393" t="s">
        <v>495</v>
      </c>
      <c r="Z9" s="3394"/>
      <c r="AA9" s="1569">
        <f>D9/F9</f>
        <v>1.0101010101010102</v>
      </c>
      <c r="AB9" s="1569">
        <f>D9/H9</f>
        <v>1.0869565217391304</v>
      </c>
      <c r="AC9" s="1569">
        <f>D9/J9</f>
        <v>1.098901098901099</v>
      </c>
    </row>
    <row r="10" spans="1:30" s="1218" customFormat="1" ht="21.6" thickBot="1">
      <c r="A10" s="2912"/>
      <c r="B10" s="2919" t="s">
        <v>496</v>
      </c>
      <c r="C10" s="855" t="s">
        <v>497</v>
      </c>
      <c r="D10" s="519">
        <v>100</v>
      </c>
      <c r="E10" s="524" t="s">
        <v>3495</v>
      </c>
      <c r="F10" s="521">
        <f>SUMIF(75:75,E10,76:76)-SUMIF(75:75,C10,76:76)+100</f>
        <v>95</v>
      </c>
      <c r="G10" s="524" t="s">
        <v>3495</v>
      </c>
      <c r="H10" s="519">
        <f>SUMIF(75:75,G10,76:76)-SUMIF(75:75,C10,76:76)+100</f>
        <v>95</v>
      </c>
      <c r="I10" s="524" t="s">
        <v>3495</v>
      </c>
      <c r="J10" s="519">
        <f>SUMIF(75:75,I10,76:76)-SUMIF(75:75,C10,76:76)+100</f>
        <v>95</v>
      </c>
      <c r="K10" s="523"/>
      <c r="L10" s="2134"/>
      <c r="M10" s="2131"/>
      <c r="N10" s="2131"/>
      <c r="O10" s="2135"/>
      <c r="P10" s="3393" t="s">
        <v>498</v>
      </c>
      <c r="Q10" s="3394"/>
      <c r="R10" s="1566" t="s">
        <v>8</v>
      </c>
      <c r="S10" s="1567">
        <f t="shared" si="0"/>
        <v>95</v>
      </c>
      <c r="T10" s="1566" t="s">
        <v>8</v>
      </c>
      <c r="U10" s="1567">
        <f t="shared" si="1"/>
        <v>95</v>
      </c>
      <c r="V10" s="1566" t="s">
        <v>8</v>
      </c>
      <c r="W10" s="1567">
        <f t="shared" si="2"/>
        <v>95</v>
      </c>
      <c r="X10" s="1568"/>
      <c r="Y10" s="3393" t="s">
        <v>498</v>
      </c>
      <c r="Z10" s="3394"/>
      <c r="AA10" s="1569">
        <f t="shared" ref="AA10:AA47" si="3">D10/F10</f>
        <v>1.0526315789473684</v>
      </c>
      <c r="AB10" s="1569">
        <f t="shared" ref="AB10:AB47" si="4">D10/H10</f>
        <v>1.0526315789473684</v>
      </c>
      <c r="AC10" s="1569">
        <f t="shared" ref="AC10:AC47" si="5">D10/J10</f>
        <v>1.0526315789473684</v>
      </c>
    </row>
    <row r="11" spans="1:30" s="1218" customFormat="1" ht="21">
      <c r="A11" s="2913"/>
      <c r="B11" s="2920" t="s">
        <v>2718</v>
      </c>
      <c r="C11" s="2907" t="s">
        <v>3320</v>
      </c>
      <c r="D11" s="253">
        <v>100</v>
      </c>
      <c r="E11" s="525" t="s">
        <v>3321</v>
      </c>
      <c r="F11" s="253">
        <f>SUMIF(77:77,E11,78:78)-SUMIF(77:77,C11,78:78)+100</f>
        <v>100</v>
      </c>
      <c r="G11" s="525" t="s">
        <v>3322</v>
      </c>
      <c r="H11" s="253">
        <f>SUMIF(77:77,G11,78:78)-SUMIF(77:77,C11,78:78)+100</f>
        <v>100</v>
      </c>
      <c r="I11" s="525" t="s">
        <v>3321</v>
      </c>
      <c r="J11" s="253">
        <f>SUMIF(77:77,I11,78:78)-SUMIF(77:77,C11,78:78)+100</f>
        <v>100</v>
      </c>
      <c r="K11" s="523"/>
      <c r="L11" s="2134"/>
      <c r="M11" s="2131"/>
      <c r="N11" s="2131"/>
      <c r="O11" s="2136"/>
      <c r="P11" s="3362" t="s">
        <v>500</v>
      </c>
      <c r="Q11" s="1149" t="str">
        <f t="shared" ref="Q11:Q17" si="6">B11</f>
        <v>用途</v>
      </c>
      <c r="R11" s="1566" t="s">
        <v>8</v>
      </c>
      <c r="S11" s="1567">
        <f t="shared" si="0"/>
        <v>100</v>
      </c>
      <c r="T11" s="1566" t="s">
        <v>8</v>
      </c>
      <c r="U11" s="1567">
        <f t="shared" si="1"/>
        <v>100</v>
      </c>
      <c r="V11" s="1566" t="s">
        <v>8</v>
      </c>
      <c r="W11" s="1567">
        <f t="shared" si="2"/>
        <v>100</v>
      </c>
      <c r="X11" s="1568"/>
      <c r="Y11" s="3308" t="s">
        <v>501</v>
      </c>
      <c r="Z11" s="1148" t="str">
        <f t="shared" ref="Z11:Z17" si="7">Q11</f>
        <v>用途</v>
      </c>
      <c r="AA11" s="1569">
        <f t="shared" si="3"/>
        <v>1</v>
      </c>
      <c r="AB11" s="1569">
        <f t="shared" si="4"/>
        <v>1</v>
      </c>
      <c r="AC11" s="1569">
        <f t="shared" si="5"/>
        <v>1</v>
      </c>
    </row>
    <row r="12" spans="1:30" s="1336" customFormat="1" ht="28.8">
      <c r="A12" s="2914"/>
      <c r="B12" s="2919" t="s">
        <v>2719</v>
      </c>
      <c r="C12" s="908"/>
      <c r="D12" s="254">
        <v>100</v>
      </c>
      <c r="E12" s="528" t="s">
        <v>3315</v>
      </c>
      <c r="F12" s="254">
        <f>ROUND(100/'数据-取费表'!G16,0)</f>
        <v>102</v>
      </c>
      <c r="G12" s="529" t="s">
        <v>3315</v>
      </c>
      <c r="H12" s="254">
        <f>ROUND(100/'数据-取费表'!G16,0)</f>
        <v>102</v>
      </c>
      <c r="I12" s="529" t="s">
        <v>3315</v>
      </c>
      <c r="J12" s="254">
        <f>ROUND(100/'数据-取费表'!G16,0)</f>
        <v>102</v>
      </c>
      <c r="K12" s="530"/>
      <c r="L12" s="2137"/>
      <c r="M12" s="2131"/>
      <c r="N12" s="2131"/>
      <c r="O12" s="2138"/>
      <c r="P12" s="3362"/>
      <c r="Q12" s="1149" t="str">
        <f t="shared" si="6"/>
        <v>土地使用年限（年）</v>
      </c>
      <c r="R12" s="1566" t="s">
        <v>8</v>
      </c>
      <c r="S12" s="1567">
        <f t="shared" si="0"/>
        <v>102</v>
      </c>
      <c r="T12" s="1566" t="s">
        <v>8</v>
      </c>
      <c r="U12" s="1567">
        <f t="shared" si="1"/>
        <v>102</v>
      </c>
      <c r="V12" s="1566" t="s">
        <v>8</v>
      </c>
      <c r="W12" s="1567">
        <f t="shared" si="2"/>
        <v>102</v>
      </c>
      <c r="X12" s="1568"/>
      <c r="Y12" s="3308"/>
      <c r="Z12" s="1148" t="str">
        <f t="shared" si="7"/>
        <v>土地使用年限（年）</v>
      </c>
      <c r="AA12" s="1569">
        <f t="shared" si="3"/>
        <v>0.98039215686274506</v>
      </c>
      <c r="AB12" s="1569">
        <f t="shared" si="4"/>
        <v>0.98039215686274506</v>
      </c>
      <c r="AC12" s="1569">
        <f t="shared" si="5"/>
        <v>0.98039215686274506</v>
      </c>
    </row>
    <row r="13" spans="1:30" ht="21.6" thickBot="1">
      <c r="A13" s="2915"/>
      <c r="B13" s="2919" t="s">
        <v>2720</v>
      </c>
      <c r="C13" s="533">
        <f>'数据-汇总表'!I4</f>
        <v>1.19</v>
      </c>
      <c r="D13" s="254">
        <v>100</v>
      </c>
      <c r="E13" s="532">
        <v>2.99</v>
      </c>
      <c r="F13" s="254">
        <f>LOOKUP(E13,82:82,83:83)-LOOKUP(C13,82:82,83:83)+100</f>
        <v>98</v>
      </c>
      <c r="G13" s="533">
        <v>0.5</v>
      </c>
      <c r="H13" s="254">
        <f>LOOKUP(G13,82:82,83:83)-LOOKUP(C13,82:82,83:83)+100</f>
        <v>102</v>
      </c>
      <c r="I13" s="532">
        <v>1.95</v>
      </c>
      <c r="J13" s="254">
        <f>LOOKUP(I13,82:82,83:83)-LOOKUP(C13,82:82,83:83)+100</f>
        <v>100</v>
      </c>
      <c r="K13" s="534">
        <v>2</v>
      </c>
      <c r="L13" s="2139"/>
      <c r="M13" s="2131"/>
      <c r="N13" s="2131"/>
      <c r="O13" s="2140"/>
      <c r="P13" s="3362"/>
      <c r="Q13" s="1149" t="str">
        <f t="shared" si="6"/>
        <v>容积率</v>
      </c>
      <c r="R13" s="1566" t="s">
        <v>8</v>
      </c>
      <c r="S13" s="1567">
        <f t="shared" si="0"/>
        <v>98</v>
      </c>
      <c r="T13" s="1566" t="s">
        <v>8</v>
      </c>
      <c r="U13" s="1567">
        <f t="shared" si="1"/>
        <v>102</v>
      </c>
      <c r="V13" s="1566" t="s">
        <v>8</v>
      </c>
      <c r="W13" s="1567">
        <f t="shared" si="2"/>
        <v>100</v>
      </c>
      <c r="X13" s="1568"/>
      <c r="Y13" s="3308"/>
      <c r="Z13" s="1148" t="str">
        <f t="shared" si="7"/>
        <v>容积率</v>
      </c>
      <c r="AA13" s="1569">
        <f t="shared" si="3"/>
        <v>1.0204081632653061</v>
      </c>
      <c r="AB13" s="1569">
        <f t="shared" si="4"/>
        <v>0.98039215686274506</v>
      </c>
      <c r="AC13" s="1569">
        <f t="shared" si="5"/>
        <v>1</v>
      </c>
    </row>
    <row r="14" spans="1:30" s="1218" customFormat="1" ht="21" hidden="1">
      <c r="A14" s="2912"/>
      <c r="B14" s="2921" t="s">
        <v>2721</v>
      </c>
      <c r="C14" s="2908"/>
      <c r="D14" s="537">
        <v>100</v>
      </c>
      <c r="E14" s="1373"/>
      <c r="F14" s="254">
        <f>SUMIF(84:84,E14,85:85)-SUMIF(84:84,C14,85:85)+100</f>
        <v>100</v>
      </c>
      <c r="G14" s="529"/>
      <c r="H14" s="254">
        <f>SUMIF(84:84,G14,85:85)-SUMIF(84:84,C14,85:85)+100</f>
        <v>100</v>
      </c>
      <c r="I14" s="528"/>
      <c r="J14" s="254">
        <f>SUMIF(84:84,I14,85:85)-SUMIF(84:84,C14,85:85)+100</f>
        <v>100</v>
      </c>
      <c r="K14" s="530"/>
      <c r="L14" s="2134"/>
      <c r="M14" s="2131"/>
      <c r="N14" s="2131"/>
      <c r="O14" s="2136"/>
      <c r="P14" s="3362"/>
      <c r="Q14" s="1149" t="str">
        <f t="shared" si="6"/>
        <v>配建</v>
      </c>
      <c r="R14" s="1566" t="s">
        <v>8</v>
      </c>
      <c r="S14" s="1567">
        <f t="shared" si="0"/>
        <v>100</v>
      </c>
      <c r="T14" s="1566" t="s">
        <v>8</v>
      </c>
      <c r="U14" s="1567">
        <f t="shared" si="1"/>
        <v>100</v>
      </c>
      <c r="V14" s="1566" t="s">
        <v>8</v>
      </c>
      <c r="W14" s="1567">
        <f t="shared" si="2"/>
        <v>100</v>
      </c>
      <c r="X14" s="1568"/>
      <c r="Y14" s="3308"/>
      <c r="Z14" s="1148" t="str">
        <f t="shared" si="7"/>
        <v>配建</v>
      </c>
      <c r="AA14" s="1569">
        <f>D14/F14</f>
        <v>1</v>
      </c>
      <c r="AB14" s="1569">
        <f>D14/H14</f>
        <v>1</v>
      </c>
      <c r="AC14" s="1569">
        <f>D14/J14</f>
        <v>1</v>
      </c>
    </row>
    <row r="15" spans="1:30" ht="21" hidden="1">
      <c r="A15" s="2916"/>
      <c r="B15" s="2922"/>
      <c r="C15" s="910"/>
      <c r="D15" s="539">
        <v>100</v>
      </c>
      <c r="E15" s="540"/>
      <c r="F15" s="254">
        <f>SUMIF(86:86,E15,87:87)-SUMIF(86:86,C15,87:87)+100</f>
        <v>100</v>
      </c>
      <c r="G15" s="541"/>
      <c r="H15" s="539">
        <f>SUMIF(86:86,G15,87:87)-SUMIF(86:86,C15,87:87)+100</f>
        <v>100</v>
      </c>
      <c r="I15" s="541"/>
      <c r="J15" s="539">
        <f>SUMIF(86:86,I15,87:87)-SUMIF(86:86,C15,87:87)+100</f>
        <v>100</v>
      </c>
      <c r="K15" s="530"/>
      <c r="L15" s="2141"/>
      <c r="M15" s="2131"/>
      <c r="N15" s="2131"/>
      <c r="O15" s="2140"/>
      <c r="P15" s="3362"/>
      <c r="Q15" s="1149">
        <f t="shared" si="6"/>
        <v>0</v>
      </c>
      <c r="R15" s="1566" t="s">
        <v>8</v>
      </c>
      <c r="S15" s="1567">
        <f t="shared" si="0"/>
        <v>100</v>
      </c>
      <c r="T15" s="1566" t="s">
        <v>8</v>
      </c>
      <c r="U15" s="1567">
        <f t="shared" si="1"/>
        <v>100</v>
      </c>
      <c r="V15" s="1566" t="s">
        <v>8</v>
      </c>
      <c r="W15" s="1567">
        <f t="shared" si="2"/>
        <v>100</v>
      </c>
      <c r="X15" s="1568"/>
      <c r="Y15" s="3308"/>
      <c r="Z15" s="1148">
        <f t="shared" si="7"/>
        <v>0</v>
      </c>
      <c r="AA15" s="1569">
        <f>D15/F15</f>
        <v>1</v>
      </c>
      <c r="AB15" s="1569">
        <f>D15/H15</f>
        <v>1</v>
      </c>
      <c r="AC15" s="1569">
        <f>D15/J15</f>
        <v>1</v>
      </c>
    </row>
    <row r="16" spans="1:30" ht="21.6" hidden="1" thickBot="1">
      <c r="A16" s="2917"/>
      <c r="B16" s="2923"/>
      <c r="C16" s="913"/>
      <c r="D16" s="545">
        <v>100</v>
      </c>
      <c r="E16" s="540"/>
      <c r="F16" s="545">
        <f>SUMIF(88:88,E16,89:89)-SUMIF(88:88,C16,89:89)+100</f>
        <v>100</v>
      </c>
      <c r="G16" s="541"/>
      <c r="H16" s="545">
        <f>SUMIF(88:88,G16,89:89)-SUMIF(88:88,C16,89:89)+100</f>
        <v>100</v>
      </c>
      <c r="I16" s="541"/>
      <c r="J16" s="545">
        <f>SUMIF(88:88,I16,89:89)-SUMIF(88:88,C16,89:89)+100</f>
        <v>100</v>
      </c>
      <c r="K16" s="530"/>
      <c r="L16" s="2141"/>
      <c r="M16" s="2131"/>
      <c r="N16" s="2131"/>
      <c r="O16" s="2140"/>
      <c r="P16" s="3362"/>
      <c r="Q16" s="1149">
        <f t="shared" si="6"/>
        <v>0</v>
      </c>
      <c r="R16" s="1566" t="s">
        <v>8</v>
      </c>
      <c r="S16" s="1567">
        <f t="shared" si="0"/>
        <v>100</v>
      </c>
      <c r="T16" s="1566" t="s">
        <v>8</v>
      </c>
      <c r="U16" s="1567">
        <f t="shared" si="1"/>
        <v>100</v>
      </c>
      <c r="V16" s="1566" t="s">
        <v>8</v>
      </c>
      <c r="W16" s="1567">
        <f t="shared" si="2"/>
        <v>100</v>
      </c>
      <c r="X16" s="1568"/>
      <c r="Y16" s="3308"/>
      <c r="Z16" s="1148">
        <f t="shared" si="7"/>
        <v>0</v>
      </c>
      <c r="AA16" s="1569">
        <f>D16/F16</f>
        <v>1</v>
      </c>
      <c r="AB16" s="1569">
        <f>D16/H16</f>
        <v>1</v>
      </c>
      <c r="AC16" s="1569">
        <f>D16/J16</f>
        <v>1</v>
      </c>
    </row>
    <row r="17" spans="1:29" ht="96.6">
      <c r="A17" s="2909" t="s">
        <v>2716</v>
      </c>
      <c r="B17" s="577" t="s">
        <v>260</v>
      </c>
      <c r="C17" s="547" t="str">
        <f>估价对象房地状况!C15</f>
        <v>估价对象周边居住用地比例、居住小区规模和社区发展完善程度，综合评价居住社区成熟度一般</v>
      </c>
      <c r="D17" s="550">
        <v>100</v>
      </c>
      <c r="E17" s="551" t="s">
        <v>2972</v>
      </c>
      <c r="F17" s="548">
        <f>SUMIF(90:90,E18,91:91)-SUMIF(90:90,C18,91:91)+100</f>
        <v>100</v>
      </c>
      <c r="G17" s="551" t="s">
        <v>2972</v>
      </c>
      <c r="H17" s="548">
        <f>SUMIF(90:90,G18,91:91)-SUMIF(90:90,C18,91:91)+100</f>
        <v>100</v>
      </c>
      <c r="I17" s="551" t="s">
        <v>2972</v>
      </c>
      <c r="J17" s="548">
        <f>SUMIF(90:90,I18,91:91)-SUMIF(90:90,C18,91:91)+100</f>
        <v>100</v>
      </c>
      <c r="K17" s="534"/>
      <c r="L17" s="2141"/>
      <c r="M17" s="2131"/>
      <c r="N17" s="2131"/>
      <c r="O17" s="2140"/>
      <c r="P17" s="3396" t="s">
        <v>505</v>
      </c>
      <c r="Q17" s="1570" t="str">
        <f t="shared" si="6"/>
        <v>居住社区成熟度</v>
      </c>
      <c r="R17" s="1571" t="s">
        <v>8</v>
      </c>
      <c r="S17" s="1572">
        <f t="shared" si="0"/>
        <v>100</v>
      </c>
      <c r="T17" s="1571" t="s">
        <v>8</v>
      </c>
      <c r="U17" s="1572">
        <f t="shared" si="1"/>
        <v>100</v>
      </c>
      <c r="V17" s="1571" t="s">
        <v>8</v>
      </c>
      <c r="W17" s="1572">
        <f t="shared" si="2"/>
        <v>100</v>
      </c>
      <c r="X17" s="1565"/>
      <c r="Y17" s="3396" t="s">
        <v>505</v>
      </c>
      <c r="Z17" s="1573" t="str">
        <f t="shared" si="7"/>
        <v>居住社区成熟度</v>
      </c>
      <c r="AA17" s="1574">
        <f t="shared" si="3"/>
        <v>1</v>
      </c>
      <c r="AB17" s="1574">
        <f t="shared" si="4"/>
        <v>1</v>
      </c>
      <c r="AC17" s="1574">
        <f t="shared" si="5"/>
        <v>1</v>
      </c>
    </row>
    <row r="18" spans="1:29" ht="21">
      <c r="A18" s="531"/>
      <c r="B18" s="552"/>
      <c r="C18" s="553" t="s">
        <v>2995</v>
      </c>
      <c r="D18" s="556"/>
      <c r="E18" s="553" t="s">
        <v>2995</v>
      </c>
      <c r="F18" s="554"/>
      <c r="G18" s="553" t="s">
        <v>2995</v>
      </c>
      <c r="H18" s="558"/>
      <c r="I18" s="553" t="s">
        <v>2995</v>
      </c>
      <c r="J18" s="554"/>
      <c r="K18" s="530"/>
      <c r="L18" s="2141"/>
      <c r="M18" s="2131"/>
      <c r="N18" s="2131"/>
      <c r="O18" s="2140"/>
      <c r="P18" s="3397"/>
      <c r="Q18" s="1570"/>
      <c r="R18" s="1571"/>
      <c r="S18" s="1572"/>
      <c r="T18" s="1571"/>
      <c r="U18" s="1572"/>
      <c r="V18" s="1571"/>
      <c r="W18" s="1572"/>
      <c r="X18" s="1565"/>
      <c r="Y18" s="3397"/>
      <c r="Z18" s="1573"/>
      <c r="AA18" s="1574">
        <v>1</v>
      </c>
      <c r="AB18" s="1574">
        <v>1</v>
      </c>
      <c r="AC18" s="1574">
        <v>1</v>
      </c>
    </row>
    <row r="19" spans="1:29" ht="69">
      <c r="A19" s="531"/>
      <c r="B19" s="559" t="s">
        <v>506</v>
      </c>
      <c r="C19" s="560" t="str">
        <f>估价对象房地状况!C16</f>
        <v>估价对象位于XX商圈，周边商业氛围成熟，人流量大，商业繁华度好</v>
      </c>
      <c r="D19" s="562">
        <v>100</v>
      </c>
      <c r="E19" s="563" t="s">
        <v>2973</v>
      </c>
      <c r="F19" s="558">
        <f>SUMIF(92:92,E20,93:93)-SUMIF(92:92,C20,93:93)+100</f>
        <v>100</v>
      </c>
      <c r="G19" s="563" t="s">
        <v>2973</v>
      </c>
      <c r="H19" s="564">
        <f>SUMIF(92:92,G20,93:93)-SUMIF(92:92,C20,93:93)+100</f>
        <v>104</v>
      </c>
      <c r="I19" s="563" t="s">
        <v>2973</v>
      </c>
      <c r="J19" s="564">
        <f>SUMIF(92:92,I20,93:93)-SUMIF(92:92,C20,93:93)+100</f>
        <v>104</v>
      </c>
      <c r="K19" s="534">
        <v>2</v>
      </c>
      <c r="L19" s="2141"/>
      <c r="M19" s="2131"/>
      <c r="N19" s="2131"/>
      <c r="O19" s="2140"/>
      <c r="P19" s="3397"/>
      <c r="Q19" s="1570" t="str">
        <f>B19</f>
        <v>商业繁华度</v>
      </c>
      <c r="R19" s="1571" t="s">
        <v>8</v>
      </c>
      <c r="S19" s="1572">
        <f>F19</f>
        <v>100</v>
      </c>
      <c r="T19" s="1571" t="s">
        <v>8</v>
      </c>
      <c r="U19" s="1572">
        <f>H19</f>
        <v>104</v>
      </c>
      <c r="V19" s="1571" t="s">
        <v>8</v>
      </c>
      <c r="W19" s="1572">
        <f>J19</f>
        <v>104</v>
      </c>
      <c r="X19" s="1565"/>
      <c r="Y19" s="3397"/>
      <c r="Z19" s="1573" t="str">
        <f>Q19</f>
        <v>商业繁华度</v>
      </c>
      <c r="AA19" s="1574">
        <f t="shared" si="3"/>
        <v>1</v>
      </c>
      <c r="AB19" s="1574">
        <f t="shared" si="4"/>
        <v>0.96153846153846156</v>
      </c>
      <c r="AC19" s="1574">
        <f t="shared" si="5"/>
        <v>0.96153846153846156</v>
      </c>
    </row>
    <row r="20" spans="1:29" ht="21">
      <c r="A20" s="531"/>
      <c r="B20" s="565"/>
      <c r="C20" s="566" t="s">
        <v>2995</v>
      </c>
      <c r="D20" s="562"/>
      <c r="E20" s="566" t="s">
        <v>2995</v>
      </c>
      <c r="F20" s="558"/>
      <c r="G20" s="566" t="s">
        <v>3003</v>
      </c>
      <c r="H20" s="554"/>
      <c r="I20" s="568" t="s">
        <v>3003</v>
      </c>
      <c r="J20" s="554"/>
      <c r="K20" s="530"/>
      <c r="L20" s="2141"/>
      <c r="M20" s="2131"/>
      <c r="N20" s="2131"/>
      <c r="O20" s="2140"/>
      <c r="P20" s="3397"/>
      <c r="Q20" s="1570"/>
      <c r="R20" s="1571"/>
      <c r="S20" s="1572"/>
      <c r="T20" s="1571"/>
      <c r="U20" s="1572"/>
      <c r="V20" s="1571"/>
      <c r="W20" s="1572"/>
      <c r="X20" s="1565"/>
      <c r="Y20" s="3397"/>
      <c r="Z20" s="1573"/>
      <c r="AA20" s="1574">
        <v>1</v>
      </c>
      <c r="AB20" s="1574">
        <v>1</v>
      </c>
      <c r="AC20" s="1574">
        <v>1</v>
      </c>
    </row>
    <row r="21" spans="1:29" ht="69" hidden="1">
      <c r="A21" s="531"/>
      <c r="B21" s="559" t="s">
        <v>507</v>
      </c>
      <c r="C21" s="560" t="str">
        <f>估价对象房地状况!C17</f>
        <v>估价对象位于XX商圈，周边办公楼项目较多，入驻率高，办公集聚程度较好</v>
      </c>
      <c r="D21" s="570">
        <v>100</v>
      </c>
      <c r="E21" s="571" t="s">
        <v>2974</v>
      </c>
      <c r="F21" s="564">
        <f>SUMIF(94:94,E22,95:95)-SUMIF(94:94,C22,95:95)+100</f>
        <v>100</v>
      </c>
      <c r="G21" s="571" t="s">
        <v>2974</v>
      </c>
      <c r="H21" s="558">
        <f>SUMIF(94:94,G22,95:95)-SUMIF(94:94,C22,95:95)+100</f>
        <v>100</v>
      </c>
      <c r="I21" s="571" t="s">
        <v>2974</v>
      </c>
      <c r="J21" s="558">
        <f>SUMIF(94:94,I22,95:95)-SUMIF(94:94,C22,95:95)+100</f>
        <v>100</v>
      </c>
      <c r="K21" s="534"/>
      <c r="L21" s="2141"/>
      <c r="M21" s="2131"/>
      <c r="N21" s="2131"/>
      <c r="O21" s="2140"/>
      <c r="P21" s="3397"/>
      <c r="Q21" s="1570" t="str">
        <f>B21</f>
        <v>办公集聚程度</v>
      </c>
      <c r="R21" s="1571" t="s">
        <v>8</v>
      </c>
      <c r="S21" s="1572">
        <f>F21</f>
        <v>100</v>
      </c>
      <c r="T21" s="1571" t="s">
        <v>8</v>
      </c>
      <c r="U21" s="1572">
        <f>H21</f>
        <v>100</v>
      </c>
      <c r="V21" s="1571" t="s">
        <v>8</v>
      </c>
      <c r="W21" s="1572">
        <f>J21</f>
        <v>100</v>
      </c>
      <c r="X21" s="1565"/>
      <c r="Y21" s="3397"/>
      <c r="Z21" s="1573" t="str">
        <f>Q21</f>
        <v>办公集聚程度</v>
      </c>
      <c r="AA21" s="1574">
        <f t="shared" si="3"/>
        <v>1</v>
      </c>
      <c r="AB21" s="1574">
        <f t="shared" si="4"/>
        <v>1</v>
      </c>
      <c r="AC21" s="1574">
        <f t="shared" si="5"/>
        <v>1</v>
      </c>
    </row>
    <row r="22" spans="1:29" ht="21" hidden="1">
      <c r="A22" s="531"/>
      <c r="B22" s="565"/>
      <c r="C22" s="553"/>
      <c r="D22" s="556"/>
      <c r="E22" s="557"/>
      <c r="F22" s="554"/>
      <c r="G22" s="557"/>
      <c r="H22" s="554"/>
      <c r="I22" s="557"/>
      <c r="J22" s="554"/>
      <c r="K22" s="530"/>
      <c r="L22" s="2141"/>
      <c r="M22" s="2131"/>
      <c r="N22" s="2131"/>
      <c r="O22" s="2140"/>
      <c r="P22" s="3397"/>
      <c r="Q22" s="1570"/>
      <c r="R22" s="1571"/>
      <c r="S22" s="1572"/>
      <c r="T22" s="1571"/>
      <c r="U22" s="1572"/>
      <c r="V22" s="1571"/>
      <c r="W22" s="1572"/>
      <c r="X22" s="1565"/>
      <c r="Y22" s="3397"/>
      <c r="Z22" s="1573"/>
      <c r="AA22" s="1574">
        <v>1</v>
      </c>
      <c r="AB22" s="1574">
        <v>1</v>
      </c>
      <c r="AC22" s="1574">
        <v>1</v>
      </c>
    </row>
    <row r="23" spans="1:29" ht="82.8">
      <c r="A23" s="531"/>
      <c r="B23" s="559" t="s">
        <v>508</v>
      </c>
      <c r="C23" s="572" t="str">
        <f>估价对象房地状况!C18</f>
        <v>估价对象周边道路状况、公共交通通达情况、停车便捷程度，综合评价交通便捷度较好</v>
      </c>
      <c r="D23" s="562">
        <v>100</v>
      </c>
      <c r="E23" s="563" t="s">
        <v>2975</v>
      </c>
      <c r="F23" s="564">
        <f>SUMIF(96:96,E24,97:97)-SUMIF(96:96,C24,97:97)+100</f>
        <v>100</v>
      </c>
      <c r="G23" s="563" t="s">
        <v>2975</v>
      </c>
      <c r="H23" s="558">
        <f>SUMIF(96:96,G24,97:97)-SUMIF(96:96,C24,97:97)+100</f>
        <v>102</v>
      </c>
      <c r="I23" s="563" t="s">
        <v>2975</v>
      </c>
      <c r="J23" s="558">
        <f>SUMIF(96:96,I24,97:97)-SUMIF(96:96,C24,97:97)+100</f>
        <v>102</v>
      </c>
      <c r="K23" s="534">
        <v>2</v>
      </c>
      <c r="L23" s="2141"/>
      <c r="M23" s="2131"/>
      <c r="N23" s="2131"/>
      <c r="O23" s="2140"/>
      <c r="P23" s="3397"/>
      <c r="Q23" s="1570" t="str">
        <f>B23</f>
        <v>交通便捷度</v>
      </c>
      <c r="R23" s="1571" t="s">
        <v>8</v>
      </c>
      <c r="S23" s="1572">
        <f>F23</f>
        <v>100</v>
      </c>
      <c r="T23" s="1571" t="s">
        <v>8</v>
      </c>
      <c r="U23" s="1572">
        <f>H23</f>
        <v>102</v>
      </c>
      <c r="V23" s="1571" t="s">
        <v>8</v>
      </c>
      <c r="W23" s="1572">
        <f>J23</f>
        <v>102</v>
      </c>
      <c r="X23" s="1565"/>
      <c r="Y23" s="3397"/>
      <c r="Z23" s="1573" t="str">
        <f>Q23</f>
        <v>交通便捷度</v>
      </c>
      <c r="AA23" s="1574">
        <f t="shared" si="3"/>
        <v>1</v>
      </c>
      <c r="AB23" s="1574">
        <f t="shared" si="4"/>
        <v>0.98039215686274506</v>
      </c>
      <c r="AC23" s="1574">
        <f t="shared" si="5"/>
        <v>0.98039215686274506</v>
      </c>
    </row>
    <row r="24" spans="1:29" ht="21">
      <c r="A24" s="531"/>
      <c r="B24" s="577"/>
      <c r="C24" s="553" t="s">
        <v>2995</v>
      </c>
      <c r="D24" s="556"/>
      <c r="E24" s="553" t="s">
        <v>2995</v>
      </c>
      <c r="F24" s="554"/>
      <c r="G24" s="557" t="s">
        <v>2949</v>
      </c>
      <c r="H24" s="554"/>
      <c r="I24" s="557" t="s">
        <v>2949</v>
      </c>
      <c r="J24" s="554"/>
      <c r="K24" s="530"/>
      <c r="L24" s="2141"/>
      <c r="M24" s="2131"/>
      <c r="N24" s="2131"/>
      <c r="O24" s="2140"/>
      <c r="P24" s="3397"/>
      <c r="Q24" s="1570"/>
      <c r="R24" s="1571"/>
      <c r="S24" s="1572"/>
      <c r="T24" s="1571"/>
      <c r="U24" s="1572"/>
      <c r="V24" s="1571"/>
      <c r="W24" s="1572"/>
      <c r="X24" s="1565"/>
      <c r="Y24" s="3397"/>
      <c r="Z24" s="1573"/>
      <c r="AA24" s="1574">
        <v>1</v>
      </c>
      <c r="AB24" s="1574">
        <v>1</v>
      </c>
      <c r="AC24" s="1574">
        <v>1</v>
      </c>
    </row>
    <row r="25" spans="1:29" ht="28.8">
      <c r="A25" s="514"/>
      <c r="B25" s="258" t="s">
        <v>509</v>
      </c>
      <c r="C25" s="572">
        <f>估价对象房地状况!C19</f>
        <v>0</v>
      </c>
      <c r="D25" s="562">
        <v>100</v>
      </c>
      <c r="E25" s="563">
        <v>0</v>
      </c>
      <c r="F25" s="564">
        <f>SUMIF(98:98,E26,99:99)-SUMIF(98:98,C26,99:99)+100</f>
        <v>100</v>
      </c>
      <c r="G25" s="563">
        <v>0</v>
      </c>
      <c r="H25" s="558">
        <f>SUMIF(98:98,G26,99:99)-SUMIF(98:98,C26,99:99)+100</f>
        <v>100</v>
      </c>
      <c r="I25" s="563">
        <v>0</v>
      </c>
      <c r="J25" s="558">
        <f>SUMIF(98:98,I26,99:99)-SUMIF(98:98,C26,99:99)+100</f>
        <v>103</v>
      </c>
      <c r="K25" s="534">
        <v>3</v>
      </c>
      <c r="L25" s="2141"/>
      <c r="M25" s="2131"/>
      <c r="N25" s="2131"/>
      <c r="O25" s="2140"/>
      <c r="P25" s="3397"/>
      <c r="Q25" s="1570" t="str">
        <f t="shared" ref="Q25:Q39" si="8">B25</f>
        <v>区域土地利用方向</v>
      </c>
      <c r="R25" s="1571" t="s">
        <v>8</v>
      </c>
      <c r="S25" s="1572">
        <f>F25</f>
        <v>100</v>
      </c>
      <c r="T25" s="1571" t="s">
        <v>8</v>
      </c>
      <c r="U25" s="1572">
        <f>H25</f>
        <v>100</v>
      </c>
      <c r="V25" s="1571" t="s">
        <v>8</v>
      </c>
      <c r="W25" s="1572">
        <f>J25</f>
        <v>103</v>
      </c>
      <c r="X25" s="1565"/>
      <c r="Y25" s="3397"/>
      <c r="Z25" s="1573" t="str">
        <f>Q25</f>
        <v>区域土地利用方向</v>
      </c>
      <c r="AA25" s="1574">
        <f t="shared" si="3"/>
        <v>1</v>
      </c>
      <c r="AB25" s="1574">
        <f t="shared" si="4"/>
        <v>1</v>
      </c>
      <c r="AC25" s="1574">
        <f t="shared" si="5"/>
        <v>0.970873786407767</v>
      </c>
    </row>
    <row r="26" spans="1:29" ht="21">
      <c r="A26" s="514"/>
      <c r="B26" s="1005"/>
      <c r="C26" s="553" t="s">
        <v>2995</v>
      </c>
      <c r="D26" s="556"/>
      <c r="E26" s="553" t="s">
        <v>2995</v>
      </c>
      <c r="F26" s="554"/>
      <c r="G26" s="553" t="s">
        <v>2995</v>
      </c>
      <c r="H26" s="554"/>
      <c r="I26" s="557" t="s">
        <v>2949</v>
      </c>
      <c r="J26" s="554"/>
      <c r="K26" s="530"/>
      <c r="L26" s="2141"/>
      <c r="M26" s="2131"/>
      <c r="N26" s="2131"/>
      <c r="O26" s="2140"/>
      <c r="P26" s="3397"/>
      <c r="Q26" s="1570"/>
      <c r="R26" s="1571"/>
      <c r="S26" s="1572"/>
      <c r="T26" s="1571"/>
      <c r="U26" s="1572"/>
      <c r="V26" s="1571"/>
      <c r="W26" s="1572"/>
      <c r="X26" s="1565"/>
      <c r="Y26" s="3397"/>
      <c r="Z26" s="1573"/>
      <c r="AA26" s="1574"/>
      <c r="AB26" s="1574"/>
      <c r="AC26" s="1574"/>
    </row>
    <row r="27" spans="1:29" ht="55.2">
      <c r="A27" s="514"/>
      <c r="B27" s="577" t="s">
        <v>510</v>
      </c>
      <c r="C27" s="560" t="str">
        <f>估价对象房地状况!C20</f>
        <v>区域自然环境：；人文环境；综合评价环境状况一般</v>
      </c>
      <c r="D27" s="562">
        <v>100</v>
      </c>
      <c r="E27" s="563" t="s">
        <v>2976</v>
      </c>
      <c r="F27" s="558">
        <f>SUMIF(100:100,E28,101:101)-SUMIF(100:100,C28,101:101)+100</f>
        <v>100</v>
      </c>
      <c r="G27" s="563" t="s">
        <v>2976</v>
      </c>
      <c r="H27" s="558">
        <f>SUMIF(100:100,G28,101:101)-SUMIF(100:100,C28,101:101)+100</f>
        <v>100</v>
      </c>
      <c r="I27" s="563" t="s">
        <v>2976</v>
      </c>
      <c r="J27" s="558">
        <f>SUMIF(100:100,I28,101:101)-SUMIF(100:100,C28,101:101)+100</f>
        <v>102</v>
      </c>
      <c r="K27" s="534">
        <v>2</v>
      </c>
      <c r="L27" s="2141"/>
      <c r="M27" s="2131"/>
      <c r="N27" s="2131"/>
      <c r="O27" s="2140"/>
      <c r="P27" s="3397"/>
      <c r="Q27" s="1570" t="str">
        <f t="shared" si="8"/>
        <v>自然及人文环境状况</v>
      </c>
      <c r="R27" s="1571" t="s">
        <v>8</v>
      </c>
      <c r="S27" s="1572">
        <f>F27</f>
        <v>100</v>
      </c>
      <c r="T27" s="1571" t="s">
        <v>8</v>
      </c>
      <c r="U27" s="1572">
        <f>H27</f>
        <v>100</v>
      </c>
      <c r="V27" s="1571" t="s">
        <v>8</v>
      </c>
      <c r="W27" s="1572">
        <f>J27</f>
        <v>102</v>
      </c>
      <c r="X27" s="1565"/>
      <c r="Y27" s="3397"/>
      <c r="Z27" s="1573" t="str">
        <f>Q27</f>
        <v>自然及人文环境状况</v>
      </c>
      <c r="AA27" s="1574">
        <f t="shared" si="3"/>
        <v>1</v>
      </c>
      <c r="AB27" s="1574">
        <f t="shared" si="4"/>
        <v>1</v>
      </c>
      <c r="AC27" s="1574">
        <f t="shared" si="5"/>
        <v>0.98039215686274506</v>
      </c>
    </row>
    <row r="28" spans="1:29" ht="21">
      <c r="A28" s="514"/>
      <c r="B28" s="565"/>
      <c r="C28" s="553" t="s">
        <v>2949</v>
      </c>
      <c r="D28" s="556"/>
      <c r="E28" s="575" t="s">
        <v>2949</v>
      </c>
      <c r="F28" s="554"/>
      <c r="G28" s="575" t="s">
        <v>2949</v>
      </c>
      <c r="H28" s="554"/>
      <c r="I28" s="575" t="s">
        <v>3003</v>
      </c>
      <c r="J28" s="554"/>
      <c r="K28" s="530"/>
      <c r="L28" s="2141"/>
      <c r="M28" s="2131"/>
      <c r="N28" s="2131"/>
      <c r="O28" s="2140"/>
      <c r="P28" s="3397"/>
      <c r="Q28" s="1570"/>
      <c r="R28" s="1571"/>
      <c r="S28" s="1572"/>
      <c r="T28" s="1571"/>
      <c r="U28" s="1572"/>
      <c r="V28" s="1571"/>
      <c r="W28" s="1572"/>
      <c r="X28" s="1565"/>
      <c r="Y28" s="3397"/>
      <c r="Z28" s="1573"/>
      <c r="AA28" s="1574">
        <v>1</v>
      </c>
      <c r="AB28" s="1574">
        <v>1</v>
      </c>
      <c r="AC28" s="1574">
        <v>1</v>
      </c>
    </row>
    <row r="29" spans="1:29" s="1218" customFormat="1" ht="41.4">
      <c r="A29" s="576"/>
      <c r="B29" s="2590" t="s">
        <v>2510</v>
      </c>
      <c r="C29" s="572" t="str">
        <f>估价对象房地状况!C21</f>
        <v>估价对象所在区域公共配套设施齐备情况</v>
      </c>
      <c r="D29" s="562">
        <v>100</v>
      </c>
      <c r="E29" s="563" t="s">
        <v>2977</v>
      </c>
      <c r="F29" s="558">
        <f>SUMIF(102:102,E30,103:103)-SUMIF(102:102,C30,103:103)+100</f>
        <v>100</v>
      </c>
      <c r="G29" s="563" t="s">
        <v>2977</v>
      </c>
      <c r="H29" s="558">
        <f>SUMIF(102:102,G30,103:103)-SUMIF(102:102,C30,103:103)+100</f>
        <v>100</v>
      </c>
      <c r="I29" s="563" t="s">
        <v>2977</v>
      </c>
      <c r="J29" s="558">
        <f>SUMIF(102:102,I30,103:103)-SUMIF(102:102,C30,103:103)+100</f>
        <v>102</v>
      </c>
      <c r="K29" s="534">
        <v>2</v>
      </c>
      <c r="L29" s="2134"/>
      <c r="M29" s="2131"/>
      <c r="N29" s="2131"/>
      <c r="O29" s="2136"/>
      <c r="P29" s="3397"/>
      <c r="Q29" s="1149" t="str">
        <f t="shared" si="8"/>
        <v>公共配套设施</v>
      </c>
      <c r="R29" s="1566" t="s">
        <v>8</v>
      </c>
      <c r="S29" s="1567">
        <f>F29</f>
        <v>100</v>
      </c>
      <c r="T29" s="1566" t="s">
        <v>8</v>
      </c>
      <c r="U29" s="1567">
        <f>H29</f>
        <v>100</v>
      </c>
      <c r="V29" s="1566" t="s">
        <v>8</v>
      </c>
      <c r="W29" s="1567">
        <f>J29</f>
        <v>102</v>
      </c>
      <c r="X29" s="1568"/>
      <c r="Y29" s="3397"/>
      <c r="Z29" s="1148" t="str">
        <f>Q29</f>
        <v>公共配套设施</v>
      </c>
      <c r="AA29" s="1574">
        <f>D29/F29</f>
        <v>1</v>
      </c>
      <c r="AB29" s="1574">
        <f>D29/H29</f>
        <v>1</v>
      </c>
      <c r="AC29" s="1574">
        <f>D29/J29</f>
        <v>0.98039215686274506</v>
      </c>
    </row>
    <row r="30" spans="1:29" s="1218" customFormat="1" ht="21">
      <c r="A30" s="576"/>
      <c r="B30" s="565"/>
      <c r="C30" s="578" t="s">
        <v>2995</v>
      </c>
      <c r="D30" s="556"/>
      <c r="E30" s="578" t="s">
        <v>2995</v>
      </c>
      <c r="F30" s="554"/>
      <c r="G30" s="578" t="s">
        <v>2995</v>
      </c>
      <c r="H30" s="554"/>
      <c r="I30" s="575" t="s">
        <v>2949</v>
      </c>
      <c r="J30" s="554"/>
      <c r="K30" s="530"/>
      <c r="L30" s="2134"/>
      <c r="M30" s="2131"/>
      <c r="N30" s="2131"/>
      <c r="O30" s="2136"/>
      <c r="P30" s="3397"/>
      <c r="Q30" s="1149"/>
      <c r="R30" s="1566"/>
      <c r="S30" s="1567"/>
      <c r="T30" s="1566"/>
      <c r="U30" s="1567"/>
      <c r="V30" s="1566"/>
      <c r="W30" s="1567"/>
      <c r="X30" s="1568"/>
      <c r="Y30" s="3397"/>
      <c r="Z30" s="1148"/>
      <c r="AA30" s="1574">
        <v>1</v>
      </c>
      <c r="AB30" s="1574">
        <v>1</v>
      </c>
      <c r="AC30" s="1574">
        <v>1</v>
      </c>
    </row>
    <row r="31" spans="1:29" s="1218" customFormat="1" ht="27.6">
      <c r="A31" s="576"/>
      <c r="B31" s="2590" t="s">
        <v>2511</v>
      </c>
      <c r="C31" s="572" t="str">
        <f>估价对象房地状况!C22</f>
        <v>估价对象所在区域基础设施水平</v>
      </c>
      <c r="D31" s="562">
        <v>100</v>
      </c>
      <c r="E31" s="563" t="s">
        <v>2978</v>
      </c>
      <c r="F31" s="558">
        <f>SUMIF(104:104,E32,105:105)-SUMIF(104:104,C32,105:105)+100</f>
        <v>100</v>
      </c>
      <c r="G31" s="563" t="s">
        <v>2978</v>
      </c>
      <c r="H31" s="558">
        <f>SUMIF(104:104,G32,105:105)-SUMIF(104:104,C32,105:105)+100</f>
        <v>100</v>
      </c>
      <c r="I31" s="563" t="s">
        <v>2978</v>
      </c>
      <c r="J31" s="558">
        <f>SUMIF(104:104,I32,105:105)-SUMIF(104:104,C32,105:105)+100</f>
        <v>100</v>
      </c>
      <c r="K31" s="534">
        <v>1</v>
      </c>
      <c r="L31" s="2134"/>
      <c r="M31" s="2131"/>
      <c r="N31" s="2131"/>
      <c r="O31" s="2136"/>
      <c r="P31" s="3397"/>
      <c r="Q31" s="2577" t="str">
        <f t="shared" ref="Q31" si="9">B31</f>
        <v>基础设施水平</v>
      </c>
      <c r="R31" s="1566" t="s">
        <v>8</v>
      </c>
      <c r="S31" s="1567">
        <f>F31</f>
        <v>100</v>
      </c>
      <c r="T31" s="1566" t="s">
        <v>8</v>
      </c>
      <c r="U31" s="1567">
        <f>H31</f>
        <v>100</v>
      </c>
      <c r="V31" s="1566" t="s">
        <v>8</v>
      </c>
      <c r="W31" s="1567">
        <f>J31</f>
        <v>100</v>
      </c>
      <c r="X31" s="1568"/>
      <c r="Y31" s="3397"/>
      <c r="Z31" s="2574" t="str">
        <f>Q31</f>
        <v>基础设施水平</v>
      </c>
      <c r="AA31" s="1574">
        <f>D31/F31</f>
        <v>1</v>
      </c>
      <c r="AB31" s="1574">
        <f>D31/H31</f>
        <v>1</v>
      </c>
      <c r="AC31" s="1574">
        <f>D31/J31</f>
        <v>1</v>
      </c>
    </row>
    <row r="32" spans="1:29" s="1218" customFormat="1" ht="21.6" thickBot="1">
      <c r="A32" s="576"/>
      <c r="B32" s="565"/>
      <c r="C32" s="578" t="s">
        <v>2950</v>
      </c>
      <c r="D32" s="556"/>
      <c r="E32" s="2591" t="s">
        <v>2950</v>
      </c>
      <c r="F32" s="554"/>
      <c r="G32" s="2591" t="s">
        <v>2950</v>
      </c>
      <c r="H32" s="554"/>
      <c r="I32" s="2591" t="s">
        <v>2950</v>
      </c>
      <c r="J32" s="554"/>
      <c r="K32" s="530"/>
      <c r="L32" s="2134"/>
      <c r="M32" s="2131"/>
      <c r="N32" s="2131"/>
      <c r="O32" s="2136"/>
      <c r="P32" s="3397"/>
      <c r="Q32" s="2577"/>
      <c r="R32" s="1566"/>
      <c r="S32" s="1567"/>
      <c r="T32" s="1566"/>
      <c r="U32" s="1567"/>
      <c r="V32" s="1566"/>
      <c r="W32" s="1567"/>
      <c r="X32" s="1568"/>
      <c r="Y32" s="3397"/>
      <c r="Z32" s="2574"/>
      <c r="AA32" s="1574">
        <v>1</v>
      </c>
      <c r="AB32" s="1574">
        <v>1</v>
      </c>
      <c r="AC32" s="1574">
        <v>1</v>
      </c>
    </row>
    <row r="33" spans="1:29" ht="21" hidden="1">
      <c r="A33" s="531"/>
      <c r="B33" s="565" t="s">
        <v>512</v>
      </c>
      <c r="C33" s="579"/>
      <c r="D33" s="574">
        <v>100</v>
      </c>
      <c r="E33" s="582"/>
      <c r="F33" s="539">
        <f>SUMIF(106:106,E33,107:107)-SUMIF(106:106,C33,107:107)+100</f>
        <v>100</v>
      </c>
      <c r="G33" s="582"/>
      <c r="H33" s="539">
        <f>SUMIF(106:106,G33,107:107)-SUMIF(106:106,C33,107:107)+100</f>
        <v>100</v>
      </c>
      <c r="I33" s="582"/>
      <c r="J33" s="539">
        <f>SUMIF(106:106,I33,107:107)-SUMIF(106:106,C33,107:107)+100</f>
        <v>100</v>
      </c>
      <c r="K33" s="534">
        <v>1</v>
      </c>
      <c r="L33" s="2141"/>
      <c r="M33" s="2131"/>
      <c r="N33" s="2131"/>
      <c r="O33" s="2140"/>
      <c r="P33" s="3397"/>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397"/>
      <c r="Z33" s="1573" t="str">
        <f t="shared" ref="Z33:Z47" si="13">Q33</f>
        <v>临街状况</v>
      </c>
      <c r="AA33" s="1574">
        <f t="shared" si="3"/>
        <v>1</v>
      </c>
      <c r="AB33" s="1574">
        <f t="shared" si="4"/>
        <v>1</v>
      </c>
      <c r="AC33" s="1574">
        <f t="shared" si="5"/>
        <v>1</v>
      </c>
    </row>
    <row r="34" spans="1:29" ht="28.8" hidden="1">
      <c r="A34" s="531"/>
      <c r="B34" s="577" t="s">
        <v>513</v>
      </c>
      <c r="C34" s="561"/>
      <c r="D34" s="562">
        <v>100</v>
      </c>
      <c r="E34" s="563"/>
      <c r="F34" s="558">
        <f>SUMIF(108:108,E35,109:109)-SUMIF(108:108,C35,109:109)+100</f>
        <v>100</v>
      </c>
      <c r="G34" s="563"/>
      <c r="H34" s="558">
        <f>SUMIF(108:108,G35,109:109)-SUMIF(108:108,C35,109:109)+100</f>
        <v>100</v>
      </c>
      <c r="I34" s="563"/>
      <c r="J34" s="558">
        <f>SUMIF(108:108,I35,109:109)-SUMIF(108:108,C35,109:109)+100</f>
        <v>100</v>
      </c>
      <c r="K34" s="534">
        <v>1</v>
      </c>
      <c r="L34" s="2141"/>
      <c r="M34" s="2131"/>
      <c r="N34" s="2131"/>
      <c r="O34" s="2140"/>
      <c r="P34" s="3397"/>
      <c r="Q34" s="1570" t="str">
        <f t="shared" si="8"/>
        <v>毗邻道路的类型与等级</v>
      </c>
      <c r="R34" s="1571" t="s">
        <v>8</v>
      </c>
      <c r="S34" s="1572">
        <f t="shared" si="10"/>
        <v>100</v>
      </c>
      <c r="T34" s="1571" t="s">
        <v>8</v>
      </c>
      <c r="U34" s="1572">
        <f t="shared" si="11"/>
        <v>100</v>
      </c>
      <c r="V34" s="1571" t="s">
        <v>8</v>
      </c>
      <c r="W34" s="1572">
        <f t="shared" si="12"/>
        <v>100</v>
      </c>
      <c r="X34" s="1565"/>
      <c r="Y34" s="3397"/>
      <c r="Z34" s="1573" t="str">
        <f t="shared" si="13"/>
        <v>毗邻道路的类型与等级</v>
      </c>
      <c r="AA34" s="1574">
        <f t="shared" si="3"/>
        <v>1</v>
      </c>
      <c r="AB34" s="1574">
        <f t="shared" si="4"/>
        <v>1</v>
      </c>
      <c r="AC34" s="1574">
        <f t="shared" si="5"/>
        <v>1</v>
      </c>
    </row>
    <row r="35" spans="1:29" ht="21" hidden="1">
      <c r="A35" s="531"/>
      <c r="B35" s="565"/>
      <c r="C35" s="553"/>
      <c r="D35" s="556"/>
      <c r="E35" s="575"/>
      <c r="F35" s="554"/>
      <c r="G35" s="575"/>
      <c r="H35" s="554"/>
      <c r="I35" s="575"/>
      <c r="J35" s="554"/>
      <c r="K35" s="580"/>
      <c r="L35" s="2141"/>
      <c r="M35" s="2131"/>
      <c r="N35" s="2131"/>
      <c r="O35" s="2140"/>
      <c r="P35" s="3397"/>
      <c r="Q35" s="1570"/>
      <c r="R35" s="1571"/>
      <c r="S35" s="1572"/>
      <c r="T35" s="1571"/>
      <c r="U35" s="1572"/>
      <c r="V35" s="1571"/>
      <c r="W35" s="1572"/>
      <c r="X35" s="1565"/>
      <c r="Y35" s="3397"/>
      <c r="Z35" s="1573"/>
      <c r="AA35" s="1574">
        <v>1</v>
      </c>
      <c r="AB35" s="1574">
        <v>1</v>
      </c>
      <c r="AC35" s="1574">
        <v>1</v>
      </c>
    </row>
    <row r="36" spans="1:29" ht="21" hidden="1">
      <c r="A36" s="531"/>
      <c r="B36" s="581" t="s">
        <v>514</v>
      </c>
      <c r="C36" s="579"/>
      <c r="D36" s="574">
        <v>100</v>
      </c>
      <c r="E36" s="582"/>
      <c r="F36" s="539">
        <f>SUMIF(110:110,E36,111:111)-SUMIF(110:110,C36,111:111)+100</f>
        <v>100</v>
      </c>
      <c r="G36" s="582"/>
      <c r="H36" s="539">
        <f>SUMIF(110:110,G36,111:111)-SUMIF(110:110,C36,111:111)+100</f>
        <v>100</v>
      </c>
      <c r="I36" s="582"/>
      <c r="J36" s="539">
        <f>SUMIF(110:110,I36,111:111)-SUMIF(110:110,C36,111:111)+100</f>
        <v>100</v>
      </c>
      <c r="K36" s="583">
        <v>1</v>
      </c>
      <c r="L36" s="2141"/>
      <c r="M36" s="2131"/>
      <c r="N36" s="2131"/>
      <c r="O36" s="2140"/>
      <c r="P36" s="3397"/>
      <c r="Q36" s="1570" t="str">
        <f t="shared" si="8"/>
        <v>土地级别</v>
      </c>
      <c r="R36" s="1571" t="s">
        <v>8</v>
      </c>
      <c r="S36" s="1572">
        <f t="shared" si="10"/>
        <v>100</v>
      </c>
      <c r="T36" s="1571" t="s">
        <v>8</v>
      </c>
      <c r="U36" s="1572">
        <f t="shared" si="11"/>
        <v>100</v>
      </c>
      <c r="V36" s="1571" t="s">
        <v>8</v>
      </c>
      <c r="W36" s="1572">
        <f t="shared" si="12"/>
        <v>100</v>
      </c>
      <c r="X36" s="1565"/>
      <c r="Y36" s="3397"/>
      <c r="Z36" s="1573" t="str">
        <f t="shared" si="13"/>
        <v>土地级别</v>
      </c>
      <c r="AA36" s="1574">
        <f t="shared" si="3"/>
        <v>1</v>
      </c>
      <c r="AB36" s="1574">
        <f t="shared" si="4"/>
        <v>1</v>
      </c>
      <c r="AC36" s="1574">
        <f t="shared" si="5"/>
        <v>1</v>
      </c>
    </row>
    <row r="37" spans="1:29" ht="21" hidden="1">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1"/>
      <c r="M37" s="2131"/>
      <c r="N37" s="2131"/>
      <c r="O37" s="2140"/>
      <c r="P37" s="3397"/>
      <c r="Q37" s="1570">
        <f t="shared" si="8"/>
        <v>0</v>
      </c>
      <c r="R37" s="1571" t="s">
        <v>8</v>
      </c>
      <c r="S37" s="1572">
        <f t="shared" si="10"/>
        <v>100</v>
      </c>
      <c r="T37" s="1571" t="s">
        <v>8</v>
      </c>
      <c r="U37" s="1572">
        <f t="shared" si="11"/>
        <v>100</v>
      </c>
      <c r="V37" s="1571" t="s">
        <v>8</v>
      </c>
      <c r="W37" s="1572">
        <f t="shared" si="12"/>
        <v>100</v>
      </c>
      <c r="X37" s="1565"/>
      <c r="Y37" s="3397"/>
      <c r="Z37" s="1573">
        <f t="shared" si="13"/>
        <v>0</v>
      </c>
      <c r="AA37" s="1574">
        <f t="shared" si="3"/>
        <v>1</v>
      </c>
      <c r="AB37" s="1574">
        <f t="shared" si="4"/>
        <v>1</v>
      </c>
      <c r="AC37" s="1574">
        <f t="shared" si="5"/>
        <v>1</v>
      </c>
    </row>
    <row r="38" spans="1:29" ht="21" hidden="1">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1"/>
      <c r="M38" s="2131"/>
      <c r="N38" s="2131"/>
      <c r="O38" s="2140"/>
      <c r="P38" s="3398" t="s">
        <v>515</v>
      </c>
      <c r="Q38" s="1570">
        <f t="shared" si="8"/>
        <v>0</v>
      </c>
      <c r="R38" s="1571" t="s">
        <v>8</v>
      </c>
      <c r="S38" s="1572">
        <f t="shared" si="10"/>
        <v>100</v>
      </c>
      <c r="T38" s="1571" t="s">
        <v>8</v>
      </c>
      <c r="U38" s="1572">
        <f t="shared" si="11"/>
        <v>100</v>
      </c>
      <c r="V38" s="1571" t="s">
        <v>8</v>
      </c>
      <c r="W38" s="1572">
        <f t="shared" si="12"/>
        <v>100</v>
      </c>
      <c r="X38" s="1565"/>
      <c r="Y38" s="3399" t="s">
        <v>515</v>
      </c>
      <c r="Z38" s="1573">
        <f t="shared" si="13"/>
        <v>0</v>
      </c>
      <c r="AA38" s="1574">
        <f t="shared" si="3"/>
        <v>1</v>
      </c>
      <c r="AB38" s="1574">
        <f t="shared" si="4"/>
        <v>1</v>
      </c>
      <c r="AC38" s="1574">
        <f t="shared" si="5"/>
        <v>1</v>
      </c>
    </row>
    <row r="39" spans="1:29" s="1337" customFormat="1" ht="21.6" hidden="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9"/>
      <c r="M39" s="2131"/>
      <c r="N39" s="2131"/>
      <c r="O39" s="2142"/>
      <c r="P39" s="3399"/>
      <c r="Q39" s="1570">
        <f t="shared" si="8"/>
        <v>0</v>
      </c>
      <c r="R39" s="1575" t="s">
        <v>8</v>
      </c>
      <c r="S39" s="1576">
        <f t="shared" si="10"/>
        <v>100</v>
      </c>
      <c r="T39" s="1575" t="s">
        <v>8</v>
      </c>
      <c r="U39" s="1576">
        <f t="shared" si="11"/>
        <v>100</v>
      </c>
      <c r="V39" s="1575" t="s">
        <v>8</v>
      </c>
      <c r="W39" s="1576">
        <f t="shared" si="12"/>
        <v>100</v>
      </c>
      <c r="X39" s="1577"/>
      <c r="Y39" s="3399"/>
      <c r="Z39" s="1578">
        <f t="shared" si="13"/>
        <v>0</v>
      </c>
      <c r="AA39" s="1574">
        <f t="shared" si="3"/>
        <v>1</v>
      </c>
      <c r="AB39" s="1574">
        <f t="shared" si="4"/>
        <v>1</v>
      </c>
      <c r="AC39" s="1574">
        <f t="shared" si="5"/>
        <v>1</v>
      </c>
    </row>
    <row r="40" spans="1:29" ht="21">
      <c r="A40" s="2906" t="s">
        <v>2717</v>
      </c>
      <c r="B40" s="594" t="s">
        <v>517</v>
      </c>
      <c r="C40" s="595">
        <f>'数据-基础表'!A3</f>
        <v>7409.7</v>
      </c>
      <c r="D40" s="596">
        <v>100</v>
      </c>
      <c r="E40" s="595">
        <f>土地案例!J6</f>
        <v>5039.78</v>
      </c>
      <c r="F40" s="596">
        <f>LOOKUP(E40,119:119,120:120)-LOOKUP(C40,119:119,120:120)+100</f>
        <v>100</v>
      </c>
      <c r="G40" s="3188">
        <f>土地案例!J19</f>
        <v>174045.7</v>
      </c>
      <c r="H40" s="3189">
        <f>LOOKUP(G40,119:119,120:120)-LOOKUP(C40,119:119,120:120)+100</f>
        <v>96</v>
      </c>
      <c r="I40" s="3190">
        <f>土地案例!J24</f>
        <v>136.24</v>
      </c>
      <c r="J40" s="3189">
        <f>LOOKUP(I40,119:119,120:120)-LOOKUP(C40,119:119,120:120)+100</f>
        <v>100</v>
      </c>
      <c r="K40" s="580"/>
      <c r="L40" s="2141"/>
      <c r="M40" s="2131"/>
      <c r="N40" s="2131"/>
      <c r="O40" s="2140"/>
      <c r="P40" s="3399"/>
      <c r="Q40" s="1570" t="str">
        <f>B40</f>
        <v>宗地面积</v>
      </c>
      <c r="R40" s="1571" t="s">
        <v>8</v>
      </c>
      <c r="S40" s="1572">
        <f t="shared" si="10"/>
        <v>100</v>
      </c>
      <c r="T40" s="1571" t="s">
        <v>8</v>
      </c>
      <c r="U40" s="1572">
        <f t="shared" si="11"/>
        <v>96</v>
      </c>
      <c r="V40" s="1571" t="s">
        <v>8</v>
      </c>
      <c r="W40" s="1572">
        <f t="shared" si="12"/>
        <v>100</v>
      </c>
      <c r="X40" s="1565"/>
      <c r="Y40" s="3399"/>
      <c r="Z40" s="1573" t="str">
        <f t="shared" si="13"/>
        <v>宗地面积</v>
      </c>
      <c r="AA40" s="1574">
        <f t="shared" si="3"/>
        <v>1</v>
      </c>
      <c r="AB40" s="1574">
        <f t="shared" si="4"/>
        <v>1.0416666666666667</v>
      </c>
      <c r="AC40" s="1574">
        <f t="shared" si="5"/>
        <v>1</v>
      </c>
    </row>
    <row r="41" spans="1:29" ht="21" hidden="1">
      <c r="A41" s="593"/>
      <c r="B41" s="526" t="s">
        <v>518</v>
      </c>
      <c r="C41" s="598"/>
      <c r="D41" s="539">
        <v>100</v>
      </c>
      <c r="E41" s="598"/>
      <c r="F41" s="539">
        <f>SUMIF(121:121,E41,122:122)-SUMIF(121:121,C41,122:122)+100</f>
        <v>100</v>
      </c>
      <c r="G41" s="598"/>
      <c r="H41" s="539">
        <f>SUMIF(121:121,G41,122:122)-SUMIF(121:121,C41,122:122)+100</f>
        <v>100</v>
      </c>
      <c r="I41" s="598"/>
      <c r="J41" s="539">
        <f>SUMIF(121:121,I41,122:122)-SUMIF(121:121,C41,122:122)+100</f>
        <v>100</v>
      </c>
      <c r="K41" s="583">
        <v>1</v>
      </c>
      <c r="L41" s="2141"/>
      <c r="M41" s="2131"/>
      <c r="N41" s="2131"/>
      <c r="O41" s="2140"/>
      <c r="P41" s="3399"/>
      <c r="Q41" s="1570" t="str">
        <f t="shared" ref="Q41:Q47" si="14">B41</f>
        <v>宗地形状</v>
      </c>
      <c r="R41" s="1571" t="s">
        <v>8</v>
      </c>
      <c r="S41" s="1572">
        <f t="shared" si="10"/>
        <v>100</v>
      </c>
      <c r="T41" s="1571" t="s">
        <v>8</v>
      </c>
      <c r="U41" s="1572">
        <f t="shared" si="11"/>
        <v>100</v>
      </c>
      <c r="V41" s="1571" t="s">
        <v>8</v>
      </c>
      <c r="W41" s="1572">
        <f t="shared" si="12"/>
        <v>100</v>
      </c>
      <c r="X41" s="1565"/>
      <c r="Y41" s="3399"/>
      <c r="Z41" s="1573" t="str">
        <f t="shared" si="13"/>
        <v>宗地形状</v>
      </c>
      <c r="AA41" s="1574">
        <f t="shared" si="3"/>
        <v>1</v>
      </c>
      <c r="AB41" s="1574">
        <f t="shared" si="4"/>
        <v>1</v>
      </c>
      <c r="AC41" s="1574">
        <f t="shared" si="5"/>
        <v>1</v>
      </c>
    </row>
    <row r="42" spans="1:29" ht="21" hidden="1">
      <c r="A42" s="593"/>
      <c r="B42" s="526" t="s">
        <v>519</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v>1</v>
      </c>
      <c r="L42" s="2141"/>
      <c r="M42" s="2131"/>
      <c r="N42" s="2131"/>
      <c r="O42" s="2140"/>
      <c r="P42" s="3399"/>
      <c r="Q42" s="1570" t="str">
        <f t="shared" si="14"/>
        <v>临街宽度及深度</v>
      </c>
      <c r="R42" s="1571" t="s">
        <v>8</v>
      </c>
      <c r="S42" s="1572">
        <f t="shared" si="10"/>
        <v>100</v>
      </c>
      <c r="T42" s="1571" t="s">
        <v>8</v>
      </c>
      <c r="U42" s="1572">
        <f t="shared" si="11"/>
        <v>100</v>
      </c>
      <c r="V42" s="1571" t="s">
        <v>8</v>
      </c>
      <c r="W42" s="1572">
        <f t="shared" si="12"/>
        <v>100</v>
      </c>
      <c r="X42" s="1565"/>
      <c r="Y42" s="3399"/>
      <c r="Z42" s="1573" t="str">
        <f t="shared" si="13"/>
        <v>临街宽度及深度</v>
      </c>
      <c r="AA42" s="1574">
        <f t="shared" si="3"/>
        <v>1</v>
      </c>
      <c r="AB42" s="1574">
        <f t="shared" si="4"/>
        <v>1</v>
      </c>
      <c r="AC42" s="1574">
        <f t="shared" si="5"/>
        <v>1</v>
      </c>
    </row>
    <row r="43" spans="1:29" s="1218" customFormat="1" ht="21">
      <c r="A43" s="599"/>
      <c r="B43" s="1894" t="s">
        <v>2386</v>
      </c>
      <c r="C43" s="600" t="s">
        <v>3493</v>
      </c>
      <c r="D43" s="254">
        <v>100</v>
      </c>
      <c r="E43" s="600" t="s">
        <v>3493</v>
      </c>
      <c r="F43" s="539">
        <f>SUMIF(125:125,E43,126:126)-SUMIF(125:125,C43,126:126)+100</f>
        <v>100</v>
      </c>
      <c r="G43" s="600" t="s">
        <v>3493</v>
      </c>
      <c r="H43" s="539">
        <f>SUMIF(125:125,G43,126:126)-SUMIF(125:125,C43,126:126)+100</f>
        <v>100</v>
      </c>
      <c r="I43" s="600" t="s">
        <v>3493</v>
      </c>
      <c r="J43" s="539">
        <f>SUMIF(125:125,I43,126:126)-SUMIF(125:125,C43,126:126)+100</f>
        <v>100</v>
      </c>
      <c r="K43" s="583">
        <v>1</v>
      </c>
      <c r="L43" s="2134"/>
      <c r="M43" s="2131"/>
      <c r="N43" s="2131"/>
      <c r="O43" s="2136"/>
      <c r="P43" s="3399"/>
      <c r="Q43" s="1570" t="str">
        <f t="shared" si="14"/>
        <v>宗地开发程度</v>
      </c>
      <c r="R43" s="1566" t="s">
        <v>8</v>
      </c>
      <c r="S43" s="1567">
        <f t="shared" si="10"/>
        <v>100</v>
      </c>
      <c r="T43" s="1566" t="s">
        <v>8</v>
      </c>
      <c r="U43" s="1567">
        <f t="shared" si="11"/>
        <v>100</v>
      </c>
      <c r="V43" s="1566" t="s">
        <v>8</v>
      </c>
      <c r="W43" s="1567">
        <f t="shared" si="12"/>
        <v>100</v>
      </c>
      <c r="X43" s="1568"/>
      <c r="Y43" s="3399"/>
      <c r="Z43" s="1148" t="str">
        <f t="shared" si="13"/>
        <v>宗地开发程度</v>
      </c>
      <c r="AA43" s="1569">
        <f t="shared" si="3"/>
        <v>1</v>
      </c>
      <c r="AB43" s="1569">
        <f t="shared" si="4"/>
        <v>1</v>
      </c>
      <c r="AC43" s="1569">
        <f t="shared" si="5"/>
        <v>1</v>
      </c>
    </row>
    <row r="44" spans="1:29" ht="21.6" thickBot="1">
      <c r="A44" s="593"/>
      <c r="B44" s="526" t="s">
        <v>520</v>
      </c>
      <c r="C44" s="598" t="s">
        <v>2949</v>
      </c>
      <c r="D44" s="539">
        <v>100</v>
      </c>
      <c r="E44" s="598" t="s">
        <v>2949</v>
      </c>
      <c r="F44" s="539">
        <f>SUMIF(127:127,E44,128:128)-SUMIF(127:127,C44,128:128)+100</f>
        <v>100</v>
      </c>
      <c r="G44" s="598" t="s">
        <v>2949</v>
      </c>
      <c r="H44" s="539">
        <f>SUMIF(127:127,G44,128:128)-SUMIF(127:127,C44,128:128)+100</f>
        <v>100</v>
      </c>
      <c r="I44" s="598" t="s">
        <v>2949</v>
      </c>
      <c r="J44" s="539">
        <f>SUMIF(127:127,I44,128:128)-SUMIF(127:127,C44,128:128)+100</f>
        <v>100</v>
      </c>
      <c r="K44" s="583">
        <v>1</v>
      </c>
      <c r="L44" s="2141"/>
      <c r="M44" s="2131"/>
      <c r="N44" s="2131"/>
      <c r="O44" s="2140"/>
      <c r="P44" s="3399" t="s">
        <v>515</v>
      </c>
      <c r="Q44" s="1570" t="str">
        <f t="shared" si="14"/>
        <v>工程地质条件</v>
      </c>
      <c r="R44" s="1571" t="s">
        <v>8</v>
      </c>
      <c r="S44" s="1572">
        <f t="shared" si="10"/>
        <v>100</v>
      </c>
      <c r="T44" s="1571" t="s">
        <v>8</v>
      </c>
      <c r="U44" s="1572">
        <f t="shared" si="11"/>
        <v>100</v>
      </c>
      <c r="V44" s="1571" t="s">
        <v>8</v>
      </c>
      <c r="W44" s="1572">
        <f t="shared" si="12"/>
        <v>100</v>
      </c>
      <c r="X44" s="1565"/>
      <c r="Y44" s="3399" t="s">
        <v>515</v>
      </c>
      <c r="Z44" s="1573" t="str">
        <f t="shared" si="13"/>
        <v>工程地质条件</v>
      </c>
      <c r="AA44" s="1574">
        <f t="shared" si="3"/>
        <v>1</v>
      </c>
      <c r="AB44" s="1574">
        <f t="shared" si="4"/>
        <v>1</v>
      </c>
      <c r="AC44" s="1574">
        <f t="shared" si="5"/>
        <v>1</v>
      </c>
    </row>
    <row r="45" spans="1:29" ht="21" hidden="1">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1"/>
      <c r="M45" s="2131"/>
      <c r="N45" s="2131"/>
      <c r="O45" s="2140"/>
      <c r="P45" s="3399"/>
      <c r="Q45" s="1570">
        <f t="shared" si="14"/>
        <v>0</v>
      </c>
      <c r="R45" s="1571" t="s">
        <v>8</v>
      </c>
      <c r="S45" s="1572">
        <f t="shared" si="10"/>
        <v>100</v>
      </c>
      <c r="T45" s="1571" t="s">
        <v>8</v>
      </c>
      <c r="U45" s="1572">
        <f t="shared" si="11"/>
        <v>100</v>
      </c>
      <c r="V45" s="1571" t="s">
        <v>8</v>
      </c>
      <c r="W45" s="1572">
        <f t="shared" si="12"/>
        <v>100</v>
      </c>
      <c r="X45" s="1565"/>
      <c r="Y45" s="3399"/>
      <c r="Z45" s="1573">
        <f t="shared" si="13"/>
        <v>0</v>
      </c>
      <c r="AA45" s="1574">
        <f t="shared" si="3"/>
        <v>1</v>
      </c>
      <c r="AB45" s="1574">
        <f t="shared" si="4"/>
        <v>1</v>
      </c>
      <c r="AC45" s="1574">
        <f t="shared" si="5"/>
        <v>1</v>
      </c>
    </row>
    <row r="46" spans="1:29" ht="21" hidden="1">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1"/>
      <c r="M46" s="2131"/>
      <c r="N46" s="2131"/>
      <c r="O46" s="2140"/>
      <c r="P46" s="3399"/>
      <c r="Q46" s="1570">
        <f t="shared" si="14"/>
        <v>0</v>
      </c>
      <c r="R46" s="1571" t="s">
        <v>8</v>
      </c>
      <c r="S46" s="1572">
        <f t="shared" si="10"/>
        <v>100</v>
      </c>
      <c r="T46" s="1571" t="s">
        <v>8</v>
      </c>
      <c r="U46" s="1572">
        <f t="shared" si="11"/>
        <v>100</v>
      </c>
      <c r="V46" s="1571" t="s">
        <v>8</v>
      </c>
      <c r="W46" s="1572">
        <f t="shared" si="12"/>
        <v>100</v>
      </c>
      <c r="X46" s="1565"/>
      <c r="Y46" s="3399"/>
      <c r="Z46" s="1573">
        <f t="shared" si="13"/>
        <v>0</v>
      </c>
      <c r="AA46" s="1574">
        <f t="shared" si="3"/>
        <v>1</v>
      </c>
      <c r="AB46" s="1574">
        <f t="shared" si="4"/>
        <v>1</v>
      </c>
      <c r="AC46" s="1574">
        <f t="shared" si="5"/>
        <v>1</v>
      </c>
    </row>
    <row r="47" spans="1:29" s="1337" customFormat="1" ht="21.6" hidden="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9"/>
      <c r="M47" s="2131"/>
      <c r="N47" s="2131"/>
      <c r="O47" s="2142"/>
      <c r="P47" s="3399"/>
      <c r="Q47" s="1570">
        <f t="shared" si="14"/>
        <v>0</v>
      </c>
      <c r="R47" s="1575" t="s">
        <v>8</v>
      </c>
      <c r="S47" s="1576">
        <f t="shared" si="10"/>
        <v>100</v>
      </c>
      <c r="T47" s="1575" t="s">
        <v>8</v>
      </c>
      <c r="U47" s="1576">
        <f t="shared" si="11"/>
        <v>100</v>
      </c>
      <c r="V47" s="1575" t="s">
        <v>8</v>
      </c>
      <c r="W47" s="1576">
        <f t="shared" si="12"/>
        <v>100</v>
      </c>
      <c r="X47" s="1577"/>
      <c r="Y47" s="3399"/>
      <c r="Z47" s="1578">
        <f t="shared" si="13"/>
        <v>0</v>
      </c>
      <c r="AA47" s="1574">
        <f t="shared" si="3"/>
        <v>1</v>
      </c>
      <c r="AB47" s="1574">
        <f t="shared" si="4"/>
        <v>1</v>
      </c>
      <c r="AC47" s="1574">
        <f t="shared" si="5"/>
        <v>1</v>
      </c>
    </row>
    <row r="48" spans="1:29" ht="21">
      <c r="A48" s="606" t="s">
        <v>521</v>
      </c>
      <c r="B48" s="607" t="s">
        <v>2948</v>
      </c>
      <c r="C48" s="608" t="s">
        <v>1</v>
      </c>
      <c r="D48" s="609"/>
      <c r="E48" s="610">
        <f>ROUND(土地案例!AK6,0)</f>
        <v>5939</v>
      </c>
      <c r="F48" s="611"/>
      <c r="G48" s="612">
        <f>ROUND(土地案例!AK19,0)</f>
        <v>6895</v>
      </c>
      <c r="H48" s="613"/>
      <c r="I48" s="610">
        <f>ROUND(土地案例!AK24,0)</f>
        <v>7227</v>
      </c>
      <c r="J48" s="613"/>
      <c r="K48" s="1338"/>
      <c r="L48" s="2143"/>
      <c r="M48" s="2131"/>
      <c r="N48" s="2131"/>
      <c r="O48" s="2144"/>
      <c r="P48" s="3362" t="str">
        <f>A48</f>
        <v>成交单价</v>
      </c>
      <c r="Q48" s="3362"/>
      <c r="R48" s="3363">
        <f>E48</f>
        <v>5939</v>
      </c>
      <c r="S48" s="3363"/>
      <c r="T48" s="3363">
        <f>G48</f>
        <v>6895</v>
      </c>
      <c r="U48" s="3363"/>
      <c r="V48" s="3363">
        <f>I48</f>
        <v>7227</v>
      </c>
      <c r="W48" s="3363"/>
      <c r="X48" s="1557"/>
      <c r="Y48" s="1579"/>
      <c r="Z48" s="1557"/>
      <c r="AA48" s="1557"/>
      <c r="AB48" s="1557"/>
      <c r="AC48" s="1557"/>
    </row>
    <row r="49" spans="1:29" ht="21.6" thickBot="1">
      <c r="A49" s="614" t="s">
        <v>2655</v>
      </c>
      <c r="B49" s="615"/>
      <c r="C49" s="616">
        <f>R50</f>
        <v>6991</v>
      </c>
      <c r="D49" s="617"/>
      <c r="E49" s="616">
        <f>R49</f>
        <v>6317</v>
      </c>
      <c r="F49" s="618"/>
      <c r="G49" s="619">
        <f>T49</f>
        <v>7446</v>
      </c>
      <c r="H49" s="617"/>
      <c r="I49" s="616">
        <f>V49</f>
        <v>7210</v>
      </c>
      <c r="J49" s="617"/>
      <c r="K49" s="1339"/>
      <c r="L49" s="2143"/>
      <c r="M49" s="2131"/>
      <c r="N49" s="2131"/>
      <c r="O49" s="2144"/>
      <c r="P49" s="3362" t="str">
        <f>A49</f>
        <v>比较价格（元/平方米）</v>
      </c>
      <c r="Q49" s="3362"/>
      <c r="R49" s="3364">
        <f>ROUND(PRODUCT(R48,AA9:AA47),0)</f>
        <v>6317</v>
      </c>
      <c r="S49" s="3364"/>
      <c r="T49" s="3364">
        <f>ROUND(PRODUCT(T48,AB9:AB47),0)</f>
        <v>7446</v>
      </c>
      <c r="U49" s="3364"/>
      <c r="V49" s="3364">
        <f>ROUND(PRODUCT(V48,AC9:AC47),0)</f>
        <v>7210</v>
      </c>
      <c r="W49" s="3364"/>
      <c r="X49" s="1557"/>
      <c r="Y49" s="1557"/>
      <c r="Z49" s="1557"/>
      <c r="AA49" s="1557"/>
      <c r="AB49" s="1557"/>
      <c r="AC49" s="1557"/>
    </row>
    <row r="50" spans="1:29" ht="21.6" thickBot="1">
      <c r="A50" s="620" t="s">
        <v>2895</v>
      </c>
      <c r="B50" s="621"/>
      <c r="C50" s="622">
        <f>R50</f>
        <v>6991</v>
      </c>
      <c r="D50" s="622"/>
      <c r="E50" s="622"/>
      <c r="F50" s="622"/>
      <c r="G50" s="622"/>
      <c r="H50" s="622"/>
      <c r="I50" s="622"/>
      <c r="J50" s="622"/>
      <c r="K50" s="1340"/>
      <c r="L50" s="2143"/>
      <c r="M50" s="2131"/>
      <c r="N50" s="2131"/>
      <c r="O50" s="2144"/>
      <c r="P50" s="3359" t="str">
        <f>A50</f>
        <v>估价对象XX用房的比较价格（楼面单价，元/平方米）</v>
      </c>
      <c r="Q50" s="3360"/>
      <c r="R50" s="3361">
        <f>ROUND(AVERAGE(R49:V49),0)</f>
        <v>6991</v>
      </c>
      <c r="S50" s="3361"/>
      <c r="T50" s="3361"/>
      <c r="U50" s="3361"/>
      <c r="V50" s="3361"/>
      <c r="W50" s="3361"/>
      <c r="X50" s="1557"/>
      <c r="Y50" s="1557"/>
      <c r="Z50" s="1557"/>
      <c r="AA50" s="1557"/>
      <c r="AB50" s="1557"/>
      <c r="AC50" s="1557"/>
    </row>
    <row r="51" spans="1:29" ht="21">
      <c r="A51" s="2144"/>
      <c r="B51" s="2144"/>
      <c r="C51" s="2144"/>
      <c r="D51" s="2144"/>
      <c r="E51" s="2144"/>
      <c r="F51" s="2144"/>
      <c r="G51" s="2147"/>
      <c r="H51" s="2144"/>
      <c r="I51" s="2144"/>
      <c r="J51" s="2144"/>
      <c r="K51" s="2148"/>
      <c r="L51" s="2149"/>
      <c r="M51" s="2131"/>
      <c r="N51" s="2131"/>
      <c r="O51" s="2144"/>
      <c r="P51" s="1557"/>
      <c r="Q51" s="2144"/>
      <c r="R51" s="2144"/>
      <c r="S51" s="2144"/>
      <c r="T51" s="2144"/>
      <c r="U51" s="2144"/>
      <c r="V51" s="2144"/>
      <c r="W51" s="2144"/>
      <c r="X51" s="2144"/>
      <c r="Y51" s="2144"/>
      <c r="Z51" s="2144"/>
      <c r="AA51" s="2144"/>
      <c r="AB51" s="2144"/>
      <c r="AC51" s="2144"/>
    </row>
    <row r="52" spans="1:29" ht="21">
      <c r="A52" s="2144"/>
      <c r="B52" s="2144"/>
      <c r="C52" s="2144"/>
      <c r="D52" s="2144"/>
      <c r="E52" s="2144"/>
      <c r="F52" s="2144"/>
      <c r="G52" s="2144"/>
      <c r="H52" s="2144"/>
      <c r="I52" s="2144"/>
      <c r="J52" s="2144"/>
      <c r="K52" s="2148"/>
      <c r="L52" s="2149"/>
      <c r="M52" s="2131"/>
      <c r="N52" s="2131"/>
      <c r="O52" s="2144"/>
      <c r="P52" s="1557"/>
      <c r="Q52" s="2144"/>
      <c r="R52" s="2144"/>
      <c r="S52" s="2144"/>
      <c r="T52" s="2144"/>
      <c r="U52" s="2144"/>
      <c r="V52" s="2144"/>
      <c r="W52" s="2144"/>
      <c r="X52" s="2144"/>
      <c r="Y52" s="2144"/>
      <c r="Z52" s="2144"/>
      <c r="AA52" s="2144"/>
      <c r="AB52" s="2144"/>
      <c r="AC52" s="2144"/>
    </row>
    <row r="53" spans="1:29" ht="13.5" customHeight="1">
      <c r="A53" s="2144"/>
      <c r="B53" s="2144"/>
      <c r="C53" s="623" t="s">
        <v>522</v>
      </c>
      <c r="D53" s="624"/>
      <c r="E53" s="625">
        <f>IF(E48&lt;E49,E49/E48-1,E48/E49-1)</f>
        <v>6.3647078632766529E-2</v>
      </c>
      <c r="F53" s="626" t="str">
        <f>IF(OR(E53&gt;=0.3,E53&lt;=-0.3),"超过30%","")</f>
        <v/>
      </c>
      <c r="G53" s="625">
        <f>IF(G48&lt;G49,G49/G48-1,G48/G49-1)</f>
        <v>7.9912980420594693E-2</v>
      </c>
      <c r="H53" s="626" t="str">
        <f>IF(OR(G53&gt;=0.3,G53&lt;=-0.3),"超过30%","")</f>
        <v/>
      </c>
      <c r="I53" s="625">
        <f>IF(I48&lt;I49,I49/I48-1,I48/I49-1)</f>
        <v>2.3578363384189061E-3</v>
      </c>
      <c r="J53" s="626" t="str">
        <f>IF(OR(I53&gt;=0.3,I53&lt;=-0.3),"超过30%","")</f>
        <v/>
      </c>
      <c r="K53" s="2148"/>
      <c r="L53" s="2149"/>
      <c r="M53" s="2131"/>
      <c r="N53" s="2131"/>
      <c r="O53" s="2144"/>
      <c r="P53" s="1557"/>
      <c r="Q53" s="2144"/>
      <c r="R53" s="2144"/>
      <c r="S53" s="2144"/>
      <c r="T53" s="2144"/>
      <c r="U53" s="2144"/>
      <c r="V53" s="2144"/>
      <c r="W53" s="2144"/>
      <c r="X53" s="2144"/>
      <c r="Y53" s="2144"/>
      <c r="Z53" s="2144"/>
      <c r="AA53" s="2144"/>
      <c r="AB53" s="2144"/>
      <c r="AC53" s="2144"/>
    </row>
    <row r="54" spans="1:29" ht="13.5" customHeight="1">
      <c r="A54" s="2144"/>
      <c r="B54" s="2144"/>
      <c r="C54" s="623" t="s">
        <v>523</v>
      </c>
      <c r="D54" s="627"/>
      <c r="E54" s="625">
        <f>IF(E49&lt;G49,G49/E49-1,E49/G49-1)</f>
        <v>0.17872407788507205</v>
      </c>
      <c r="F54" s="626" t="str">
        <f>IF(OR(E54&gt;=0.2,E54&lt;=-0.2),"超过20%","")</f>
        <v/>
      </c>
      <c r="G54" s="625">
        <f>IF(G49&lt;I49,I49/G49-1,G49/I49-1)</f>
        <v>3.2732316227461755E-2</v>
      </c>
      <c r="H54" s="3184" t="str">
        <f>IF(OR(G54&gt;=0.2,G54&lt;=-0.2),"超过20%","")</f>
        <v/>
      </c>
      <c r="I54" s="625">
        <f>IF(I49&lt;E49,E49/I49-1,I49/E49-1)</f>
        <v>0.14136457179040685</v>
      </c>
      <c r="J54" s="626" t="str">
        <f>IF(OR(I54&gt;=0.2,I54&lt;=-0.2),"超过20%","")</f>
        <v/>
      </c>
      <c r="K54" s="2148"/>
      <c r="L54" s="2149"/>
      <c r="M54" s="2131"/>
      <c r="N54" s="2131"/>
      <c r="O54" s="2144"/>
      <c r="P54" s="1557"/>
      <c r="Q54" s="2144"/>
      <c r="R54" s="2144"/>
      <c r="S54" s="2144"/>
      <c r="T54" s="2144"/>
      <c r="U54" s="2144"/>
      <c r="V54" s="2144"/>
      <c r="W54" s="2144"/>
      <c r="X54" s="2144"/>
      <c r="Y54" s="2144"/>
      <c r="Z54" s="2144"/>
      <c r="AA54" s="2144"/>
      <c r="AB54" s="2144"/>
      <c r="AC54" s="2144"/>
    </row>
    <row r="55" spans="1:29" s="1343" customFormat="1" ht="13.5" customHeight="1">
      <c r="A55" s="2145"/>
      <c r="B55" s="2145"/>
      <c r="C55" s="623" t="s">
        <v>524</v>
      </c>
      <c r="D55" s="627"/>
      <c r="E55" s="625">
        <f>IF(E48&lt;G48,G48/E48-1,E48/G48-1)</f>
        <v>0.16096986024583271</v>
      </c>
      <c r="F55" s="626" t="str">
        <f>IF(OR(E55&gt;=0.3,E55&lt;=-0.3),"超过30%","")</f>
        <v/>
      </c>
      <c r="G55" s="625">
        <f>IF(G48&lt;I48,I48/G48-1,G48/I48-1)</f>
        <v>4.8150833937635973E-2</v>
      </c>
      <c r="H55" s="626" t="str">
        <f>IF(OR(G55&gt;=0.3,G55&lt;=-0.3),"超过30%","")</f>
        <v/>
      </c>
      <c r="I55" s="625">
        <f>IF(I48&lt;E48,E48/I48-1,I48/E48-1)</f>
        <v>0.21687152719313008</v>
      </c>
      <c r="J55" s="626" t="str">
        <f>IF(OR(I55&gt;=0.3,I55&lt;=-0.3),"超过30%","")</f>
        <v/>
      </c>
      <c r="K55" s="2151"/>
      <c r="L55" s="2152"/>
      <c r="M55" s="2131"/>
      <c r="N55" s="2131"/>
      <c r="O55" s="2145"/>
      <c r="P55" s="1555"/>
      <c r="Q55" s="2145"/>
      <c r="R55" s="2145"/>
      <c r="S55" s="2145"/>
      <c r="T55" s="2145"/>
      <c r="U55" s="2145"/>
      <c r="V55" s="2145"/>
      <c r="W55" s="2145"/>
      <c r="X55" s="2145"/>
      <c r="Y55" s="2145"/>
      <c r="Z55" s="2145"/>
      <c r="AA55" s="2145"/>
      <c r="AB55" s="2145"/>
      <c r="AC55" s="2145"/>
    </row>
    <row r="56" spans="1:29" s="1343" customFormat="1" ht="21.6" thickBot="1">
      <c r="A56" s="2145"/>
      <c r="B56" s="2146"/>
      <c r="C56" s="2150"/>
      <c r="D56" s="2145"/>
      <c r="E56" s="2145"/>
      <c r="F56" s="2145"/>
      <c r="G56" s="2145"/>
      <c r="H56" s="2145"/>
      <c r="I56" s="2145"/>
      <c r="J56" s="2145"/>
      <c r="K56" s="2151"/>
      <c r="L56" s="2152"/>
      <c r="M56" s="2131"/>
      <c r="N56" s="2131"/>
      <c r="O56" s="2145"/>
      <c r="P56" s="1555"/>
      <c r="Q56" s="2145"/>
      <c r="R56" s="2145"/>
      <c r="S56" s="2145"/>
      <c r="T56" s="2145"/>
      <c r="U56" s="2145"/>
      <c r="V56" s="2145"/>
      <c r="W56" s="2145"/>
      <c r="X56" s="2145"/>
      <c r="Y56" s="2145"/>
      <c r="Z56" s="2145"/>
      <c r="AA56" s="2145"/>
      <c r="AB56" s="2145"/>
      <c r="AC56" s="2145"/>
    </row>
    <row r="57" spans="1:29" ht="26.25" customHeight="1">
      <c r="A57" s="628" t="s">
        <v>525</v>
      </c>
      <c r="B57" s="629" t="s">
        <v>526</v>
      </c>
      <c r="C57" s="1558" t="s">
        <v>1686</v>
      </c>
      <c r="D57" s="2226" t="s">
        <v>2255</v>
      </c>
      <c r="E57" s="630" t="s">
        <v>527</v>
      </c>
      <c r="F57" s="631" t="s">
        <v>528</v>
      </c>
      <c r="G57" s="3388" t="s">
        <v>2243</v>
      </c>
      <c r="H57" s="3389"/>
      <c r="I57" s="1553" t="s">
        <v>1684</v>
      </c>
      <c r="J57" s="1553" t="str">
        <f>项目基本情况!F41</f>
        <v>三亚</v>
      </c>
      <c r="K57" s="2153" t="s">
        <v>1685</v>
      </c>
      <c r="L57" s="2149"/>
      <c r="M57" s="2144"/>
      <c r="N57" s="2144"/>
      <c r="O57" s="2144"/>
      <c r="P57" s="2144"/>
      <c r="Q57" s="2144"/>
      <c r="R57" s="2144"/>
      <c r="S57" s="2144"/>
      <c r="T57" s="2144"/>
      <c r="U57" s="2144"/>
      <c r="V57" s="2144"/>
      <c r="W57" s="2144"/>
      <c r="X57" s="2144"/>
      <c r="Y57" s="2144"/>
      <c r="Z57" s="2144"/>
      <c r="AA57" s="2144"/>
      <c r="AB57" s="2144"/>
      <c r="AC57" s="2144"/>
    </row>
    <row r="58" spans="1:29" s="1344" customFormat="1" ht="13.2">
      <c r="A58" s="632" t="s">
        <v>529</v>
      </c>
      <c r="B58" s="633">
        <f>C50</f>
        <v>6991</v>
      </c>
      <c r="C58" s="634">
        <v>1</v>
      </c>
      <c r="D58" s="2227">
        <v>1</v>
      </c>
      <c r="E58" s="634">
        <f>'数据-汇总表'!E8+'数据-汇总表'!E9</f>
        <v>8808.89</v>
      </c>
      <c r="F58" s="635">
        <f t="shared" ref="F58:F67" si="15">ROUND(B58*E58/10000,0)</f>
        <v>6158</v>
      </c>
      <c r="G58" s="3390"/>
      <c r="H58" s="3391"/>
      <c r="I58" s="1554">
        <v>1</v>
      </c>
      <c r="J58" s="1554">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4" customFormat="1" ht="13.2">
      <c r="A59" s="636" t="s">
        <v>530</v>
      </c>
      <c r="B59" s="637">
        <f>ROUND($C$50*C59*D59,0)</f>
        <v>0</v>
      </c>
      <c r="C59" s="377">
        <f t="shared" ref="C59:C67" si="16">IF($C$57="北京市系数",I59,J59)</f>
        <v>0</v>
      </c>
      <c r="D59" s="2228">
        <v>0.25</v>
      </c>
      <c r="E59" s="638">
        <v>0</v>
      </c>
      <c r="F59" s="635">
        <f t="shared" si="15"/>
        <v>0</v>
      </c>
      <c r="G59" s="3392" t="s">
        <v>2244</v>
      </c>
      <c r="H59" s="1947">
        <f>项目基本情况!B43</f>
        <v>0</v>
      </c>
      <c r="I59" s="1554">
        <f>SUMIF(修正!$A$45:$A$56,H59,修正!B45:B56)</f>
        <v>0</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4" customFormat="1" ht="13.2">
      <c r="A60" s="636" t="s">
        <v>531</v>
      </c>
      <c r="B60" s="637">
        <f t="shared" ref="B60:B67" si="17">ROUND($C$50*C60*D60,0)</f>
        <v>0</v>
      </c>
      <c r="C60" s="377">
        <f t="shared" si="16"/>
        <v>0</v>
      </c>
      <c r="D60" s="2228">
        <v>0.25</v>
      </c>
      <c r="E60" s="638">
        <v>0</v>
      </c>
      <c r="F60" s="635">
        <f t="shared" si="15"/>
        <v>0</v>
      </c>
      <c r="G60" s="3392"/>
      <c r="H60" s="1947">
        <f>项目基本情况!B43</f>
        <v>0</v>
      </c>
      <c r="I60" s="1554">
        <f>SUMIF(修正!$A$45:$A$56,H60,修正!C45:C56)</f>
        <v>0</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4" customFormat="1" ht="13.2">
      <c r="A61" s="636" t="s">
        <v>532</v>
      </c>
      <c r="B61" s="637">
        <f t="shared" si="17"/>
        <v>0</v>
      </c>
      <c r="C61" s="377">
        <f t="shared" si="16"/>
        <v>0</v>
      </c>
      <c r="D61" s="2228">
        <v>0.25</v>
      </c>
      <c r="E61" s="638">
        <v>0</v>
      </c>
      <c r="F61" s="635">
        <f t="shared" si="15"/>
        <v>0</v>
      </c>
      <c r="G61" s="3392"/>
      <c r="H61" s="1947">
        <f>项目基本情况!B43</f>
        <v>0</v>
      </c>
      <c r="I61" s="1554">
        <f>SUMIF(修正!$A$45:$A$56,H61,修正!D45:D56)</f>
        <v>0</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4" customFormat="1" ht="13.2">
      <c r="A62" s="636" t="s">
        <v>533</v>
      </c>
      <c r="B62" s="637">
        <f t="shared" si="17"/>
        <v>0</v>
      </c>
      <c r="C62" s="377">
        <f t="shared" si="16"/>
        <v>0</v>
      </c>
      <c r="D62" s="2228">
        <v>0.25</v>
      </c>
      <c r="E62" s="638">
        <v>0</v>
      </c>
      <c r="F62" s="635">
        <f t="shared" si="15"/>
        <v>0</v>
      </c>
      <c r="G62" s="3392"/>
      <c r="H62" s="1947">
        <f>项目基本情况!B43</f>
        <v>0</v>
      </c>
      <c r="I62" s="1554">
        <f>SUMIF(修正!$A$45:$A$56,H62,修正!E45:E56)</f>
        <v>0</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4" customFormat="1" ht="13.2">
      <c r="A63" s="2330" t="s">
        <v>2290</v>
      </c>
      <c r="B63" s="637">
        <f t="shared" si="17"/>
        <v>0</v>
      </c>
      <c r="C63" s="377">
        <f t="shared" si="16"/>
        <v>0</v>
      </c>
      <c r="D63" s="2228">
        <v>0.25</v>
      </c>
      <c r="E63" s="640">
        <f>'数据-汇总表'!E11</f>
        <v>0</v>
      </c>
      <c r="F63" s="635">
        <f t="shared" si="15"/>
        <v>0</v>
      </c>
      <c r="G63" s="1944" t="s">
        <v>2245</v>
      </c>
      <c r="H63" s="1947">
        <f>项目基本情况!C43</f>
        <v>0</v>
      </c>
      <c r="I63" s="1554">
        <f>SUMIF(修正!$A$45:$A$56,H63,修正!F45:F56)</f>
        <v>0</v>
      </c>
      <c r="J63" s="1556"/>
      <c r="K63" s="2154"/>
      <c r="L63" s="2154"/>
      <c r="M63" s="2154"/>
      <c r="N63" s="2154"/>
      <c r="O63" s="2154"/>
      <c r="P63" s="2154"/>
      <c r="Q63" s="2154"/>
      <c r="R63" s="2154"/>
      <c r="S63" s="2154"/>
      <c r="T63" s="2154"/>
      <c r="U63" s="2154"/>
      <c r="V63" s="2154"/>
      <c r="W63" s="2154"/>
      <c r="X63" s="2154"/>
      <c r="Y63" s="2154"/>
      <c r="Z63" s="2154"/>
      <c r="AA63" s="2154"/>
      <c r="AB63" s="2154"/>
      <c r="AC63" s="2154"/>
    </row>
    <row r="64" spans="1:29" s="1344" customFormat="1" ht="13.2">
      <c r="A64" s="636" t="s">
        <v>534</v>
      </c>
      <c r="B64" s="637">
        <f t="shared" si="17"/>
        <v>0</v>
      </c>
      <c r="C64" s="377">
        <f t="shared" si="16"/>
        <v>0</v>
      </c>
      <c r="D64" s="2228">
        <v>0.25</v>
      </c>
      <c r="E64" s="640">
        <f>'数据-汇总表'!E12</f>
        <v>0</v>
      </c>
      <c r="F64" s="635">
        <f t="shared" si="15"/>
        <v>0</v>
      </c>
      <c r="G64" s="1945" t="s">
        <v>1642</v>
      </c>
      <c r="H64" s="1943">
        <f>IF(G64="商业",项目基本情况!B43,IF(G64="办公",项目基本情况!C43,IF(G64="住宅",项目基本情况!D43,项目基本情况!E43)))</f>
        <v>0</v>
      </c>
      <c r="I64" s="1554">
        <f>SUMIF(修正!$A$45:$A$56,H64,修正!G45:G56)</f>
        <v>0</v>
      </c>
      <c r="J64" s="1556"/>
      <c r="K64" s="2154"/>
      <c r="L64" s="2154"/>
      <c r="M64" s="2154"/>
      <c r="N64" s="2154"/>
      <c r="O64" s="2154"/>
      <c r="P64" s="2154"/>
      <c r="Q64" s="2154"/>
      <c r="R64" s="2154"/>
      <c r="S64" s="2154"/>
      <c r="T64" s="2154"/>
      <c r="U64" s="2154"/>
      <c r="V64" s="2154"/>
      <c r="W64" s="2154"/>
      <c r="X64" s="2154"/>
      <c r="Y64" s="2154"/>
      <c r="Z64" s="2154"/>
      <c r="AA64" s="2154"/>
      <c r="AB64" s="2154"/>
      <c r="AC64" s="2154"/>
    </row>
    <row r="65" spans="1:29" s="1344" customFormat="1" ht="13.2">
      <c r="A65" s="636" t="s">
        <v>535</v>
      </c>
      <c r="B65" s="637">
        <f t="shared" si="17"/>
        <v>0</v>
      </c>
      <c r="C65" s="377">
        <f t="shared" si="16"/>
        <v>0</v>
      </c>
      <c r="D65" s="2228">
        <v>0.25</v>
      </c>
      <c r="E65" s="640">
        <f>'数据-汇总表'!E13</f>
        <v>0</v>
      </c>
      <c r="F65" s="635">
        <f t="shared" si="15"/>
        <v>0</v>
      </c>
      <c r="G65" s="1945" t="s">
        <v>888</v>
      </c>
      <c r="H65" s="1943">
        <f>IF(G65="商业",项目基本情况!B43,IF(G65="办公",项目基本情况!C43,IF(G65="住宅",项目基本情况!D43,项目基本情况!E43)))</f>
        <v>0</v>
      </c>
      <c r="I65" s="1554">
        <f>SUMIF(修正!$A$45:$A$56,H65,修正!H45:H56)</f>
        <v>0</v>
      </c>
      <c r="J65" s="1556"/>
      <c r="K65" s="2154"/>
      <c r="L65" s="2154"/>
      <c r="M65" s="2154"/>
      <c r="N65" s="2154"/>
      <c r="O65" s="2154"/>
      <c r="P65" s="2154"/>
      <c r="Q65" s="2154"/>
      <c r="R65" s="2154"/>
      <c r="S65" s="2154"/>
      <c r="T65" s="2154"/>
      <c r="U65" s="2154"/>
      <c r="V65" s="2154"/>
      <c r="W65" s="2154"/>
      <c r="X65" s="2154"/>
      <c r="Y65" s="2154"/>
      <c r="Z65" s="2154"/>
      <c r="AA65" s="2154"/>
      <c r="AB65" s="2154"/>
      <c r="AC65" s="2154"/>
    </row>
    <row r="66" spans="1:29" s="1344" customFormat="1" ht="13.2">
      <c r="A66" s="636" t="s">
        <v>536</v>
      </c>
      <c r="B66" s="637">
        <f t="shared" si="17"/>
        <v>0</v>
      </c>
      <c r="C66" s="377">
        <f t="shared" si="16"/>
        <v>0</v>
      </c>
      <c r="D66" s="2228">
        <v>0.25</v>
      </c>
      <c r="E66" s="640">
        <f>'数据-汇总表'!E14</f>
        <v>0</v>
      </c>
      <c r="F66" s="635">
        <f t="shared" si="15"/>
        <v>0</v>
      </c>
      <c r="G66" s="1944" t="s">
        <v>2244</v>
      </c>
      <c r="H66" s="1947">
        <f>项目基本情况!B43</f>
        <v>0</v>
      </c>
      <c r="I66" s="1554">
        <f>SUMIF(修正!$A$45:$A$56,H66,修正!H45:H56)</f>
        <v>0</v>
      </c>
      <c r="J66" s="1556"/>
      <c r="K66" s="2154"/>
      <c r="L66" s="2154"/>
      <c r="M66" s="2154"/>
      <c r="N66" s="2154"/>
      <c r="O66" s="2154"/>
      <c r="P66" s="2154"/>
      <c r="Q66" s="2154"/>
      <c r="R66" s="2154"/>
      <c r="S66" s="2154"/>
      <c r="T66" s="2154"/>
      <c r="U66" s="2154"/>
      <c r="V66" s="2154"/>
      <c r="W66" s="2154"/>
      <c r="X66" s="2154"/>
      <c r="Y66" s="2154"/>
      <c r="Z66" s="2154"/>
      <c r="AA66" s="2154"/>
      <c r="AB66" s="2154"/>
      <c r="AC66" s="2154"/>
    </row>
    <row r="67" spans="1:29" s="1344" customFormat="1" thickBot="1">
      <c r="A67" s="636" t="s">
        <v>537</v>
      </c>
      <c r="B67" s="637">
        <f t="shared" si="17"/>
        <v>0</v>
      </c>
      <c r="C67" s="377">
        <f t="shared" si="16"/>
        <v>0</v>
      </c>
      <c r="D67" s="2228">
        <v>0.25</v>
      </c>
      <c r="E67" s="640">
        <f>'数据-汇总表'!E15</f>
        <v>0</v>
      </c>
      <c r="F67" s="635">
        <f t="shared" si="15"/>
        <v>0</v>
      </c>
      <c r="G67" s="1946" t="s">
        <v>2245</v>
      </c>
      <c r="H67" s="1948">
        <f>项目基本情况!C43</f>
        <v>0</v>
      </c>
      <c r="I67" s="1554">
        <f>SUMIF(修正!$A$45:$A$56,H67,修正!H45:H56)</f>
        <v>0</v>
      </c>
      <c r="J67" s="1556"/>
      <c r="K67" s="2154"/>
      <c r="L67" s="2154"/>
      <c r="M67" s="2154"/>
      <c r="N67" s="2154"/>
      <c r="O67" s="2154"/>
      <c r="P67" s="2154"/>
      <c r="Q67" s="2154"/>
      <c r="R67" s="2154"/>
      <c r="S67" s="2154"/>
      <c r="T67" s="2154"/>
      <c r="U67" s="2154"/>
      <c r="V67" s="2154"/>
      <c r="W67" s="2154"/>
      <c r="X67" s="2154"/>
      <c r="Y67" s="2154"/>
      <c r="Z67" s="2154"/>
      <c r="AA67" s="2154"/>
      <c r="AB67" s="2154"/>
      <c r="AC67" s="2154"/>
    </row>
    <row r="68" spans="1:29" s="1344" customFormat="1" thickBot="1">
      <c r="A68" s="641" t="s">
        <v>538</v>
      </c>
      <c r="B68" s="642" t="s">
        <v>16</v>
      </c>
      <c r="C68" s="642" t="s">
        <v>17</v>
      </c>
      <c r="D68" s="642" t="s">
        <v>2256</v>
      </c>
      <c r="E68" s="642">
        <f>IF(B48="楼面地价",SUM(E58:E67),'数据-汇总表'!D3)</f>
        <v>8808.89</v>
      </c>
      <c r="F68" s="643">
        <f>IF(B48="楼面地价",SUM(F58:F67),ROUND(C50*E68/10000,0))</f>
        <v>6158</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2018-12-1</v>
      </c>
      <c r="D70" s="2798">
        <f>EDATE(C70,-3)</f>
        <v>43344</v>
      </c>
      <c r="E70" s="2798">
        <f t="shared" ref="E70:N70" si="18">EDATE(D70,-3)</f>
        <v>43252</v>
      </c>
      <c r="F70" s="2798">
        <f t="shared" si="18"/>
        <v>43160</v>
      </c>
      <c r="G70" s="2798">
        <f t="shared" si="18"/>
        <v>43070</v>
      </c>
      <c r="H70" s="2798">
        <f t="shared" si="18"/>
        <v>42979</v>
      </c>
      <c r="I70" s="2798">
        <f t="shared" si="18"/>
        <v>42887</v>
      </c>
      <c r="J70" s="2798">
        <f t="shared" si="18"/>
        <v>42795</v>
      </c>
      <c r="K70" s="2798">
        <f t="shared" si="18"/>
        <v>42705</v>
      </c>
      <c r="L70" s="2798">
        <f t="shared" si="18"/>
        <v>42614</v>
      </c>
      <c r="M70" s="2798">
        <f t="shared" si="18"/>
        <v>42522</v>
      </c>
      <c r="N70" s="2798">
        <f t="shared" si="18"/>
        <v>42430</v>
      </c>
      <c r="O70" s="2144"/>
      <c r="P70" s="2144"/>
      <c r="Q70" s="2144"/>
      <c r="R70" s="2144"/>
      <c r="S70" s="2144"/>
      <c r="T70" s="2144"/>
      <c r="U70" s="2144"/>
      <c r="V70" s="2144"/>
      <c r="W70" s="2144"/>
      <c r="X70" s="2144"/>
      <c r="Y70" s="2144"/>
      <c r="Z70" s="2144"/>
      <c r="AA70" s="2144"/>
      <c r="AB70" s="2144"/>
      <c r="AC70" s="2144"/>
    </row>
    <row r="71" spans="1:29" ht="22.2" thickBot="1">
      <c r="A71" s="1582" t="s">
        <v>539</v>
      </c>
      <c r="B71" s="1557"/>
      <c r="C71" s="1581"/>
      <c r="D71" s="1581"/>
      <c r="E71" s="1581"/>
      <c r="F71" s="1583"/>
      <c r="G71" s="1583"/>
      <c r="H71" s="1581"/>
      <c r="I71" s="1581"/>
      <c r="J71" s="1581"/>
      <c r="K71" s="1584"/>
      <c r="L71" s="1580"/>
      <c r="M71" s="1581"/>
      <c r="N71" s="1581"/>
      <c r="O71" s="2156"/>
      <c r="P71" s="2156"/>
      <c r="Q71" s="2157"/>
      <c r="R71" s="2144"/>
      <c r="S71" s="2144"/>
      <c r="T71" s="2144"/>
      <c r="U71" s="2144"/>
      <c r="V71" s="2144"/>
      <c r="W71" s="2144"/>
      <c r="X71" s="2144"/>
      <c r="Y71" s="2144"/>
      <c r="Z71" s="2144"/>
      <c r="AA71" s="2144"/>
      <c r="AB71" s="2144"/>
      <c r="AC71" s="2144"/>
    </row>
    <row r="72" spans="1:29" s="1345" customFormat="1" ht="14.4">
      <c r="A72" s="2567" t="s">
        <v>2494</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18" customFormat="1" ht="27" customHeight="1">
      <c r="A73" s="2805" t="s">
        <v>2609</v>
      </c>
      <c r="B73" s="478" t="str">
        <f>"北京市平均增长率"&amp;TEXT(SUMIF(基准地价!N21:N25,A73,基准地价!P21:P25),"0.00%")</f>
        <v>北京市平均增长率0.00%</v>
      </c>
      <c r="C73" s="892">
        <v>100</v>
      </c>
      <c r="D73" s="729">
        <f>C73-1</f>
        <v>99</v>
      </c>
      <c r="E73" s="729">
        <f t="shared" ref="E73:N73" si="20">D73-1</f>
        <v>98</v>
      </c>
      <c r="F73" s="729">
        <f t="shared" si="20"/>
        <v>97</v>
      </c>
      <c r="G73" s="729">
        <f t="shared" si="20"/>
        <v>96</v>
      </c>
      <c r="H73" s="729">
        <f t="shared" si="20"/>
        <v>95</v>
      </c>
      <c r="I73" s="729">
        <f t="shared" si="20"/>
        <v>94</v>
      </c>
      <c r="J73" s="729">
        <f t="shared" si="20"/>
        <v>93</v>
      </c>
      <c r="K73" s="729">
        <f t="shared" si="20"/>
        <v>92</v>
      </c>
      <c r="L73" s="729">
        <f t="shared" si="20"/>
        <v>91</v>
      </c>
      <c r="M73" s="729">
        <f t="shared" si="20"/>
        <v>90</v>
      </c>
      <c r="N73" s="729">
        <f t="shared" si="20"/>
        <v>89</v>
      </c>
      <c r="O73" s="2161"/>
      <c r="P73" s="2157"/>
      <c r="Q73" s="1992"/>
      <c r="R73" s="1992"/>
      <c r="S73" s="1992"/>
      <c r="T73" s="1992"/>
      <c r="U73" s="1992"/>
      <c r="V73" s="1992"/>
      <c r="W73" s="1992"/>
      <c r="X73" s="1992"/>
      <c r="Y73" s="1992"/>
      <c r="Z73" s="1992"/>
      <c r="AA73" s="1992"/>
      <c r="AB73" s="1992"/>
      <c r="AC73" s="1992"/>
    </row>
    <row r="74" spans="1:29" s="1218" customFormat="1" ht="15" customHeight="1" thickBot="1">
      <c r="A74" s="2795" t="s">
        <v>2608</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18" customFormat="1" ht="14.4">
      <c r="A75" s="658" t="s">
        <v>496</v>
      </c>
      <c r="B75" s="647"/>
      <c r="C75" s="659" t="s">
        <v>541</v>
      </c>
      <c r="D75" s="3191" t="s">
        <v>3496</v>
      </c>
      <c r="E75" s="660"/>
      <c r="F75" s="660"/>
      <c r="G75" s="660"/>
      <c r="H75" s="660"/>
      <c r="I75" s="660"/>
      <c r="J75" s="660"/>
      <c r="K75" s="660"/>
      <c r="L75" s="661"/>
      <c r="M75" s="662"/>
      <c r="N75" s="2161"/>
      <c r="O75" s="2161"/>
      <c r="P75" s="2162"/>
      <c r="Q75" s="2157"/>
      <c r="R75" s="1992"/>
      <c r="S75" s="1992"/>
      <c r="T75" s="1992"/>
      <c r="U75" s="1992"/>
      <c r="V75" s="1992"/>
      <c r="W75" s="1992"/>
      <c r="X75" s="1992"/>
      <c r="Y75" s="1992"/>
      <c r="Z75" s="1992"/>
      <c r="AA75" s="1992"/>
      <c r="AB75" s="1992"/>
      <c r="AC75" s="1992"/>
    </row>
    <row r="76" spans="1:29" s="1218" customFormat="1" ht="14.4" thickBot="1">
      <c r="A76" s="658"/>
      <c r="B76" s="647"/>
      <c r="C76" s="648">
        <v>100</v>
      </c>
      <c r="D76" s="649">
        <v>95</v>
      </c>
      <c r="E76" s="649"/>
      <c r="F76" s="649"/>
      <c r="G76" s="649"/>
      <c r="H76" s="649"/>
      <c r="I76" s="649"/>
      <c r="J76" s="649"/>
      <c r="K76" s="649"/>
      <c r="L76" s="649"/>
      <c r="M76" s="651"/>
      <c r="N76" s="2161"/>
      <c r="O76" s="2161"/>
      <c r="P76" s="2157"/>
      <c r="Q76" s="2157"/>
      <c r="R76" s="1992"/>
      <c r="S76" s="1992"/>
      <c r="T76" s="1992"/>
      <c r="U76" s="1992"/>
      <c r="V76" s="1992"/>
      <c r="W76" s="1992"/>
      <c r="X76" s="1992"/>
      <c r="Y76" s="1992"/>
      <c r="Z76" s="1992"/>
      <c r="AA76" s="1992"/>
      <c r="AB76" s="1992"/>
      <c r="AC76" s="1992"/>
    </row>
    <row r="77" spans="1:29" ht="14.4">
      <c r="A77" s="663" t="s">
        <v>542</v>
      </c>
      <c r="B77" s="664" t="s">
        <v>499</v>
      </c>
      <c r="C77" s="3178" t="s">
        <v>3316</v>
      </c>
      <c r="D77" s="3178" t="s">
        <v>3317</v>
      </c>
      <c r="E77" s="3178" t="s">
        <v>3318</v>
      </c>
      <c r="F77" s="597"/>
      <c r="G77" s="597"/>
      <c r="H77" s="597"/>
      <c r="I77" s="597"/>
      <c r="J77" s="597"/>
      <c r="K77" s="665"/>
      <c r="L77" s="666"/>
      <c r="M77" s="667"/>
      <c r="N77" s="2163"/>
      <c r="O77" s="2163"/>
      <c r="P77" s="2164"/>
      <c r="Q77" s="2157"/>
      <c r="R77" s="2144"/>
      <c r="S77" s="2144"/>
      <c r="T77" s="2144"/>
      <c r="U77" s="2144"/>
      <c r="V77" s="2144"/>
      <c r="W77" s="2144"/>
      <c r="X77" s="2144"/>
      <c r="Y77" s="2144"/>
      <c r="Z77" s="2144"/>
      <c r="AA77" s="2144"/>
      <c r="AB77" s="2144"/>
      <c r="AC77" s="2144"/>
    </row>
    <row r="78" spans="1:29" ht="14.4" thickBot="1">
      <c r="A78" s="668"/>
      <c r="B78" s="669"/>
      <c r="C78" s="670">
        <v>100</v>
      </c>
      <c r="D78" s="670">
        <v>100</v>
      </c>
      <c r="E78" s="670">
        <v>100</v>
      </c>
      <c r="F78" s="670"/>
      <c r="G78" s="670"/>
      <c r="H78" s="670"/>
      <c r="I78" s="670"/>
      <c r="J78" s="670"/>
      <c r="K78" s="670"/>
      <c r="L78" s="670"/>
      <c r="M78" s="671"/>
      <c r="N78" s="2165"/>
      <c r="O78" s="2165"/>
      <c r="P78" s="2164"/>
      <c r="Q78" s="2157"/>
      <c r="R78" s="2144"/>
      <c r="S78" s="2144"/>
      <c r="T78" s="2144"/>
      <c r="U78" s="2144"/>
      <c r="V78" s="2144"/>
      <c r="W78" s="2144"/>
      <c r="X78" s="2144"/>
      <c r="Y78" s="2144"/>
      <c r="Z78" s="2144"/>
      <c r="AA78" s="2144"/>
      <c r="AB78" s="2144"/>
      <c r="AC78" s="2144"/>
    </row>
    <row r="79" spans="1:29" ht="29.4" thickTop="1">
      <c r="A79" s="668"/>
      <c r="B79" s="672" t="s">
        <v>502</v>
      </c>
      <c r="C79" s="673"/>
      <c r="D79" s="673"/>
      <c r="E79" s="673"/>
      <c r="F79" s="673"/>
      <c r="G79" s="673"/>
      <c r="H79" s="673"/>
      <c r="I79" s="673"/>
      <c r="J79" s="673"/>
      <c r="K79" s="674"/>
      <c r="L79" s="675"/>
      <c r="M79" s="676"/>
      <c r="N79" s="2163"/>
      <c r="O79" s="2163"/>
      <c r="P79" s="2164"/>
      <c r="Q79" s="2157"/>
      <c r="R79" s="2144"/>
      <c r="S79" s="2144"/>
      <c r="T79" s="2144"/>
      <c r="U79" s="2144"/>
      <c r="V79" s="2144"/>
      <c r="W79" s="2144"/>
      <c r="X79" s="2144"/>
      <c r="Y79" s="2144"/>
      <c r="Z79" s="2144"/>
      <c r="AA79" s="2144"/>
      <c r="AB79" s="2144"/>
      <c r="AC79" s="2144"/>
    </row>
    <row r="80" spans="1:29" ht="14.4" thickBot="1">
      <c r="A80" s="668"/>
      <c r="B80" s="677"/>
      <c r="C80" s="678"/>
      <c r="D80" s="678"/>
      <c r="E80" s="678"/>
      <c r="F80" s="678"/>
      <c r="G80" s="678"/>
      <c r="H80" s="678"/>
      <c r="I80" s="678"/>
      <c r="J80" s="678"/>
      <c r="K80" s="678"/>
      <c r="L80" s="678"/>
      <c r="M80" s="679"/>
      <c r="N80" s="2165"/>
      <c r="O80" s="2165"/>
      <c r="P80" s="2164"/>
      <c r="Q80" s="2157"/>
      <c r="R80" s="2144"/>
      <c r="S80" s="2144"/>
      <c r="T80" s="2144"/>
      <c r="U80" s="2144"/>
      <c r="V80" s="2144"/>
      <c r="W80" s="2144"/>
      <c r="X80" s="2144"/>
      <c r="Y80" s="2144"/>
      <c r="Z80" s="2144"/>
      <c r="AA80" s="2144"/>
      <c r="AB80" s="2144"/>
      <c r="AC80" s="2144"/>
    </row>
    <row r="81" spans="1:29" ht="15" thickTop="1">
      <c r="A81" s="668"/>
      <c r="B81" s="680" t="s">
        <v>503</v>
      </c>
      <c r="C81" s="681" t="str">
        <f>C82&amp;"（含）"&amp;"-"&amp;D82</f>
        <v>0（含）-1</v>
      </c>
      <c r="D81" s="681" t="str">
        <f t="shared" ref="D81:L81" si="21">D82&amp;"（含）"&amp;"-"&amp;E82</f>
        <v>1（含）-2</v>
      </c>
      <c r="E81" s="681" t="str">
        <f t="shared" si="21"/>
        <v>2（含）-3</v>
      </c>
      <c r="F81" s="681" t="str">
        <f t="shared" si="21"/>
        <v>3（含）-4</v>
      </c>
      <c r="G81" s="681" t="str">
        <f t="shared" si="21"/>
        <v>4（含）-5</v>
      </c>
      <c r="H81" s="681" t="str">
        <f t="shared" si="21"/>
        <v>5（含）-</v>
      </c>
      <c r="I81" s="681" t="str">
        <f t="shared" si="21"/>
        <v>（含）-</v>
      </c>
      <c r="J81" s="681" t="str">
        <f t="shared" si="21"/>
        <v>（含）-</v>
      </c>
      <c r="K81" s="681" t="str">
        <f t="shared" si="21"/>
        <v>（含）-</v>
      </c>
      <c r="L81" s="681" t="str">
        <f t="shared" si="21"/>
        <v>（含）-</v>
      </c>
      <c r="M81" s="554" t="str">
        <f>M82&amp;"（含）"&amp;"-"&amp;P82</f>
        <v>（含）-</v>
      </c>
      <c r="N81" s="2165"/>
      <c r="O81" s="2165"/>
      <c r="P81" s="2164"/>
      <c r="Q81" s="2157"/>
      <c r="R81" s="2144"/>
      <c r="S81" s="2144"/>
      <c r="T81" s="2144"/>
      <c r="U81" s="2144"/>
      <c r="V81" s="2144"/>
      <c r="W81" s="2144"/>
      <c r="X81" s="2144"/>
      <c r="Y81" s="2144"/>
      <c r="Z81" s="2144"/>
      <c r="AA81" s="2144"/>
      <c r="AB81" s="2144"/>
      <c r="AC81" s="2144"/>
    </row>
    <row r="82" spans="1:29">
      <c r="A82" s="668"/>
      <c r="B82" s="682"/>
      <c r="C82" s="540">
        <v>0</v>
      </c>
      <c r="D82" s="540">
        <v>1</v>
      </c>
      <c r="E82" s="540">
        <v>2</v>
      </c>
      <c r="F82" s="540">
        <v>3</v>
      </c>
      <c r="G82" s="540">
        <v>4</v>
      </c>
      <c r="H82" s="540">
        <v>5</v>
      </c>
      <c r="I82" s="540"/>
      <c r="J82" s="540"/>
      <c r="K82" s="540"/>
      <c r="L82" s="540"/>
      <c r="M82" s="540"/>
      <c r="N82" s="2163"/>
      <c r="O82" s="2163"/>
      <c r="P82" s="2164"/>
      <c r="Q82" s="2157"/>
      <c r="R82" s="2144"/>
      <c r="S82" s="2144"/>
      <c r="T82" s="2144"/>
      <c r="U82" s="2144"/>
      <c r="V82" s="2144"/>
      <c r="W82" s="2144"/>
      <c r="X82" s="2144"/>
      <c r="Y82" s="2144"/>
      <c r="Z82" s="2144"/>
      <c r="AA82" s="2144"/>
      <c r="AB82" s="2144"/>
      <c r="AC82" s="2144"/>
    </row>
    <row r="83" spans="1:29" ht="14.4" thickBot="1">
      <c r="A83" s="668"/>
      <c r="B83" s="669"/>
      <c r="C83" s="678">
        <v>100</v>
      </c>
      <c r="D83" s="678">
        <f>IF($B$48="单位面积地价",C83+$K13,C83-$K13)</f>
        <v>98</v>
      </c>
      <c r="E83" s="678">
        <f t="shared" ref="E83:M83" si="22">IF($B$48="单位面积地价",D83+$K13,D83-$K13)</f>
        <v>96</v>
      </c>
      <c r="F83" s="678">
        <f t="shared" si="22"/>
        <v>94</v>
      </c>
      <c r="G83" s="678">
        <f t="shared" si="22"/>
        <v>92</v>
      </c>
      <c r="H83" s="678">
        <f t="shared" si="22"/>
        <v>90</v>
      </c>
      <c r="I83" s="678">
        <f t="shared" si="22"/>
        <v>88</v>
      </c>
      <c r="J83" s="678">
        <f t="shared" si="22"/>
        <v>86</v>
      </c>
      <c r="K83" s="678">
        <f t="shared" si="22"/>
        <v>84</v>
      </c>
      <c r="L83" s="678">
        <f t="shared" si="22"/>
        <v>82</v>
      </c>
      <c r="M83" s="678">
        <f t="shared" si="22"/>
        <v>80</v>
      </c>
      <c r="N83" s="2165"/>
      <c r="O83" s="2165"/>
      <c r="P83" s="2164"/>
      <c r="Q83" s="2157"/>
      <c r="R83" s="2144"/>
      <c r="S83" s="2144"/>
      <c r="T83" s="2144"/>
      <c r="U83" s="2144"/>
      <c r="V83" s="2144"/>
      <c r="W83" s="2144"/>
      <c r="X83" s="2144"/>
      <c r="Y83" s="2144"/>
      <c r="Z83" s="2144"/>
      <c r="AA83" s="2144"/>
      <c r="AB83" s="2144"/>
      <c r="AC83" s="2144"/>
    </row>
    <row r="84" spans="1:29" s="1337" customFormat="1" ht="15" thickTop="1">
      <c r="A84" s="686"/>
      <c r="B84" s="672" t="str">
        <f>B14</f>
        <v>配建</v>
      </c>
      <c r="C84" s="687"/>
      <c r="D84" s="1374"/>
      <c r="E84" s="1375"/>
      <c r="F84" s="687"/>
      <c r="G84" s="687"/>
      <c r="H84" s="688"/>
      <c r="I84" s="688"/>
      <c r="J84" s="688"/>
      <c r="K84" s="688"/>
      <c r="L84" s="689"/>
      <c r="M84" s="690"/>
      <c r="N84" s="2166"/>
      <c r="O84" s="2166"/>
      <c r="P84" s="2167"/>
      <c r="Q84" s="2168"/>
      <c r="R84" s="2169"/>
      <c r="S84" s="2169"/>
      <c r="T84" s="2169"/>
      <c r="U84" s="2169"/>
      <c r="V84" s="2169"/>
      <c r="W84" s="2169"/>
      <c r="X84" s="2169"/>
      <c r="Y84" s="2169"/>
      <c r="Z84" s="2169"/>
      <c r="AA84" s="2169"/>
      <c r="AB84" s="2169"/>
      <c r="AC84" s="2169"/>
    </row>
    <row r="85" spans="1:29" s="1337" customFormat="1" ht="14.4" thickBot="1">
      <c r="A85" s="686"/>
      <c r="B85" s="677"/>
      <c r="C85" s="691"/>
      <c r="D85" s="670"/>
      <c r="E85" s="670"/>
      <c r="F85" s="670"/>
      <c r="G85" s="670"/>
      <c r="H85" s="670"/>
      <c r="I85" s="670"/>
      <c r="J85" s="670"/>
      <c r="K85" s="670"/>
      <c r="L85" s="670"/>
      <c r="M85" s="671"/>
      <c r="N85" s="2165"/>
      <c r="O85" s="2165"/>
      <c r="P85" s="2167"/>
      <c r="Q85" s="2168"/>
      <c r="R85" s="2169"/>
      <c r="S85" s="2169"/>
      <c r="T85" s="2169"/>
      <c r="U85" s="2169"/>
      <c r="V85" s="2169"/>
      <c r="W85" s="2169"/>
      <c r="X85" s="2169"/>
      <c r="Y85" s="2169"/>
      <c r="Z85" s="2169"/>
      <c r="AA85" s="2169"/>
      <c r="AB85" s="2169"/>
      <c r="AC85" s="2169"/>
    </row>
    <row r="86" spans="1:29" s="1337" customFormat="1" ht="14.4" thickTop="1">
      <c r="A86" s="686"/>
      <c r="B86" s="672">
        <f>B15</f>
        <v>0</v>
      </c>
      <c r="C86" s="687"/>
      <c r="D86" s="687"/>
      <c r="E86" s="687"/>
      <c r="F86" s="687"/>
      <c r="G86" s="687"/>
      <c r="H86" s="688"/>
      <c r="I86" s="688"/>
      <c r="J86" s="688"/>
      <c r="K86" s="688"/>
      <c r="L86" s="689"/>
      <c r="M86" s="690"/>
      <c r="N86" s="2166"/>
      <c r="O86" s="2166"/>
      <c r="P86" s="2170"/>
      <c r="Q86" s="2171"/>
      <c r="R86" s="2169"/>
      <c r="S86" s="2169"/>
      <c r="T86" s="2169"/>
      <c r="U86" s="2169"/>
      <c r="V86" s="2169"/>
      <c r="W86" s="2169"/>
      <c r="X86" s="2169"/>
      <c r="Y86" s="2169"/>
      <c r="Z86" s="2169"/>
      <c r="AA86" s="2169"/>
      <c r="AB86" s="2169"/>
      <c r="AC86" s="2169"/>
    </row>
    <row r="87" spans="1:29" s="1337" customFormat="1" ht="14.4" thickBot="1">
      <c r="A87" s="686"/>
      <c r="B87" s="677"/>
      <c r="C87" s="691"/>
      <c r="D87" s="691"/>
      <c r="E87" s="691"/>
      <c r="F87" s="691"/>
      <c r="G87" s="691"/>
      <c r="H87" s="692"/>
      <c r="I87" s="692"/>
      <c r="J87" s="692"/>
      <c r="K87" s="692"/>
      <c r="L87" s="692"/>
      <c r="M87" s="693"/>
      <c r="N87" s="2166"/>
      <c r="O87" s="2166"/>
      <c r="P87" s="2167"/>
      <c r="Q87" s="2168"/>
      <c r="R87" s="2169"/>
      <c r="S87" s="2169"/>
      <c r="T87" s="2169"/>
      <c r="U87" s="2169"/>
      <c r="V87" s="2169"/>
      <c r="W87" s="2169"/>
      <c r="X87" s="2169"/>
      <c r="Y87" s="2169"/>
      <c r="Z87" s="2169"/>
      <c r="AA87" s="2169"/>
      <c r="AB87" s="2169"/>
      <c r="AC87" s="2169"/>
    </row>
    <row r="88" spans="1:29" s="1337" customFormat="1" ht="14.4" thickTop="1">
      <c r="A88" s="686"/>
      <c r="B88" s="680">
        <f>B16</f>
        <v>0</v>
      </c>
      <c r="C88" s="660"/>
      <c r="D88" s="660"/>
      <c r="E88" s="660"/>
      <c r="F88" s="660"/>
      <c r="G88" s="660"/>
      <c r="H88" s="694"/>
      <c r="I88" s="694"/>
      <c r="J88" s="694"/>
      <c r="K88" s="694"/>
      <c r="L88" s="695"/>
      <c r="M88" s="696"/>
      <c r="N88" s="2166"/>
      <c r="O88" s="2166"/>
      <c r="P88" s="2172"/>
      <c r="Q88" s="2168"/>
      <c r="R88" s="2169"/>
      <c r="S88" s="2169"/>
      <c r="T88" s="2169"/>
      <c r="U88" s="2169"/>
      <c r="V88" s="2169"/>
      <c r="W88" s="2169"/>
      <c r="X88" s="2169"/>
      <c r="Y88" s="2169"/>
      <c r="Z88" s="2169"/>
      <c r="AA88" s="2169"/>
      <c r="AB88" s="2169"/>
      <c r="AC88" s="2169"/>
    </row>
    <row r="89" spans="1:29" s="1337" customFormat="1" ht="14.4" thickBot="1">
      <c r="A89" s="697"/>
      <c r="B89" s="698"/>
      <c r="C89" s="699"/>
      <c r="D89" s="699"/>
      <c r="E89" s="699"/>
      <c r="F89" s="699"/>
      <c r="G89" s="699"/>
      <c r="H89" s="700"/>
      <c r="I89" s="700"/>
      <c r="J89" s="700"/>
      <c r="K89" s="700"/>
      <c r="L89" s="700"/>
      <c r="M89" s="701"/>
      <c r="N89" s="2166"/>
      <c r="O89" s="2166"/>
      <c r="P89" s="2167"/>
      <c r="Q89" s="2168"/>
      <c r="R89" s="2169"/>
      <c r="S89" s="2169"/>
      <c r="T89" s="2169"/>
      <c r="U89" s="2169"/>
      <c r="V89" s="2169"/>
      <c r="W89" s="2169"/>
      <c r="X89" s="2169"/>
      <c r="Y89" s="2169"/>
      <c r="Z89" s="2169"/>
      <c r="AA89" s="2169"/>
      <c r="AB89" s="2169"/>
      <c r="AC89" s="2169"/>
    </row>
    <row r="90" spans="1:29" ht="14.4">
      <c r="A90" s="663" t="s">
        <v>504</v>
      </c>
      <c r="B90" s="664" t="s">
        <v>543</v>
      </c>
      <c r="C90" s="702" t="s">
        <v>544</v>
      </c>
      <c r="D90" s="702" t="s">
        <v>545</v>
      </c>
      <c r="E90" s="702" t="s">
        <v>546</v>
      </c>
      <c r="F90" s="702" t="s">
        <v>547</v>
      </c>
      <c r="G90" s="702" t="s">
        <v>548</v>
      </c>
      <c r="H90" s="703"/>
      <c r="I90" s="703"/>
      <c r="J90" s="703"/>
      <c r="K90" s="704"/>
      <c r="L90" s="705"/>
      <c r="M90" s="706"/>
      <c r="N90" s="2163"/>
      <c r="O90" s="2163"/>
      <c r="P90" s="2173"/>
      <c r="Q90" s="2157"/>
      <c r="R90" s="2144"/>
      <c r="S90" s="2144"/>
      <c r="T90" s="2144"/>
      <c r="U90" s="2144"/>
      <c r="V90" s="2144"/>
      <c r="W90" s="2144"/>
      <c r="X90" s="2144"/>
      <c r="Y90" s="2144"/>
      <c r="Z90" s="2144"/>
      <c r="AA90" s="2144"/>
      <c r="AB90" s="2144"/>
      <c r="AC90" s="2144"/>
    </row>
    <row r="91" spans="1:29" ht="14.4" thickBot="1">
      <c r="A91" s="668"/>
      <c r="B91" s="677"/>
      <c r="C91" s="678">
        <v>100</v>
      </c>
      <c r="D91" s="678">
        <f>C91-$K17</f>
        <v>100</v>
      </c>
      <c r="E91" s="678">
        <f>D91-$K17</f>
        <v>100</v>
      </c>
      <c r="F91" s="678">
        <f>E91-$K17</f>
        <v>100</v>
      </c>
      <c r="G91" s="678">
        <f>F91-$K17</f>
        <v>100</v>
      </c>
      <c r="H91" s="678"/>
      <c r="I91" s="678"/>
      <c r="J91" s="678"/>
      <c r="K91" s="678"/>
      <c r="L91" s="678"/>
      <c r="M91" s="679"/>
      <c r="N91" s="2165"/>
      <c r="O91" s="2165"/>
      <c r="P91" s="2164"/>
      <c r="Q91" s="2157"/>
      <c r="R91" s="2144"/>
      <c r="S91" s="2144"/>
      <c r="T91" s="2144"/>
      <c r="U91" s="2144"/>
      <c r="V91" s="2144"/>
      <c r="W91" s="2144"/>
      <c r="X91" s="2144"/>
      <c r="Y91" s="2144"/>
      <c r="Z91" s="2144"/>
      <c r="AA91" s="2144"/>
      <c r="AB91" s="2144"/>
      <c r="AC91" s="2144"/>
    </row>
    <row r="92" spans="1:29" ht="15" thickTop="1">
      <c r="A92" s="668"/>
      <c r="B92" s="672" t="s">
        <v>549</v>
      </c>
      <c r="C92" s="707" t="s">
        <v>544</v>
      </c>
      <c r="D92" s="707" t="s">
        <v>545</v>
      </c>
      <c r="E92" s="707" t="s">
        <v>546</v>
      </c>
      <c r="F92" s="707" t="s">
        <v>547</v>
      </c>
      <c r="G92" s="707" t="s">
        <v>548</v>
      </c>
      <c r="H92" s="673"/>
      <c r="I92" s="673"/>
      <c r="J92" s="673"/>
      <c r="K92" s="674"/>
      <c r="L92" s="675"/>
      <c r="M92" s="676"/>
      <c r="N92" s="2163"/>
      <c r="O92" s="2163"/>
      <c r="P92" s="2164"/>
      <c r="Q92" s="2157"/>
      <c r="R92" s="2144"/>
      <c r="S92" s="2144"/>
      <c r="T92" s="2144"/>
      <c r="U92" s="2144"/>
      <c r="V92" s="2144"/>
      <c r="W92" s="2144"/>
      <c r="X92" s="2144"/>
      <c r="Y92" s="2144"/>
      <c r="Z92" s="2144"/>
      <c r="AA92" s="2144"/>
      <c r="AB92" s="2144"/>
      <c r="AC92" s="2144"/>
    </row>
    <row r="93" spans="1:29" ht="14.4" thickBot="1">
      <c r="A93" s="668"/>
      <c r="B93" s="677"/>
      <c r="C93" s="678">
        <v>100</v>
      </c>
      <c r="D93" s="678">
        <f>C93-$K19</f>
        <v>98</v>
      </c>
      <c r="E93" s="678">
        <f>D93-$K19</f>
        <v>96</v>
      </c>
      <c r="F93" s="678">
        <f>E93-$K19</f>
        <v>94</v>
      </c>
      <c r="G93" s="678">
        <f>F93-$K19</f>
        <v>92</v>
      </c>
      <c r="H93" s="678"/>
      <c r="I93" s="678"/>
      <c r="J93" s="678"/>
      <c r="K93" s="678"/>
      <c r="L93" s="678"/>
      <c r="M93" s="679"/>
      <c r="N93" s="2165"/>
      <c r="O93" s="2165"/>
      <c r="P93" s="2164"/>
      <c r="Q93" s="2157"/>
      <c r="R93" s="2144"/>
      <c r="S93" s="2144"/>
      <c r="T93" s="2144"/>
      <c r="U93" s="2144"/>
      <c r="V93" s="2144"/>
      <c r="W93" s="2144"/>
      <c r="X93" s="2144"/>
      <c r="Y93" s="2144"/>
      <c r="Z93" s="2144"/>
      <c r="AA93" s="2144"/>
      <c r="AB93" s="2144"/>
      <c r="AC93" s="2144"/>
    </row>
    <row r="94" spans="1:29" ht="15" thickTop="1">
      <c r="A94" s="668"/>
      <c r="B94" s="672" t="s">
        <v>550</v>
      </c>
      <c r="C94" s="707" t="s">
        <v>544</v>
      </c>
      <c r="D94" s="707" t="s">
        <v>545</v>
      </c>
      <c r="E94" s="707" t="s">
        <v>546</v>
      </c>
      <c r="F94" s="707" t="s">
        <v>547</v>
      </c>
      <c r="G94" s="707" t="s">
        <v>548</v>
      </c>
      <c r="H94" s="673"/>
      <c r="I94" s="673"/>
      <c r="J94" s="673"/>
      <c r="K94" s="674"/>
      <c r="L94" s="675"/>
      <c r="M94" s="676"/>
      <c r="N94" s="2163"/>
      <c r="O94" s="2163"/>
      <c r="P94" s="2164"/>
      <c r="Q94" s="2157"/>
      <c r="R94" s="2144"/>
      <c r="S94" s="2144"/>
      <c r="T94" s="2144"/>
      <c r="U94" s="2144"/>
      <c r="V94" s="2144"/>
      <c r="W94" s="2144"/>
      <c r="X94" s="2144"/>
      <c r="Y94" s="2144"/>
      <c r="Z94" s="2144"/>
      <c r="AA94" s="2144"/>
      <c r="AB94" s="2144"/>
      <c r="AC94" s="2144"/>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65"/>
      <c r="O95" s="2165"/>
      <c r="P95" s="2164"/>
      <c r="Q95" s="2157"/>
      <c r="R95" s="2144"/>
      <c r="S95" s="2144"/>
      <c r="T95" s="2144"/>
      <c r="U95" s="2144"/>
      <c r="V95" s="2144"/>
      <c r="W95" s="2144"/>
      <c r="X95" s="2144"/>
      <c r="Y95" s="2144"/>
      <c r="Z95" s="2144"/>
      <c r="AA95" s="2144"/>
      <c r="AB95" s="2144"/>
      <c r="AC95" s="2144"/>
    </row>
    <row r="96" spans="1:29" ht="15" thickTop="1">
      <c r="A96" s="668"/>
      <c r="B96" s="672" t="s">
        <v>551</v>
      </c>
      <c r="C96" s="707" t="s">
        <v>544</v>
      </c>
      <c r="D96" s="707" t="s">
        <v>545</v>
      </c>
      <c r="E96" s="707" t="s">
        <v>546</v>
      </c>
      <c r="F96" s="707" t="s">
        <v>547</v>
      </c>
      <c r="G96" s="707" t="s">
        <v>548</v>
      </c>
      <c r="H96" s="673"/>
      <c r="I96" s="673"/>
      <c r="J96" s="673"/>
      <c r="K96" s="674"/>
      <c r="L96" s="675"/>
      <c r="M96" s="676"/>
      <c r="N96" s="2163"/>
      <c r="O96" s="2163"/>
      <c r="P96" s="2164"/>
      <c r="Q96" s="2157"/>
      <c r="R96" s="2144"/>
      <c r="S96" s="2144"/>
      <c r="T96" s="2144"/>
      <c r="U96" s="2144"/>
      <c r="V96" s="2144"/>
      <c r="W96" s="2144"/>
      <c r="X96" s="2144"/>
      <c r="Y96" s="2144"/>
      <c r="Z96" s="2144"/>
      <c r="AA96" s="2144"/>
      <c r="AB96" s="2144"/>
      <c r="AC96" s="2144"/>
    </row>
    <row r="97" spans="1:29" ht="14.4" thickBot="1">
      <c r="A97" s="668"/>
      <c r="B97" s="677"/>
      <c r="C97" s="678">
        <v>100</v>
      </c>
      <c r="D97" s="678">
        <f>C97-$K23</f>
        <v>98</v>
      </c>
      <c r="E97" s="678">
        <f>D97-$K23</f>
        <v>96</v>
      </c>
      <c r="F97" s="678">
        <f>E97-$K23</f>
        <v>94</v>
      </c>
      <c r="G97" s="678">
        <f>F97-$K23</f>
        <v>92</v>
      </c>
      <c r="H97" s="678"/>
      <c r="I97" s="678"/>
      <c r="J97" s="678"/>
      <c r="K97" s="678"/>
      <c r="L97" s="678"/>
      <c r="M97" s="679"/>
      <c r="N97" s="2165"/>
      <c r="O97" s="2165"/>
      <c r="P97" s="2164"/>
      <c r="Q97" s="2157"/>
      <c r="R97" s="2144"/>
      <c r="S97" s="2144"/>
      <c r="T97" s="2144"/>
      <c r="U97" s="2144"/>
      <c r="V97" s="2144"/>
      <c r="W97" s="2144"/>
      <c r="X97" s="2144"/>
      <c r="Y97" s="2144"/>
      <c r="Z97" s="2144"/>
      <c r="AA97" s="2144"/>
      <c r="AB97" s="2144"/>
      <c r="AC97" s="2144"/>
    </row>
    <row r="98" spans="1:29" s="1218" customFormat="1" ht="29.4" thickTop="1">
      <c r="A98" s="708"/>
      <c r="B98" s="672" t="s">
        <v>552</v>
      </c>
      <c r="C98" s="707" t="s">
        <v>544</v>
      </c>
      <c r="D98" s="707" t="s">
        <v>545</v>
      </c>
      <c r="E98" s="707" t="s">
        <v>546</v>
      </c>
      <c r="F98" s="707" t="s">
        <v>547</v>
      </c>
      <c r="G98" s="707" t="s">
        <v>548</v>
      </c>
      <c r="H98" s="707"/>
      <c r="I98" s="707"/>
      <c r="J98" s="707"/>
      <c r="K98" s="707"/>
      <c r="L98" s="709"/>
      <c r="M98" s="710"/>
      <c r="N98" s="2161"/>
      <c r="O98" s="2161"/>
      <c r="P98" s="2164"/>
      <c r="Q98" s="2157"/>
      <c r="R98" s="1992"/>
      <c r="S98" s="1992"/>
      <c r="T98" s="1992"/>
      <c r="U98" s="1992"/>
      <c r="V98" s="1992"/>
      <c r="W98" s="1992"/>
      <c r="X98" s="1992"/>
      <c r="Y98" s="1992"/>
      <c r="Z98" s="1992"/>
      <c r="AA98" s="1992"/>
      <c r="AB98" s="1992"/>
      <c r="AC98" s="1992"/>
    </row>
    <row r="99" spans="1:29" s="1218" customFormat="1" ht="14.4" thickBot="1">
      <c r="A99" s="708"/>
      <c r="B99" s="677"/>
      <c r="C99" s="711">
        <v>100</v>
      </c>
      <c r="D99" s="678">
        <f>C99-$K25</f>
        <v>97</v>
      </c>
      <c r="E99" s="678">
        <f>D99-$K25</f>
        <v>94</v>
      </c>
      <c r="F99" s="678">
        <f>E99-$K25</f>
        <v>91</v>
      </c>
      <c r="G99" s="678">
        <f>F99-$K25</f>
        <v>88</v>
      </c>
      <c r="H99" s="678"/>
      <c r="I99" s="678"/>
      <c r="J99" s="678"/>
      <c r="K99" s="678"/>
      <c r="L99" s="678"/>
      <c r="M99" s="679"/>
      <c r="N99" s="2165"/>
      <c r="O99" s="2165"/>
      <c r="P99" s="2164"/>
      <c r="Q99" s="2157"/>
      <c r="R99" s="1992"/>
      <c r="S99" s="1992"/>
      <c r="T99" s="1992"/>
      <c r="U99" s="1992"/>
      <c r="V99" s="1992"/>
      <c r="W99" s="1992"/>
      <c r="X99" s="1992"/>
      <c r="Y99" s="1992"/>
      <c r="Z99" s="1992"/>
      <c r="AA99" s="1992"/>
      <c r="AB99" s="1992"/>
      <c r="AC99" s="1992"/>
    </row>
    <row r="100" spans="1:29" s="1218" customFormat="1" ht="29.4" thickTop="1">
      <c r="A100" s="708"/>
      <c r="B100" s="672" t="s">
        <v>553</v>
      </c>
      <c r="C100" s="702" t="s">
        <v>544</v>
      </c>
      <c r="D100" s="702" t="s">
        <v>545</v>
      </c>
      <c r="E100" s="702" t="s">
        <v>546</v>
      </c>
      <c r="F100" s="702" t="s">
        <v>547</v>
      </c>
      <c r="G100" s="702" t="s">
        <v>548</v>
      </c>
      <c r="H100" s="707"/>
      <c r="I100" s="707"/>
      <c r="J100" s="707"/>
      <c r="K100" s="707"/>
      <c r="L100" s="707"/>
      <c r="M100" s="710"/>
      <c r="N100" s="2161"/>
      <c r="O100" s="2161"/>
      <c r="P100" s="2164"/>
      <c r="Q100" s="2157"/>
      <c r="R100" s="1992"/>
      <c r="S100" s="1992"/>
      <c r="T100" s="1992"/>
      <c r="U100" s="1992"/>
      <c r="V100" s="1992"/>
      <c r="W100" s="1992"/>
      <c r="X100" s="1992"/>
      <c r="Y100" s="1992"/>
      <c r="Z100" s="1992"/>
      <c r="AA100" s="1992"/>
      <c r="AB100" s="1992"/>
      <c r="AC100" s="1992"/>
    </row>
    <row r="101" spans="1:29" s="1218" customFormat="1" ht="14.4" thickBot="1">
      <c r="A101" s="708"/>
      <c r="B101" s="677"/>
      <c r="C101" s="678">
        <v>100</v>
      </c>
      <c r="D101" s="678">
        <f>C101-$K27</f>
        <v>98</v>
      </c>
      <c r="E101" s="678">
        <f>D101-$K27</f>
        <v>96</v>
      </c>
      <c r="F101" s="678">
        <f>E101-$K27</f>
        <v>94</v>
      </c>
      <c r="G101" s="678">
        <f>F101-$K27</f>
        <v>92</v>
      </c>
      <c r="H101" s="678"/>
      <c r="I101" s="678"/>
      <c r="J101" s="678"/>
      <c r="K101" s="678"/>
      <c r="L101" s="678"/>
      <c r="M101" s="679"/>
      <c r="N101" s="2165"/>
      <c r="O101" s="2165"/>
      <c r="P101" s="2164"/>
      <c r="Q101" s="2157"/>
      <c r="R101" s="1992"/>
      <c r="S101" s="1992"/>
      <c r="T101" s="1992"/>
      <c r="U101" s="1992"/>
      <c r="V101" s="1992"/>
      <c r="W101" s="1992"/>
      <c r="X101" s="1992"/>
      <c r="Y101" s="1992"/>
      <c r="Z101" s="1992"/>
      <c r="AA101" s="1992"/>
      <c r="AB101" s="1992"/>
      <c r="AC101" s="1992"/>
    </row>
    <row r="102" spans="1:29" s="1337" customFormat="1" ht="15" thickTop="1">
      <c r="A102" s="686"/>
      <c r="B102" s="1895" t="s">
        <v>2510</v>
      </c>
      <c r="C102" s="702" t="s">
        <v>544</v>
      </c>
      <c r="D102" s="702" t="s">
        <v>545</v>
      </c>
      <c r="E102" s="702" t="s">
        <v>546</v>
      </c>
      <c r="F102" s="702" t="s">
        <v>547</v>
      </c>
      <c r="G102" s="702" t="s">
        <v>548</v>
      </c>
      <c r="H102" s="712"/>
      <c r="I102" s="712"/>
      <c r="J102" s="712"/>
      <c r="K102" s="712"/>
      <c r="L102" s="713"/>
      <c r="M102" s="714"/>
      <c r="N102" s="2166"/>
      <c r="O102" s="2166"/>
      <c r="P102" s="2167"/>
      <c r="Q102" s="2168"/>
      <c r="R102" s="2169"/>
      <c r="S102" s="2169"/>
      <c r="T102" s="2169"/>
      <c r="U102" s="2169"/>
      <c r="V102" s="2169"/>
      <c r="W102" s="2169"/>
      <c r="X102" s="2169"/>
      <c r="Y102" s="2169"/>
      <c r="Z102" s="2169"/>
      <c r="AA102" s="2169"/>
      <c r="AB102" s="2169"/>
      <c r="AC102" s="2169"/>
    </row>
    <row r="103" spans="1:29" s="1337" customFormat="1" ht="14.4" thickBot="1">
      <c r="A103" s="686"/>
      <c r="B103" s="677"/>
      <c r="C103" s="678">
        <v>100</v>
      </c>
      <c r="D103" s="678">
        <f>C103-$K29</f>
        <v>98</v>
      </c>
      <c r="E103" s="678">
        <f>D103-$K29</f>
        <v>96</v>
      </c>
      <c r="F103" s="678">
        <f>E103-$K29</f>
        <v>94</v>
      </c>
      <c r="G103" s="678">
        <f>F103-$K29</f>
        <v>92</v>
      </c>
      <c r="H103" s="715"/>
      <c r="I103" s="715"/>
      <c r="J103" s="715"/>
      <c r="K103" s="715"/>
      <c r="L103" s="715"/>
      <c r="M103" s="716"/>
      <c r="N103" s="2166"/>
      <c r="O103" s="2166"/>
      <c r="P103" s="2167"/>
      <c r="Q103" s="2168"/>
      <c r="R103" s="2169"/>
      <c r="S103" s="2169"/>
      <c r="T103" s="2169"/>
      <c r="U103" s="2169"/>
      <c r="V103" s="2169"/>
      <c r="W103" s="2169"/>
      <c r="X103" s="2169"/>
      <c r="Y103" s="2169"/>
      <c r="Z103" s="2169"/>
      <c r="AA103" s="2169"/>
      <c r="AB103" s="2169"/>
      <c r="AC103" s="2169"/>
    </row>
    <row r="104" spans="1:29" s="1337" customFormat="1" ht="15" thickTop="1">
      <c r="A104" s="686"/>
      <c r="B104" s="2596" t="s">
        <v>2512</v>
      </c>
      <c r="C104" s="2597" t="s">
        <v>2513</v>
      </c>
      <c r="D104" s="2597" t="s">
        <v>2514</v>
      </c>
      <c r="E104" s="2597" t="s">
        <v>2515</v>
      </c>
      <c r="F104" s="2597" t="s">
        <v>2516</v>
      </c>
      <c r="G104" s="2597" t="s">
        <v>2517</v>
      </c>
      <c r="H104" s="712"/>
      <c r="I104" s="712"/>
      <c r="J104" s="712"/>
      <c r="K104" s="712"/>
      <c r="L104" s="712"/>
      <c r="M104" s="714"/>
      <c r="N104" s="2166"/>
      <c r="O104" s="2166"/>
      <c r="P104" s="2167"/>
      <c r="Q104" s="2168"/>
      <c r="R104" s="2169"/>
      <c r="S104" s="2169"/>
      <c r="T104" s="2169"/>
      <c r="U104" s="2169"/>
      <c r="V104" s="2169"/>
      <c r="W104" s="2169"/>
      <c r="X104" s="2169"/>
      <c r="Y104" s="2169"/>
      <c r="Z104" s="2169"/>
      <c r="AA104" s="2169"/>
      <c r="AB104" s="2169"/>
      <c r="AC104" s="2169"/>
    </row>
    <row r="105" spans="1:29" s="1337" customFormat="1" ht="14.4" thickBot="1">
      <c r="A105" s="686"/>
      <c r="B105" s="680"/>
      <c r="C105" s="678">
        <v>100</v>
      </c>
      <c r="D105" s="678">
        <f>C105-$K31</f>
        <v>99</v>
      </c>
      <c r="E105" s="678">
        <f>D105-$K31</f>
        <v>98</v>
      </c>
      <c r="F105" s="678">
        <f>E105-$K31</f>
        <v>97</v>
      </c>
      <c r="G105" s="678">
        <f>F105-$K31</f>
        <v>96</v>
      </c>
      <c r="H105" s="682"/>
      <c r="I105" s="682"/>
      <c r="J105" s="682"/>
      <c r="K105" s="682"/>
      <c r="L105" s="682"/>
      <c r="M105" s="2589"/>
      <c r="N105" s="2166"/>
      <c r="O105" s="2166"/>
      <c r="P105" s="2167"/>
      <c r="Q105" s="2168"/>
      <c r="R105" s="2169"/>
      <c r="S105" s="2169"/>
      <c r="T105" s="2169"/>
      <c r="U105" s="2169"/>
      <c r="V105" s="2169"/>
      <c r="W105" s="2169"/>
      <c r="X105" s="2169"/>
      <c r="Y105" s="2169"/>
      <c r="Z105" s="2169"/>
      <c r="AA105" s="2169"/>
      <c r="AB105" s="2169"/>
      <c r="AC105" s="2169"/>
    </row>
    <row r="106" spans="1:29" ht="15" thickTop="1">
      <c r="A106" s="668"/>
      <c r="B106" s="672" t="str">
        <f>B33</f>
        <v>临街状况</v>
      </c>
      <c r="C106" s="673" t="s">
        <v>554</v>
      </c>
      <c r="D106" s="673" t="s">
        <v>555</v>
      </c>
      <c r="E106" s="673" t="s">
        <v>556</v>
      </c>
      <c r="F106" s="673" t="s">
        <v>557</v>
      </c>
      <c r="G106" s="673"/>
      <c r="H106" s="673"/>
      <c r="I106" s="673"/>
      <c r="J106" s="673"/>
      <c r="K106" s="674"/>
      <c r="L106" s="675"/>
      <c r="M106" s="676"/>
      <c r="N106" s="2163"/>
      <c r="O106" s="2163"/>
      <c r="P106" s="2164"/>
      <c r="Q106" s="2157"/>
      <c r="R106" s="2144"/>
      <c r="S106" s="2144"/>
      <c r="T106" s="2144"/>
      <c r="U106" s="2144"/>
      <c r="V106" s="2144"/>
      <c r="W106" s="2144"/>
      <c r="X106" s="2144"/>
      <c r="Y106" s="2144"/>
      <c r="Z106" s="2144"/>
      <c r="AA106" s="2144"/>
      <c r="AB106" s="2144"/>
      <c r="AC106" s="2144"/>
    </row>
    <row r="107" spans="1:29" ht="14.4"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5"/>
      <c r="O107" s="2165"/>
      <c r="P107" s="2164"/>
      <c r="Q107" s="2157"/>
      <c r="R107" s="2144"/>
      <c r="S107" s="2144"/>
      <c r="T107" s="2144"/>
      <c r="U107" s="2144"/>
      <c r="V107" s="2144"/>
      <c r="W107" s="2144"/>
      <c r="X107" s="2144"/>
      <c r="Y107" s="2144"/>
      <c r="Z107" s="2144"/>
      <c r="AA107" s="2144"/>
      <c r="AB107" s="2144"/>
      <c r="AC107" s="2144"/>
    </row>
    <row r="108" spans="1:29" ht="29.4" thickTop="1">
      <c r="A108" s="668"/>
      <c r="B108" s="672" t="s">
        <v>513</v>
      </c>
      <c r="C108" s="687"/>
      <c r="D108" s="687"/>
      <c r="E108" s="687"/>
      <c r="F108" s="687"/>
      <c r="G108" s="687"/>
      <c r="H108" s="717"/>
      <c r="I108" s="717"/>
      <c r="J108" s="717"/>
      <c r="K108" s="718"/>
      <c r="L108" s="719"/>
      <c r="M108" s="720"/>
      <c r="N108" s="2163"/>
      <c r="O108" s="2163"/>
      <c r="P108" s="2164"/>
      <c r="Q108" s="2157"/>
      <c r="R108" s="2144"/>
      <c r="S108" s="2144"/>
      <c r="T108" s="2144"/>
      <c r="U108" s="2144"/>
      <c r="V108" s="2144"/>
      <c r="W108" s="2144"/>
      <c r="X108" s="2144"/>
      <c r="Y108" s="2144"/>
      <c r="Z108" s="2144"/>
      <c r="AA108" s="2144"/>
      <c r="AB108" s="2144"/>
      <c r="AC108" s="2144"/>
    </row>
    <row r="109" spans="1:29" ht="14.4"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5"/>
      <c r="O109" s="2165"/>
      <c r="P109" s="2164"/>
      <c r="Q109" s="2157"/>
      <c r="R109" s="2144"/>
      <c r="S109" s="2144"/>
      <c r="T109" s="2144"/>
      <c r="U109" s="2144"/>
      <c r="V109" s="2144"/>
      <c r="W109" s="2144"/>
      <c r="X109" s="2144"/>
      <c r="Y109" s="2144"/>
      <c r="Z109" s="2144"/>
      <c r="AA109" s="2144"/>
      <c r="AB109" s="2144"/>
      <c r="AC109" s="2144"/>
    </row>
    <row r="110" spans="1:29" ht="15" thickTop="1">
      <c r="A110" s="668"/>
      <c r="B110" s="672" t="s">
        <v>514</v>
      </c>
      <c r="C110" s="717"/>
      <c r="D110" s="717"/>
      <c r="E110" s="717"/>
      <c r="F110" s="717"/>
      <c r="G110" s="717"/>
      <c r="H110" s="717"/>
      <c r="I110" s="717"/>
      <c r="J110" s="717"/>
      <c r="K110" s="718"/>
      <c r="L110" s="719"/>
      <c r="M110" s="720"/>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678">
        <v>100</v>
      </c>
      <c r="D111" s="678">
        <f>C111-$K36</f>
        <v>99</v>
      </c>
      <c r="E111" s="678">
        <f t="shared" ref="E111:M111" si="25">D111-$K36</f>
        <v>98</v>
      </c>
      <c r="F111" s="678">
        <f t="shared" si="25"/>
        <v>97</v>
      </c>
      <c r="G111" s="678">
        <f t="shared" si="25"/>
        <v>96</v>
      </c>
      <c r="H111" s="678">
        <f t="shared" si="25"/>
        <v>95</v>
      </c>
      <c r="I111" s="678">
        <f t="shared" si="25"/>
        <v>94</v>
      </c>
      <c r="J111" s="678">
        <f t="shared" si="25"/>
        <v>93</v>
      </c>
      <c r="K111" s="678">
        <f t="shared" si="25"/>
        <v>92</v>
      </c>
      <c r="L111" s="678">
        <f t="shared" si="25"/>
        <v>91</v>
      </c>
      <c r="M111" s="678">
        <f t="shared" si="25"/>
        <v>90</v>
      </c>
      <c r="N111" s="2165"/>
      <c r="O111" s="2165"/>
      <c r="P111" s="2164"/>
      <c r="Q111" s="2157"/>
      <c r="R111" s="2144"/>
      <c r="S111" s="2144"/>
      <c r="T111" s="2144"/>
      <c r="U111" s="2144"/>
      <c r="V111" s="2144"/>
      <c r="W111" s="2144"/>
      <c r="X111" s="2144"/>
      <c r="Y111" s="2144"/>
      <c r="Z111" s="2144"/>
      <c r="AA111" s="2144"/>
      <c r="AB111" s="2144"/>
      <c r="AC111" s="2144"/>
    </row>
    <row r="112" spans="1:29" ht="14.4" thickTop="1">
      <c r="A112" s="668"/>
      <c r="B112" s="680">
        <f>B37</f>
        <v>0</v>
      </c>
      <c r="C112" s="687"/>
      <c r="D112" s="687"/>
      <c r="E112" s="687"/>
      <c r="F112" s="687"/>
      <c r="G112" s="721"/>
      <c r="H112" s="721"/>
      <c r="I112" s="721"/>
      <c r="J112" s="721"/>
      <c r="K112" s="722"/>
      <c r="L112" s="723"/>
      <c r="M112" s="724"/>
      <c r="N112" s="2163"/>
      <c r="O112" s="2163"/>
      <c r="P112" s="2164"/>
      <c r="Q112" s="2157"/>
      <c r="R112" s="2144"/>
      <c r="S112" s="2144"/>
      <c r="T112" s="2144"/>
      <c r="U112" s="2144"/>
      <c r="V112" s="2144"/>
      <c r="W112" s="2144"/>
      <c r="X112" s="2144"/>
      <c r="Y112" s="2144"/>
      <c r="Z112" s="2144"/>
      <c r="AA112" s="2144"/>
      <c r="AB112" s="2144"/>
      <c r="AC112" s="2144"/>
    </row>
    <row r="113" spans="1:29" ht="14.4" thickBot="1">
      <c r="A113" s="668"/>
      <c r="B113" s="698"/>
      <c r="C113" s="691"/>
      <c r="D113" s="691"/>
      <c r="E113" s="691"/>
      <c r="F113" s="691"/>
      <c r="G113" s="725"/>
      <c r="H113" s="725"/>
      <c r="I113" s="725"/>
      <c r="J113" s="725"/>
      <c r="K113" s="725"/>
      <c r="L113" s="725"/>
      <c r="M113" s="726"/>
      <c r="N113" s="2165"/>
      <c r="O113" s="2165"/>
      <c r="P113" s="2164"/>
      <c r="Q113" s="2157"/>
      <c r="R113" s="2144"/>
      <c r="S113" s="2144"/>
      <c r="T113" s="2144"/>
      <c r="U113" s="2144"/>
      <c r="V113" s="2144"/>
      <c r="W113" s="2144"/>
      <c r="X113" s="2144"/>
      <c r="Y113" s="2144"/>
      <c r="Z113" s="2144"/>
      <c r="AA113" s="2144"/>
      <c r="AB113" s="2144"/>
      <c r="AC113" s="2144"/>
    </row>
    <row r="114" spans="1:29" ht="14.4" thickTop="1">
      <c r="A114" s="586"/>
      <c r="B114" s="672">
        <f>B38</f>
        <v>0</v>
      </c>
      <c r="C114" s="660"/>
      <c r="D114" s="660"/>
      <c r="E114" s="660"/>
      <c r="F114" s="660"/>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4.4" thickBot="1">
      <c r="A115" s="668"/>
      <c r="B115" s="677"/>
      <c r="C115" s="699"/>
      <c r="D115" s="699"/>
      <c r="E115" s="699"/>
      <c r="F115" s="699"/>
      <c r="G115" s="670"/>
      <c r="H115" s="670"/>
      <c r="I115" s="670"/>
      <c r="J115" s="670"/>
      <c r="K115" s="670"/>
      <c r="L115" s="670"/>
      <c r="M115" s="671"/>
      <c r="N115" s="2165"/>
      <c r="O115" s="2165"/>
      <c r="P115" s="2164"/>
      <c r="Q115" s="2157"/>
      <c r="R115" s="2144"/>
      <c r="S115" s="2144"/>
      <c r="T115" s="2144"/>
      <c r="U115" s="2144"/>
      <c r="V115" s="2144"/>
      <c r="W115" s="2144"/>
      <c r="X115" s="2144"/>
      <c r="Y115" s="2144"/>
      <c r="Z115" s="2144"/>
      <c r="AA115" s="2144"/>
      <c r="AB115" s="2144"/>
      <c r="AC115" s="2144"/>
    </row>
    <row r="116" spans="1:29" s="1337" customFormat="1" ht="14.4" thickTop="1">
      <c r="A116" s="727"/>
      <c r="B116" s="728">
        <f>B39</f>
        <v>0</v>
      </c>
      <c r="C116" s="729"/>
      <c r="D116" s="729"/>
      <c r="E116" s="729"/>
      <c r="F116" s="729"/>
      <c r="G116" s="729"/>
      <c r="H116" s="729"/>
      <c r="I116" s="729"/>
      <c r="J116" s="730"/>
      <c r="K116" s="730"/>
      <c r="L116" s="731"/>
      <c r="M116" s="732"/>
      <c r="N116" s="2166"/>
      <c r="O116" s="2166"/>
      <c r="P116" s="2167"/>
      <c r="Q116" s="2168"/>
      <c r="R116" s="2169"/>
      <c r="S116" s="2169"/>
      <c r="T116" s="2169"/>
      <c r="U116" s="2169"/>
      <c r="V116" s="2169"/>
      <c r="W116" s="2169"/>
      <c r="X116" s="2169"/>
      <c r="Y116" s="2169"/>
      <c r="Z116" s="2169"/>
      <c r="AA116" s="2169"/>
      <c r="AB116" s="2169"/>
      <c r="AC116" s="2169"/>
    </row>
    <row r="117" spans="1:29" s="1337" customFormat="1" ht="14.4" thickBot="1">
      <c r="A117" s="686"/>
      <c r="B117" s="680"/>
      <c r="C117" s="649"/>
      <c r="D117" s="591"/>
      <c r="E117" s="591"/>
      <c r="F117" s="591"/>
      <c r="G117" s="591"/>
      <c r="H117" s="591"/>
      <c r="I117" s="591"/>
      <c r="J117" s="591"/>
      <c r="K117" s="591"/>
      <c r="L117" s="591"/>
      <c r="M117" s="733"/>
      <c r="N117" s="2165"/>
      <c r="O117" s="2165"/>
      <c r="P117" s="2167"/>
      <c r="Q117" s="2168"/>
      <c r="R117" s="2169"/>
      <c r="S117" s="2169"/>
      <c r="T117" s="2169"/>
      <c r="U117" s="2169"/>
      <c r="V117" s="2169"/>
      <c r="W117" s="2169"/>
      <c r="X117" s="2169"/>
      <c r="Y117" s="2169"/>
      <c r="Z117" s="2169"/>
      <c r="AA117" s="2169"/>
      <c r="AB117" s="2169"/>
      <c r="AC117" s="2169"/>
    </row>
    <row r="118" spans="1:29" ht="27.6">
      <c r="A118" s="663" t="s">
        <v>516</v>
      </c>
      <c r="B118" s="664" t="s">
        <v>558</v>
      </c>
      <c r="C118" s="703" t="str">
        <f t="shared" ref="C118:L118" si="26">C119&amp;"(含)"&amp;"-"&amp;D119</f>
        <v>0(含)-20000</v>
      </c>
      <c r="D118" s="703" t="str">
        <f t="shared" si="26"/>
        <v>20000(含)-40000</v>
      </c>
      <c r="E118" s="703" t="str">
        <f t="shared" si="26"/>
        <v>40000(含)-60000</v>
      </c>
      <c r="F118" s="703" t="str">
        <f t="shared" si="26"/>
        <v>60000(含)-80000</v>
      </c>
      <c r="G118" s="703" t="str">
        <f t="shared" si="26"/>
        <v>80000(含)-</v>
      </c>
      <c r="H118" s="703" t="str">
        <f t="shared" si="26"/>
        <v>(含)-</v>
      </c>
      <c r="I118" s="703" t="str">
        <f t="shared" si="26"/>
        <v>(含)-</v>
      </c>
      <c r="J118" s="3092" t="str">
        <f t="shared" si="26"/>
        <v>(含)-</v>
      </c>
      <c r="K118" s="3092" t="str">
        <f t="shared" si="26"/>
        <v>(含)-</v>
      </c>
      <c r="L118" s="3093" t="str">
        <f t="shared" si="26"/>
        <v>(含)-</v>
      </c>
      <c r="M118" s="3094"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c r="A119" s="668"/>
      <c r="B119" s="680"/>
      <c r="C119" s="729">
        <v>0</v>
      </c>
      <c r="D119" s="729">
        <v>20000</v>
      </c>
      <c r="E119" s="729">
        <v>40000</v>
      </c>
      <c r="F119" s="729">
        <v>60000</v>
      </c>
      <c r="G119" s="729">
        <v>80000</v>
      </c>
      <c r="H119" s="729"/>
      <c r="I119" s="729"/>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4.4" thickBot="1">
      <c r="A120" s="668"/>
      <c r="B120" s="677"/>
      <c r="C120" s="699">
        <v>100</v>
      </c>
      <c r="D120" s="725">
        <v>99</v>
      </c>
      <c r="E120" s="725">
        <v>98</v>
      </c>
      <c r="F120" s="725">
        <v>97</v>
      </c>
      <c r="G120" s="725">
        <v>96</v>
      </c>
      <c r="H120" s="725"/>
      <c r="I120" s="725"/>
      <c r="J120" s="725"/>
      <c r="K120" s="725"/>
      <c r="L120" s="725"/>
      <c r="M120" s="726"/>
      <c r="N120" s="2165"/>
      <c r="O120" s="2165"/>
      <c r="P120" s="2164"/>
      <c r="Q120" s="2157"/>
      <c r="R120" s="2144"/>
      <c r="S120" s="2144"/>
      <c r="T120" s="2144"/>
      <c r="U120" s="2144"/>
      <c r="V120" s="2144"/>
      <c r="W120" s="2144"/>
      <c r="X120" s="2144"/>
      <c r="Y120" s="2144"/>
      <c r="Z120" s="2144"/>
      <c r="AA120" s="2144"/>
      <c r="AB120" s="2144"/>
      <c r="AC120" s="2144"/>
    </row>
    <row r="121" spans="1:29" ht="15" thickTop="1">
      <c r="A121" s="734"/>
      <c r="B121" s="672" t="s">
        <v>559</v>
      </c>
      <c r="C121" s="717"/>
      <c r="D121" s="717"/>
      <c r="E121" s="717"/>
      <c r="F121" s="717"/>
      <c r="G121" s="717"/>
      <c r="H121" s="717"/>
      <c r="I121" s="717"/>
      <c r="J121" s="717"/>
      <c r="K121" s="718"/>
      <c r="L121" s="719"/>
      <c r="M121" s="720"/>
      <c r="N121" s="2163"/>
      <c r="O121" s="2163"/>
      <c r="P121" s="2164"/>
      <c r="Q121" s="2157"/>
      <c r="R121" s="2144"/>
      <c r="S121" s="2144"/>
      <c r="T121" s="2144"/>
      <c r="U121" s="2144"/>
      <c r="V121" s="2144"/>
      <c r="W121" s="2144"/>
      <c r="X121" s="2144"/>
      <c r="Y121" s="2144"/>
      <c r="Z121" s="2144"/>
      <c r="AA121" s="2144"/>
      <c r="AB121" s="2144"/>
      <c r="AC121" s="2144"/>
    </row>
    <row r="122" spans="1:29" ht="14.4" thickBot="1">
      <c r="A122" s="668"/>
      <c r="B122" s="677"/>
      <c r="C122" s="678">
        <v>100</v>
      </c>
      <c r="D122" s="678">
        <f t="shared" ref="D122:M122" si="27">C122-$K41</f>
        <v>99</v>
      </c>
      <c r="E122" s="678">
        <f t="shared" si="27"/>
        <v>98</v>
      </c>
      <c r="F122" s="678">
        <f t="shared" si="27"/>
        <v>97</v>
      </c>
      <c r="G122" s="678">
        <f t="shared" si="27"/>
        <v>96</v>
      </c>
      <c r="H122" s="678">
        <f t="shared" si="27"/>
        <v>95</v>
      </c>
      <c r="I122" s="678">
        <f t="shared" si="27"/>
        <v>94</v>
      </c>
      <c r="J122" s="678">
        <f t="shared" si="27"/>
        <v>93</v>
      </c>
      <c r="K122" s="678">
        <f t="shared" si="27"/>
        <v>92</v>
      </c>
      <c r="L122" s="678">
        <f t="shared" si="27"/>
        <v>91</v>
      </c>
      <c r="M122" s="679">
        <f t="shared" si="27"/>
        <v>90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4"/>
      <c r="B123" s="672" t="s">
        <v>560</v>
      </c>
      <c r="C123" s="687"/>
      <c r="D123" s="687"/>
      <c r="E123" s="687"/>
      <c r="F123" s="717"/>
      <c r="G123" s="717"/>
      <c r="H123" s="717"/>
      <c r="I123" s="717"/>
      <c r="J123" s="717"/>
      <c r="K123" s="718"/>
      <c r="L123" s="719"/>
      <c r="M123" s="720"/>
      <c r="N123" s="2163"/>
      <c r="O123" s="2163"/>
      <c r="P123" s="2164"/>
      <c r="Q123" s="2157"/>
      <c r="R123" s="2144"/>
      <c r="S123" s="2144"/>
      <c r="T123" s="2144"/>
      <c r="U123" s="2144"/>
      <c r="V123" s="2144"/>
      <c r="W123" s="2144"/>
      <c r="X123" s="2144"/>
      <c r="Y123" s="2144"/>
      <c r="Z123" s="2144"/>
      <c r="AA123" s="2144"/>
      <c r="AB123" s="2144"/>
      <c r="AC123" s="2144"/>
    </row>
    <row r="124" spans="1:29" ht="14.4" thickBot="1">
      <c r="A124" s="668"/>
      <c r="B124" s="677"/>
      <c r="C124" s="678">
        <v>100</v>
      </c>
      <c r="D124" s="678">
        <f t="shared" ref="D124:M124" si="28">C124-$K42</f>
        <v>99</v>
      </c>
      <c r="E124" s="678">
        <f t="shared" si="28"/>
        <v>98</v>
      </c>
      <c r="F124" s="678">
        <f t="shared" si="28"/>
        <v>97</v>
      </c>
      <c r="G124" s="678">
        <f t="shared" si="28"/>
        <v>96</v>
      </c>
      <c r="H124" s="678">
        <f t="shared" si="28"/>
        <v>95</v>
      </c>
      <c r="I124" s="678">
        <f t="shared" si="28"/>
        <v>94</v>
      </c>
      <c r="J124" s="678">
        <f t="shared" si="28"/>
        <v>93</v>
      </c>
      <c r="K124" s="678">
        <f t="shared" si="28"/>
        <v>92</v>
      </c>
      <c r="L124" s="678">
        <f t="shared" si="28"/>
        <v>91</v>
      </c>
      <c r="M124" s="679">
        <f t="shared" si="28"/>
        <v>90</v>
      </c>
      <c r="N124" s="2165"/>
      <c r="O124" s="2165"/>
      <c r="P124" s="2164"/>
      <c r="Q124" s="2157"/>
      <c r="R124" s="2144"/>
      <c r="S124" s="2144"/>
      <c r="T124" s="2144"/>
      <c r="U124" s="2144"/>
      <c r="V124" s="2144"/>
      <c r="W124" s="2144"/>
      <c r="X124" s="2144"/>
      <c r="Y124" s="2144"/>
      <c r="Z124" s="2144"/>
      <c r="AA124" s="2144"/>
      <c r="AB124" s="2144"/>
      <c r="AC124" s="2144"/>
    </row>
    <row r="125" spans="1:29" s="1337" customFormat="1" ht="15" thickTop="1">
      <c r="A125" s="727"/>
      <c r="B125" s="1895" t="s">
        <v>2387</v>
      </c>
      <c r="C125" s="1374" t="s">
        <v>3494</v>
      </c>
      <c r="D125" s="1374"/>
      <c r="E125" s="1374"/>
      <c r="F125" s="1374"/>
      <c r="G125" s="1374"/>
      <c r="H125" s="717"/>
      <c r="I125" s="717"/>
      <c r="J125" s="717"/>
      <c r="K125" s="718"/>
      <c r="L125" s="719"/>
      <c r="M125" s="720"/>
      <c r="N125" s="2166"/>
      <c r="O125" s="2166"/>
      <c r="P125" s="2167"/>
      <c r="Q125" s="2168"/>
      <c r="R125" s="2169"/>
      <c r="S125" s="2169"/>
      <c r="T125" s="2169"/>
      <c r="U125" s="2169"/>
      <c r="V125" s="2169"/>
      <c r="W125" s="2169"/>
      <c r="X125" s="2169"/>
      <c r="Y125" s="2169"/>
      <c r="Z125" s="2169"/>
      <c r="AA125" s="2169"/>
      <c r="AB125" s="2169"/>
      <c r="AC125" s="2169"/>
    </row>
    <row r="126" spans="1:29" s="1337" customFormat="1" ht="14.4"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4"/>
      <c r="B127" s="672" t="s">
        <v>561</v>
      </c>
      <c r="C127" s="3182" t="s">
        <v>3074</v>
      </c>
      <c r="D127" s="687"/>
      <c r="E127" s="717"/>
      <c r="F127" s="717"/>
      <c r="G127" s="717"/>
      <c r="H127" s="717"/>
      <c r="I127" s="717"/>
      <c r="J127" s="717"/>
      <c r="K127" s="718"/>
      <c r="L127" s="719"/>
      <c r="M127" s="720"/>
      <c r="N127" s="2163"/>
      <c r="O127" s="2163"/>
      <c r="P127" s="2164"/>
      <c r="Q127" s="2157"/>
      <c r="R127" s="2144"/>
      <c r="S127" s="2144"/>
      <c r="T127" s="2144"/>
      <c r="U127" s="2144"/>
      <c r="V127" s="2144"/>
      <c r="W127" s="2144"/>
      <c r="X127" s="2144"/>
      <c r="Y127" s="2144"/>
      <c r="Z127" s="2144"/>
      <c r="AA127" s="2144"/>
      <c r="AB127" s="2144"/>
      <c r="AC127" s="2144"/>
    </row>
    <row r="128" spans="1:29" ht="14.4" thickBot="1">
      <c r="A128" s="668"/>
      <c r="B128" s="677"/>
      <c r="C128" s="678">
        <v>100</v>
      </c>
      <c r="D128" s="678">
        <f t="shared" ref="D128:M128" si="30">C128-$K44</f>
        <v>99</v>
      </c>
      <c r="E128" s="678">
        <f t="shared" si="30"/>
        <v>98</v>
      </c>
      <c r="F128" s="678">
        <f t="shared" si="30"/>
        <v>97</v>
      </c>
      <c r="G128" s="678">
        <f t="shared" si="30"/>
        <v>96</v>
      </c>
      <c r="H128" s="678">
        <f t="shared" si="30"/>
        <v>95</v>
      </c>
      <c r="I128" s="678">
        <f t="shared" si="30"/>
        <v>94</v>
      </c>
      <c r="J128" s="678">
        <f t="shared" si="30"/>
        <v>93</v>
      </c>
      <c r="K128" s="678">
        <f t="shared" si="30"/>
        <v>92</v>
      </c>
      <c r="L128" s="678">
        <f t="shared" si="30"/>
        <v>91</v>
      </c>
      <c r="M128" s="679">
        <f t="shared" si="30"/>
        <v>90</v>
      </c>
      <c r="N128" s="2165"/>
      <c r="O128" s="2165"/>
      <c r="P128" s="2164"/>
      <c r="Q128" s="2157"/>
      <c r="R128" s="2144"/>
      <c r="S128" s="2144"/>
      <c r="T128" s="2144"/>
      <c r="U128" s="2144"/>
      <c r="V128" s="2144"/>
      <c r="W128" s="2144"/>
      <c r="X128" s="2144"/>
      <c r="Y128" s="2144"/>
      <c r="Z128" s="2144"/>
      <c r="AA128" s="2144"/>
      <c r="AB128" s="2144"/>
      <c r="AC128" s="2144"/>
    </row>
    <row r="129" spans="1:29" ht="14.4" thickTop="1">
      <c r="A129" s="734"/>
      <c r="B129" s="672">
        <f>B45</f>
        <v>0</v>
      </c>
      <c r="C129" s="687"/>
      <c r="D129" s="687"/>
      <c r="E129" s="687"/>
      <c r="F129" s="687"/>
      <c r="G129" s="687"/>
      <c r="H129" s="717"/>
      <c r="I129" s="717"/>
      <c r="J129" s="717"/>
      <c r="K129" s="718"/>
      <c r="L129" s="719"/>
      <c r="M129" s="720"/>
      <c r="N129" s="2163"/>
      <c r="O129" s="2163"/>
      <c r="P129" s="2164"/>
      <c r="Q129" s="2157"/>
      <c r="R129" s="2144"/>
      <c r="S129" s="2144"/>
      <c r="T129" s="2144"/>
      <c r="U129" s="2144"/>
      <c r="V129" s="2144"/>
      <c r="W129" s="2144"/>
      <c r="X129" s="2144"/>
      <c r="Y129" s="2144"/>
      <c r="Z129" s="2144"/>
      <c r="AA129" s="2144"/>
      <c r="AB129" s="2144"/>
      <c r="AC129" s="2144"/>
    </row>
    <row r="130" spans="1:29" ht="14.4" thickBot="1">
      <c r="A130" s="668"/>
      <c r="B130" s="677"/>
      <c r="C130" s="691"/>
      <c r="D130" s="691"/>
      <c r="E130" s="691"/>
      <c r="F130" s="691"/>
      <c r="G130" s="670"/>
      <c r="H130" s="670"/>
      <c r="I130" s="670"/>
      <c r="J130" s="670"/>
      <c r="K130" s="670"/>
      <c r="L130" s="670"/>
      <c r="M130" s="671"/>
      <c r="N130" s="2165"/>
      <c r="O130" s="2165"/>
      <c r="P130" s="2164"/>
      <c r="Q130" s="2157"/>
      <c r="R130" s="2144"/>
      <c r="S130" s="2144"/>
      <c r="T130" s="2144"/>
      <c r="U130" s="2144"/>
      <c r="V130" s="2144"/>
      <c r="W130" s="2144"/>
      <c r="X130" s="2144"/>
      <c r="Y130" s="2144"/>
      <c r="Z130" s="2144"/>
      <c r="AA130" s="2144"/>
      <c r="AB130" s="2144"/>
      <c r="AC130" s="2144"/>
    </row>
    <row r="131" spans="1:29" ht="14.4" thickTop="1">
      <c r="A131" s="734"/>
      <c r="B131" s="672">
        <f>B46</f>
        <v>0</v>
      </c>
      <c r="C131" s="660"/>
      <c r="D131" s="660"/>
      <c r="E131" s="660"/>
      <c r="F131" s="660"/>
      <c r="G131" s="717"/>
      <c r="H131" s="717"/>
      <c r="I131" s="717"/>
      <c r="J131" s="717"/>
      <c r="K131" s="718"/>
      <c r="L131" s="719"/>
      <c r="M131" s="720"/>
      <c r="N131" s="2163"/>
      <c r="O131" s="2163"/>
      <c r="P131" s="2164"/>
      <c r="Q131" s="2157"/>
      <c r="R131" s="2144"/>
      <c r="S131" s="2144"/>
      <c r="T131" s="2144"/>
      <c r="U131" s="2144"/>
      <c r="V131" s="2144"/>
      <c r="W131" s="2144"/>
      <c r="X131" s="2144"/>
      <c r="Y131" s="2144"/>
      <c r="Z131" s="2144"/>
      <c r="AA131" s="2144"/>
      <c r="AB131" s="2144"/>
      <c r="AC131" s="2144"/>
    </row>
    <row r="132" spans="1:29" ht="14.4" thickBot="1">
      <c r="A132" s="668"/>
      <c r="B132" s="677"/>
      <c r="C132" s="699"/>
      <c r="D132" s="699"/>
      <c r="E132" s="699"/>
      <c r="F132" s="699"/>
      <c r="G132" s="670"/>
      <c r="H132" s="670"/>
      <c r="I132" s="670"/>
      <c r="J132" s="670"/>
      <c r="K132" s="670"/>
      <c r="L132" s="670"/>
      <c r="M132" s="671"/>
      <c r="N132" s="2165"/>
      <c r="O132" s="2165"/>
      <c r="P132" s="2164"/>
      <c r="Q132" s="2157"/>
      <c r="R132" s="2144"/>
      <c r="S132" s="2144"/>
      <c r="T132" s="2144"/>
      <c r="U132" s="2144"/>
      <c r="V132" s="2144"/>
      <c r="W132" s="2144"/>
      <c r="X132" s="2144"/>
      <c r="Y132" s="2144"/>
      <c r="Z132" s="2144"/>
      <c r="AA132" s="2144"/>
      <c r="AB132" s="2144"/>
      <c r="AC132" s="2144"/>
    </row>
    <row r="133" spans="1:29" s="1337" customFormat="1" ht="14.4" thickTop="1">
      <c r="A133" s="727"/>
      <c r="B133" s="672">
        <f>B47</f>
        <v>0</v>
      </c>
      <c r="C133" s="660"/>
      <c r="D133" s="660"/>
      <c r="E133" s="660"/>
      <c r="F133" s="660"/>
      <c r="G133" s="688"/>
      <c r="H133" s="688"/>
      <c r="I133" s="688"/>
      <c r="J133" s="688"/>
      <c r="K133" s="688"/>
      <c r="L133" s="689"/>
      <c r="M133" s="690"/>
      <c r="N133" s="2166"/>
      <c r="O133" s="2166"/>
      <c r="P133" s="2167"/>
      <c r="Q133" s="2168"/>
      <c r="R133" s="2169"/>
      <c r="S133" s="2169"/>
      <c r="T133" s="2169"/>
      <c r="U133" s="2169"/>
      <c r="V133" s="2169"/>
      <c r="W133" s="2169"/>
      <c r="X133" s="2169"/>
      <c r="Y133" s="2169"/>
      <c r="Z133" s="2169"/>
      <c r="AA133" s="2169"/>
      <c r="AB133" s="2169"/>
      <c r="AC133" s="2169"/>
    </row>
    <row r="134" spans="1:29" s="1337" customFormat="1" ht="14.4" thickBot="1">
      <c r="A134" s="697"/>
      <c r="B134" s="735"/>
      <c r="C134" s="699"/>
      <c r="D134" s="699"/>
      <c r="E134" s="699"/>
      <c r="F134" s="699"/>
      <c r="G134" s="725"/>
      <c r="H134" s="725"/>
      <c r="I134" s="725"/>
      <c r="J134" s="725"/>
      <c r="K134" s="725"/>
      <c r="L134" s="725"/>
      <c r="M134" s="726"/>
      <c r="N134" s="2166"/>
      <c r="O134" s="2166"/>
      <c r="P134" s="2167"/>
      <c r="Q134" s="2168"/>
      <c r="R134" s="2169"/>
      <c r="S134" s="2169"/>
      <c r="T134" s="2169"/>
      <c r="U134" s="2169"/>
      <c r="V134" s="2169"/>
      <c r="W134" s="2169"/>
      <c r="X134" s="2169"/>
      <c r="Y134" s="2169"/>
      <c r="Z134" s="2169"/>
      <c r="AA134" s="2169"/>
      <c r="AB134" s="2169"/>
      <c r="AC134" s="2169"/>
    </row>
    <row r="135" spans="1:29" s="1585"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5"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5"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5"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5"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5"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5"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5"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5"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5"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5"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5"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5"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5"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5"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5"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5"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5"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5"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5"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5"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5"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5"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5"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5"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5"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5"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5"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5"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5"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5"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5"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5"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5"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5"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5"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5"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5"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5"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5"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5"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5"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5"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5"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5"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5"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5"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5"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5"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5"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5"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5"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5"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5"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5"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5"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5"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5"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5"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5"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5"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5"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5"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5"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5"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5"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5"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5"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5"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5"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5"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5"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5"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5"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5"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5"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5"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5"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5"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5"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5"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5"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5"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5"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5"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5"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5"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5"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5"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5"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5"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5"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5"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5"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5"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5"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5"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5"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5"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5"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5"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5"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5"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5"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5"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5"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5"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5"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5"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5"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5"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5"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5"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5"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5"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5"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5"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5"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5"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5"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5"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36" sqref="C36"/>
    </sheetView>
  </sheetViews>
  <sheetFormatPr defaultColWidth="6.6640625" defaultRowHeight="13.2"/>
  <cols>
    <col min="1" max="1" width="9.77734375" style="2123" customWidth="1"/>
    <col min="2" max="2" width="25.77734375" style="2113" customWidth="1"/>
    <col min="3" max="3" width="10.33203125" style="2124" customWidth="1"/>
    <col min="4" max="4" width="12" style="2113" customWidth="1"/>
    <col min="5" max="5" width="12.44140625" style="2123" customWidth="1"/>
    <col min="6" max="6" width="10.109375" style="2113" customWidth="1"/>
    <col min="7" max="7" width="11.6640625" style="2113" customWidth="1"/>
    <col min="8" max="8" width="10" style="2113" customWidth="1"/>
    <col min="9" max="11" width="9.44140625" style="2113" customWidth="1"/>
    <col min="12" max="12" width="9" style="2113" customWidth="1"/>
    <col min="13" max="13" width="10.44140625" style="2113" bestFit="1" customWidth="1"/>
    <col min="14" max="254" width="9" style="2113" customWidth="1"/>
    <col min="255" max="16384" width="6.6640625" style="2113"/>
  </cols>
  <sheetData>
    <row r="1" spans="1:31" s="2040" customFormat="1" ht="21">
      <c r="A1" s="2102" t="s">
        <v>431</v>
      </c>
      <c r="B1" s="2808"/>
      <c r="C1" s="2103"/>
      <c r="D1" s="2103"/>
      <c r="E1" s="2103"/>
      <c r="F1" s="2103"/>
      <c r="G1" s="2103"/>
      <c r="H1" s="2103"/>
      <c r="I1" s="2103"/>
      <c r="J1" s="2103"/>
      <c r="K1" s="421">
        <f>MATCH(B1,'数据-取费表'!A6:A16,0)+5</f>
        <v>7</v>
      </c>
    </row>
    <row r="2" spans="1:31" s="2040" customFormat="1" ht="18" customHeight="1">
      <c r="A2" s="2100" t="s">
        <v>432</v>
      </c>
      <c r="B2" s="2104">
        <f ca="1">C36</f>
        <v>2773</v>
      </c>
      <c r="C2" s="2103"/>
      <c r="D2" s="2103"/>
      <c r="E2" s="2103"/>
      <c r="F2" s="2103"/>
      <c r="G2" s="2103"/>
      <c r="H2" s="2103"/>
      <c r="I2" s="2103"/>
      <c r="J2" s="2103"/>
      <c r="K2" s="2103"/>
    </row>
    <row r="3" spans="1:31" s="2040" customFormat="1" ht="18" customHeight="1">
      <c r="A3" s="2105" t="s">
        <v>1646</v>
      </c>
      <c r="B3" s="2106">
        <f ca="1">ROUND(B2*10000/IF(B1="",'数据-汇总表'!E3,INDIRECT("'数据-取费表'!K"&amp;$K$1)),0)</f>
        <v>1292</v>
      </c>
      <c r="C3" s="2103"/>
      <c r="D3" s="2103"/>
      <c r="E3" s="2103"/>
      <c r="F3" s="2103"/>
      <c r="G3" s="2103"/>
      <c r="H3" s="2103"/>
      <c r="I3" s="2103"/>
      <c r="J3" s="2103"/>
      <c r="K3" s="2103"/>
    </row>
    <row r="4" spans="1:31" s="2040" customFormat="1" ht="18" customHeight="1">
      <c r="A4" s="425" t="s">
        <v>433</v>
      </c>
      <c r="B4" s="426">
        <f ca="1">ROUND(B2*10000/IF(B1="",'数据-汇总表'!D3,INDIRECT("'数据-取费表'!R"&amp;$K$1)),0)</f>
        <v>3742</v>
      </c>
      <c r="C4" s="427"/>
      <c r="D4" s="421"/>
      <c r="E4" s="421"/>
      <c r="F4" s="421"/>
      <c r="G4" s="421"/>
      <c r="H4" s="421"/>
      <c r="I4" s="421"/>
      <c r="J4" s="421"/>
      <c r="K4" s="421"/>
    </row>
    <row r="5" spans="1:31" s="2040" customFormat="1" ht="18" customHeight="1" thickBot="1">
      <c r="A5" s="428"/>
      <c r="B5" s="429">
        <f ca="1">ROUND(B2/(IF(B1="",'数据-汇总表'!D3,INDIRECT("'数据-取费表'!R"&amp;$K$1))/666.67),0)</f>
        <v>249</v>
      </c>
      <c r="C5" s="430" t="s">
        <v>434</v>
      </c>
      <c r="D5" s="421"/>
      <c r="E5" s="421"/>
      <c r="F5" s="421"/>
      <c r="G5" s="421"/>
      <c r="H5" s="421"/>
      <c r="I5" s="421"/>
      <c r="J5" s="421"/>
      <c r="K5" s="421"/>
    </row>
    <row r="6" spans="1:31" s="2110" customFormat="1" ht="16.5" customHeight="1">
      <c r="A6" s="2827" t="s">
        <v>1804</v>
      </c>
      <c r="B6" s="2828"/>
      <c r="C6" s="2829">
        <f ca="1">SUM(C10:K10)</f>
        <v>16353</v>
      </c>
      <c r="D6" s="2828"/>
      <c r="E6" s="2828"/>
      <c r="F6" s="2828"/>
      <c r="G6" s="2828"/>
      <c r="H6" s="2828"/>
      <c r="I6" s="2828"/>
      <c r="J6" s="2828"/>
      <c r="K6" s="2830"/>
    </row>
    <row r="7" spans="1:31" s="2112" customFormat="1" ht="18" customHeight="1">
      <c r="A7" s="2831" t="s">
        <v>435</v>
      </c>
      <c r="B7" s="2832" t="s">
        <v>436</v>
      </c>
      <c r="C7" s="435" t="s">
        <v>2944</v>
      </c>
      <c r="D7" s="435"/>
      <c r="E7" s="435"/>
      <c r="F7" s="435"/>
      <c r="G7" s="435"/>
      <c r="H7" s="435"/>
      <c r="I7" s="435"/>
      <c r="J7" s="435"/>
      <c r="K7" s="436"/>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2" t="s">
        <v>1807</v>
      </c>
      <c r="B8" s="260" t="s">
        <v>437</v>
      </c>
      <c r="C8" s="2833">
        <f ca="1">不动产收益法!B3</f>
        <v>13278</v>
      </c>
      <c r="D8" s="2833"/>
      <c r="E8" s="2833"/>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2" t="s">
        <v>1808</v>
      </c>
      <c r="B9" s="260" t="s">
        <v>438</v>
      </c>
      <c r="C9" s="440">
        <f>SUMIF('数据-汇总表'!$C19:$C33,'剩余法-待开发'!C7,'数据-汇总表'!$E19:$E33)</f>
        <v>12316.199999999999</v>
      </c>
      <c r="D9" s="440">
        <f>SUMIF('数据-汇总表'!$C19:$C33,'剩余法-待开发'!D7,'数据-汇总表'!$E19:$E33)</f>
        <v>0</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1809</v>
      </c>
      <c r="B10" s="2821" t="s">
        <v>439</v>
      </c>
      <c r="C10" s="3028">
        <f ca="1">不动产收益法!B2</f>
        <v>16353</v>
      </c>
      <c r="D10" s="3028"/>
      <c r="E10" s="3028"/>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1805</v>
      </c>
      <c r="B11" s="2828"/>
      <c r="C11" s="2828"/>
      <c r="D11" s="2828"/>
      <c r="E11" s="2828"/>
      <c r="F11" s="2828"/>
      <c r="G11" s="2828"/>
      <c r="H11" s="2828"/>
      <c r="I11" s="2828"/>
      <c r="J11" s="2828"/>
      <c r="K11" s="2830"/>
    </row>
    <row r="12" spans="1:31" s="2084" customFormat="1" ht="13.5" customHeight="1">
      <c r="A12" s="2839" t="s">
        <v>435</v>
      </c>
      <c r="B12" s="2811" t="s">
        <v>436</v>
      </c>
      <c r="C12" s="2840" t="s">
        <v>440</v>
      </c>
      <c r="D12" s="2807" t="s">
        <v>441</v>
      </c>
      <c r="E12" s="2807" t="s">
        <v>442</v>
      </c>
      <c r="F12" s="2807" t="s">
        <v>443</v>
      </c>
      <c r="G12" s="2811"/>
      <c r="H12" s="2812"/>
      <c r="I12" s="2812"/>
      <c r="J12" s="2812"/>
      <c r="K12" s="2813"/>
    </row>
    <row r="13" spans="1:31" s="2115" customFormat="1" ht="13.5" customHeight="1">
      <c r="A13" s="2841" t="s">
        <v>1810</v>
      </c>
      <c r="B13" s="2842" t="s">
        <v>444</v>
      </c>
      <c r="C13" s="449">
        <f ca="1">IF(B1="",'数据-取费表'!P16,INDIRECT("'数据-取费表'!p"&amp;$K$1)+INDIRECT("'数据-取费表'!t"&amp;$K$1))</f>
        <v>8900</v>
      </c>
      <c r="D13" s="2843"/>
      <c r="E13" s="2844"/>
      <c r="F13" s="2845"/>
      <c r="G13" s="2811"/>
      <c r="H13" s="2812"/>
      <c r="I13" s="2812"/>
      <c r="J13" s="2812"/>
      <c r="K13" s="2813"/>
    </row>
    <row r="14" spans="1:31" s="2115" customFormat="1" ht="13.5" customHeight="1">
      <c r="A14" s="2841" t="s">
        <v>1811</v>
      </c>
      <c r="B14" s="2842" t="s">
        <v>445</v>
      </c>
      <c r="C14" s="52">
        <f ca="1">ROUND(C13*F14,0)</f>
        <v>267</v>
      </c>
      <c r="D14" s="2843"/>
      <c r="E14" s="2844"/>
      <c r="F14" s="2846">
        <f>'数据-取费表'!B33</f>
        <v>0.03</v>
      </c>
      <c r="G14" s="2811" t="s">
        <v>446</v>
      </c>
      <c r="H14" s="2812"/>
      <c r="I14" s="2812"/>
      <c r="J14" s="2812"/>
      <c r="K14" s="2813"/>
    </row>
    <row r="15" spans="1:31" s="2115" customFormat="1" ht="13.5" customHeight="1">
      <c r="A15" s="2841" t="s">
        <v>1812</v>
      </c>
      <c r="B15" s="2842" t="s">
        <v>447</v>
      </c>
      <c r="C15" s="52">
        <f ca="1">ROUND(IF(B1="",SUMIF('数据-取费表'!C:C,"住宅",'数据-取费表'!P:P)*F15,IF(INDIRECT("'数据-取费表'!c"&amp;$K$1)="住宅",INDIRECT("'数据-取费表'!P"&amp;$K$1)*F15,0)),0)</f>
        <v>0</v>
      </c>
      <c r="D15" s="2843"/>
      <c r="E15" s="2844"/>
      <c r="F15" s="2846">
        <f>'数据-取费表'!B34</f>
        <v>0</v>
      </c>
      <c r="G15" s="2811" t="s">
        <v>448</v>
      </c>
      <c r="H15" s="2812"/>
      <c r="I15" s="2812"/>
      <c r="J15" s="2812"/>
      <c r="K15" s="2813"/>
    </row>
    <row r="16" spans="1:31" s="2116" customFormat="1" ht="13.5" customHeight="1">
      <c r="A16" s="2841" t="s">
        <v>1813</v>
      </c>
      <c r="B16" s="2842" t="s">
        <v>449</v>
      </c>
      <c r="C16" s="52">
        <f ca="1">ROUND(D16*E16/10000,0)</f>
        <v>322</v>
      </c>
      <c r="D16" s="2843">
        <f ca="1">IF(B1="",'数据-汇总表'!E3,INDIRECT("'数据-取费表'!K"&amp;$K$1)+INDIRECT("'数据-取费表'!S"&amp;$K$1))</f>
        <v>21457.599999999999</v>
      </c>
      <c r="E16" s="52">
        <f>'数据-取费表'!B35</f>
        <v>150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1814</v>
      </c>
      <c r="B17" s="2842" t="s">
        <v>450</v>
      </c>
      <c r="C17" s="2847">
        <f ca="1">ROUND(C13*F17,0)</f>
        <v>134</v>
      </c>
      <c r="D17" s="474"/>
      <c r="E17" s="2847"/>
      <c r="F17" s="2848">
        <f>'数据-取费表'!B36</f>
        <v>1.4999999999999999E-2</v>
      </c>
      <c r="G17" s="260" t="s">
        <v>451</v>
      </c>
      <c r="H17" s="2814"/>
      <c r="I17" s="2814"/>
      <c r="J17" s="2814"/>
      <c r="K17" s="278"/>
    </row>
    <row r="18" spans="1:14" s="2115" customFormat="1" ht="13.5" customHeight="1">
      <c r="A18" s="2849" t="s">
        <v>1815</v>
      </c>
      <c r="B18" s="2850" t="s">
        <v>452</v>
      </c>
      <c r="C18" s="2851">
        <f ca="1">SUM(C13:C17)</f>
        <v>9623</v>
      </c>
      <c r="D18" s="2852"/>
      <c r="E18" s="467"/>
      <c r="F18" s="467"/>
      <c r="G18" s="2815" t="s">
        <v>2392</v>
      </c>
      <c r="H18" s="2816"/>
      <c r="I18" s="2816"/>
      <c r="J18" s="2816"/>
      <c r="K18" s="2817"/>
    </row>
    <row r="19" spans="1:14" s="2115" customFormat="1" ht="13.5" customHeight="1">
      <c r="A19" s="2849" t="s">
        <v>1816</v>
      </c>
      <c r="B19" s="2850" t="s">
        <v>453</v>
      </c>
      <c r="C19" s="2807">
        <f ca="1">ROUND(D19*E19/10000,0)</f>
        <v>64</v>
      </c>
      <c r="D19" s="2853">
        <f ca="1">D16</f>
        <v>21457.599999999999</v>
      </c>
      <c r="E19" s="2807">
        <f>'数据-取费表'!B32</f>
        <v>30</v>
      </c>
      <c r="F19" s="467"/>
      <c r="G19" s="2811" t="s">
        <v>454</v>
      </c>
      <c r="H19" s="2812"/>
      <c r="I19" s="2816"/>
      <c r="J19" s="2816"/>
      <c r="K19" s="2817"/>
    </row>
    <row r="20" spans="1:14" s="2115" customFormat="1" ht="13.5" customHeight="1">
      <c r="A20" s="2849" t="s">
        <v>1817</v>
      </c>
      <c r="B20" s="2850" t="s">
        <v>455</v>
      </c>
      <c r="C20" s="2807">
        <f ca="1">C21+C22-IF(B1="",'数据-取费表'!B29,IF(G20="已全部缴纳",C21+C22,H20))</f>
        <v>472</v>
      </c>
      <c r="D20" s="2853"/>
      <c r="E20" s="2807"/>
      <c r="F20" s="2854"/>
      <c r="G20" s="3088" t="s">
        <v>3073</v>
      </c>
      <c r="H20" s="2809">
        <v>0</v>
      </c>
      <c r="I20" s="2810" t="s">
        <v>2613</v>
      </c>
      <c r="J20" s="2816"/>
      <c r="K20" s="2817"/>
    </row>
    <row r="21" spans="1:14" s="2115" customFormat="1" ht="13.5" customHeight="1">
      <c r="A21" s="2841" t="s">
        <v>1818</v>
      </c>
      <c r="B21" s="2842" t="s">
        <v>456</v>
      </c>
      <c r="C21" s="52">
        <f ca="1">ROUND(D21*E21/10000,0)</f>
        <v>0</v>
      </c>
      <c r="D21" s="2843">
        <f ca="1">IF(B1="",'数据-汇总表'!E5,IF(INDIRECT("'数据-取费表'!c"&amp;$K$1)="住宅",INDIRECT("'数据-取费表'!k"&amp;$K$1),0))</f>
        <v>0</v>
      </c>
      <c r="E21" s="52">
        <f>'数据-取费表'!B27</f>
        <v>220</v>
      </c>
      <c r="F21" s="2846"/>
      <c r="G21" s="25"/>
      <c r="H21" s="50"/>
      <c r="I21" s="50"/>
      <c r="J21" s="50"/>
      <c r="K21" s="2818"/>
    </row>
    <row r="22" spans="1:14" s="2115" customFormat="1" ht="13.5" customHeight="1">
      <c r="A22" s="2841" t="s">
        <v>1819</v>
      </c>
      <c r="B22" s="2842" t="s">
        <v>457</v>
      </c>
      <c r="C22" s="52">
        <f ca="1">ROUND(D22*E22/10000,0)</f>
        <v>472</v>
      </c>
      <c r="D22" s="2843">
        <f ca="1">IF(B1="",'数据-汇总表'!E6,IF(INDIRECT("'数据-取费表'!c"&amp;$K$1)="住宅",INDIRECT("'数据-取费表'!s"&amp;$K$1),INDIRECT("'数据-取费表'!k"&amp;$K$1)+INDIRECT("'数据-取费表'!s"&amp;$K$1)))</f>
        <v>21457.599999999999</v>
      </c>
      <c r="E22" s="52">
        <f>'数据-取费表'!B28</f>
        <v>220</v>
      </c>
      <c r="F22" s="2846"/>
      <c r="G22" s="25"/>
      <c r="H22" s="50"/>
      <c r="I22" s="50"/>
      <c r="J22" s="50"/>
      <c r="K22" s="2818"/>
    </row>
    <row r="23" spans="1:14" s="2115" customFormat="1" ht="13.5" customHeight="1">
      <c r="A23" s="2849" t="s">
        <v>1820</v>
      </c>
      <c r="B23" s="3034" t="s">
        <v>2796</v>
      </c>
      <c r="C23" s="2851">
        <f ca="1">ROUND((C18+C19+C20)*F23,0)</f>
        <v>203</v>
      </c>
      <c r="D23" s="467"/>
      <c r="E23" s="467"/>
      <c r="F23" s="2855">
        <f>'数据-取费表'!B37</f>
        <v>0.02</v>
      </c>
      <c r="G23" s="2811" t="s">
        <v>2393</v>
      </c>
      <c r="H23" s="2812"/>
      <c r="I23" s="2812"/>
      <c r="J23" s="2812"/>
      <c r="K23" s="2813"/>
      <c r="L23" s="2117"/>
      <c r="M23" s="2117"/>
      <c r="N23" s="2117"/>
    </row>
    <row r="24" spans="1:14" s="2115" customFormat="1" ht="13.5" customHeight="1">
      <c r="A24" s="2849" t="s">
        <v>1821</v>
      </c>
      <c r="B24" s="3034" t="s">
        <v>2799</v>
      </c>
      <c r="C24" s="2851">
        <f ca="1">ROUND(C6*F24,0)</f>
        <v>327</v>
      </c>
      <c r="D24" s="474"/>
      <c r="E24" s="472"/>
      <c r="F24" s="2855">
        <f>'数据-取费表'!B38</f>
        <v>0.02</v>
      </c>
      <c r="G24" s="2820" t="s">
        <v>464</v>
      </c>
      <c r="H24" s="2814"/>
      <c r="I24" s="2814"/>
      <c r="J24" s="2814"/>
      <c r="K24" s="278"/>
      <c r="L24" s="2117"/>
      <c r="M24" s="2117"/>
      <c r="N24" s="2117"/>
    </row>
    <row r="25" spans="1:14" s="2118" customFormat="1" ht="13.5" customHeight="1">
      <c r="A25" s="2849" t="s">
        <v>1822</v>
      </c>
      <c r="B25" s="3034" t="s">
        <v>2797</v>
      </c>
      <c r="C25" s="466">
        <f>ROUND(F25/(1+'数据-取费表'!C42),4)</f>
        <v>2.9000000000000001E-2</v>
      </c>
      <c r="D25" s="461" t="s">
        <v>2791</v>
      </c>
      <c r="E25" s="468"/>
      <c r="F25" s="2855">
        <f>'数据-取费表'!B48+'数据-取费表'!B49</f>
        <v>3.0499999999999999E-2</v>
      </c>
      <c r="G25" s="2819" t="s">
        <v>2251</v>
      </c>
      <c r="H25" s="2812"/>
      <c r="I25" s="2812"/>
      <c r="J25" s="2812"/>
      <c r="K25" s="2813"/>
    </row>
    <row r="26" spans="1:14" s="2117" customFormat="1" ht="13.5" customHeight="1">
      <c r="A26" s="2849" t="s">
        <v>1823</v>
      </c>
      <c r="B26" s="3035" t="s">
        <v>2798</v>
      </c>
      <c r="C26" s="2856">
        <f ca="1">C28</f>
        <v>379</v>
      </c>
      <c r="D26" s="466">
        <f ca="1">C27</f>
        <v>7.4200000000000002E-2</v>
      </c>
      <c r="E26" s="468" t="s">
        <v>460</v>
      </c>
      <c r="F26" s="470">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2" t="s">
        <v>1818</v>
      </c>
      <c r="B27" s="2857" t="s">
        <v>461</v>
      </c>
      <c r="C27" s="2858">
        <f ca="1">ROUND(IF('数据-取费表'!B22&lt;=1,(1+C25)*F26*'数据-取费表'!B24,(1+C25)*(POWER((1+F26),'数据-取费表'!B24)-1)),4)</f>
        <v>7.4200000000000002E-2</v>
      </c>
      <c r="D27" s="471"/>
      <c r="E27" s="472"/>
      <c r="F27" s="473"/>
      <c r="G27" s="2571" t="str">
        <f>IF('数据-取费表'!B22&lt;=1,"（1+取得税费率/(1+5%)）×年利率×建设期","（1+取得税费率）/(1+5%)×((1+年利率)^建设期-1)")</f>
        <v>（1+取得税费率）/(1+5%)×((1+年利率)^建设期-1)</v>
      </c>
      <c r="H27" s="2814"/>
      <c r="I27" s="2814"/>
      <c r="J27" s="2814"/>
      <c r="K27" s="278"/>
    </row>
    <row r="28" spans="1:14" s="2119" customFormat="1" ht="13.5" customHeight="1">
      <c r="A28" s="802" t="s">
        <v>1819</v>
      </c>
      <c r="B28" s="2857" t="s">
        <v>2800</v>
      </c>
      <c r="C28" s="2859">
        <f ca="1">ROUND(IF('数据-取费表'!B22&lt;=1,(C18+C19+C20+C23+C24)*F26*'数据-取费表'!B24/2,(C18+C19+C20+C23+C24)*(POWER((1+F26),'数据-取费表'!B24/2)-1)),0)</f>
        <v>379</v>
      </c>
      <c r="D28" s="471"/>
      <c r="E28" s="472"/>
      <c r="F28" s="473"/>
      <c r="G28" s="2571" t="str">
        <f>IF('数据-取费表'!B22&lt;=1,"（1）-（4）项×年利率×建设期÷2","（1）-（4）项×((1+年利率)^(建设期÷2)-1)")</f>
        <v>（1）-（4）项×((1+年利率)^(建设期÷2)-1)</v>
      </c>
      <c r="H28" s="2814"/>
      <c r="I28" s="2814"/>
      <c r="J28" s="2814"/>
      <c r="K28" s="278"/>
    </row>
    <row r="29" spans="1:14" s="2119" customFormat="1" ht="13.5" customHeight="1">
      <c r="A29" s="2860" t="s">
        <v>1824</v>
      </c>
      <c r="B29" s="2850" t="s">
        <v>462</v>
      </c>
      <c r="C29" s="2851">
        <f ca="1">ROUND(C6*F29/(1+'数据-取费表'!C42),0)</f>
        <v>872</v>
      </c>
      <c r="D29" s="467"/>
      <c r="E29" s="467"/>
      <c r="F29" s="3036">
        <f>'数据-取费表'!B41</f>
        <v>5.6000000000000001E-2</v>
      </c>
      <c r="G29" s="2820" t="s">
        <v>463</v>
      </c>
      <c r="H29" s="2812"/>
      <c r="I29" s="2812"/>
      <c r="J29" s="2812"/>
      <c r="K29" s="2813"/>
    </row>
    <row r="30" spans="1:14" s="2120" customFormat="1" ht="13.5" customHeight="1">
      <c r="A30" s="1633" t="s">
        <v>1825</v>
      </c>
      <c r="B30" s="2861" t="s">
        <v>465</v>
      </c>
      <c r="C30" s="2856">
        <f ca="1">C31</f>
        <v>11940</v>
      </c>
      <c r="D30" s="476">
        <f ca="1">C32</f>
        <v>0.1032</v>
      </c>
      <c r="E30" s="468" t="s">
        <v>460</v>
      </c>
      <c r="F30" s="470"/>
      <c r="G30" s="2819" t="s">
        <v>2932</v>
      </c>
      <c r="H30" s="2812"/>
      <c r="I30" s="2812"/>
      <c r="J30" s="2812"/>
      <c r="K30" s="2813"/>
    </row>
    <row r="31" spans="1:14" s="2119" customFormat="1" ht="13.5" customHeight="1">
      <c r="A31" s="802" t="s">
        <v>1818</v>
      </c>
      <c r="B31" s="2857"/>
      <c r="C31" s="449">
        <f ca="1">C18+C19+C20+C23+C24+C26+C29</f>
        <v>11940</v>
      </c>
      <c r="D31" s="471"/>
      <c r="E31" s="472"/>
      <c r="F31" s="473"/>
      <c r="G31" s="260"/>
      <c r="H31" s="2814"/>
      <c r="I31" s="2814"/>
      <c r="J31" s="2814"/>
      <c r="K31" s="278"/>
    </row>
    <row r="32" spans="1:14" s="2119" customFormat="1" ht="13.5" customHeight="1">
      <c r="A32" s="802" t="s">
        <v>1819</v>
      </c>
      <c r="B32" s="2857"/>
      <c r="C32" s="52">
        <f ca="1">ROUND(C25+D26,4)</f>
        <v>0.1032</v>
      </c>
      <c r="D32" s="471"/>
      <c r="E32" s="472"/>
      <c r="F32" s="473"/>
      <c r="G32" s="260"/>
      <c r="H32" s="2814"/>
      <c r="I32" s="2814"/>
      <c r="J32" s="2814"/>
      <c r="K32" s="278"/>
    </row>
    <row r="33" spans="1:11" s="2121" customFormat="1" ht="13.5" customHeight="1">
      <c r="A33" s="3033" t="s">
        <v>2795</v>
      </c>
      <c r="B33" s="3031" t="s">
        <v>2793</v>
      </c>
      <c r="C33" s="477">
        <f ca="1">C35</f>
        <v>1069</v>
      </c>
      <c r="D33" s="466">
        <f ca="1">C34</f>
        <v>0.10290000000000001</v>
      </c>
      <c r="E33" s="468" t="s">
        <v>460</v>
      </c>
      <c r="F33" s="478">
        <f ca="1">IF(B1="",'数据-取费表'!Q16,INDIRECT("'数据-取费表'!q"&amp;$K$1))</f>
        <v>0.1</v>
      </c>
      <c r="G33" s="2815"/>
      <c r="H33" s="2816"/>
      <c r="I33" s="2816"/>
      <c r="J33" s="2816"/>
      <c r="K33" s="2817"/>
    </row>
    <row r="34" spans="1:11" s="2122" customFormat="1" ht="13.5" customHeight="1">
      <c r="A34" s="374" t="s">
        <v>1818</v>
      </c>
      <c r="B34" s="2862" t="s">
        <v>466</v>
      </c>
      <c r="C34" s="471">
        <f ca="1">ROUND((1+C25)*F33,4)</f>
        <v>0.10290000000000001</v>
      </c>
      <c r="D34" s="471"/>
      <c r="E34" s="472"/>
      <c r="F34" s="479"/>
      <c r="G34" s="260" t="s">
        <v>2252</v>
      </c>
      <c r="H34" s="2814"/>
      <c r="I34" s="2814"/>
      <c r="J34" s="2814"/>
      <c r="K34" s="278"/>
    </row>
    <row r="35" spans="1:11" s="2122" customFormat="1" ht="13.5" customHeight="1" thickBot="1">
      <c r="A35" s="1634" t="s">
        <v>1819</v>
      </c>
      <c r="B35" s="3032" t="s">
        <v>2801</v>
      </c>
      <c r="C35" s="1626">
        <f ca="1">ROUND((C18+C19+C20+C23+C24)*F33,0)</f>
        <v>1069</v>
      </c>
      <c r="D35" s="1627"/>
      <c r="E35" s="2863"/>
      <c r="F35" s="1628"/>
      <c r="G35" s="2821"/>
      <c r="H35" s="2822"/>
      <c r="I35" s="2822"/>
      <c r="J35" s="2822"/>
      <c r="K35" s="2823"/>
    </row>
    <row r="36" spans="1:11" s="2084" customFormat="1" ht="13.5" customHeight="1" thickBot="1">
      <c r="A36" s="283" t="s">
        <v>1806</v>
      </c>
      <c r="B36" s="2825"/>
      <c r="C36" s="2864">
        <f ca="1">ROUND((C6-C30-C33)/(1+D30+D33),0)</f>
        <v>2773</v>
      </c>
      <c r="D36" s="2825"/>
      <c r="E36" s="2825"/>
      <c r="F36" s="2825"/>
      <c r="G36" s="2824" t="s">
        <v>2802</v>
      </c>
      <c r="H36" s="2825"/>
      <c r="I36" s="2825"/>
      <c r="J36" s="2825"/>
      <c r="K36" s="282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3" customWidth="1"/>
    <col min="2" max="2" width="25.77734375" style="2113" customWidth="1"/>
    <col min="3" max="3" width="10.33203125" style="2124" customWidth="1"/>
    <col min="4" max="4" width="12" style="2113" customWidth="1"/>
    <col min="5" max="5" width="9.44140625" style="2123" customWidth="1"/>
    <col min="6" max="6" width="10.109375" style="2113" customWidth="1"/>
    <col min="7" max="7" width="9.44140625" style="2113" customWidth="1"/>
    <col min="8" max="8" width="10" style="2113" customWidth="1"/>
    <col min="9" max="11" width="9.44140625" style="2113" customWidth="1"/>
    <col min="12" max="12" width="9" style="2113" customWidth="1"/>
    <col min="13" max="13" width="10.44140625" style="2113" bestFit="1" customWidth="1"/>
    <col min="14" max="254" width="9" style="2113" customWidth="1"/>
    <col min="255" max="16384" width="6.6640625" style="2113"/>
  </cols>
  <sheetData>
    <row r="1" spans="1:41" s="2040" customFormat="1" ht="21">
      <c r="A1" s="420" t="s">
        <v>431</v>
      </c>
      <c r="B1" s="2808"/>
      <c r="C1" s="2103"/>
      <c r="D1" s="2103"/>
      <c r="E1" s="2103"/>
      <c r="F1" s="2103"/>
      <c r="G1" s="2103"/>
      <c r="H1" s="2103"/>
      <c r="I1" s="2103"/>
      <c r="J1" s="2103"/>
      <c r="K1" s="421">
        <f>MATCH(B1,'数据-取费表'!A6:A16,0)+5</f>
        <v>7</v>
      </c>
    </row>
    <row r="2" spans="1:41" s="2040" customFormat="1" ht="18" customHeight="1">
      <c r="A2" s="422" t="s">
        <v>432</v>
      </c>
      <c r="B2" s="423">
        <f ca="1">C32</f>
        <v>0</v>
      </c>
      <c r="C2" s="2103"/>
      <c r="D2" s="2103"/>
      <c r="E2" s="2103"/>
      <c r="F2" s="2103"/>
      <c r="G2" s="2103"/>
      <c r="H2" s="2103"/>
      <c r="I2" s="2103"/>
      <c r="J2" s="2103"/>
      <c r="K2" s="2103"/>
    </row>
    <row r="3" spans="1:41" s="2040" customFormat="1" ht="18" customHeight="1">
      <c r="A3" s="1377" t="s">
        <v>1646</v>
      </c>
      <c r="B3" s="424">
        <f ca="1">ROUND(B2*10000/IF(B1="",'数据-汇总表'!E3,INDIRECT("'数据-取费表'!K"&amp;$K$1)),0)</f>
        <v>0</v>
      </c>
      <c r="C3" s="2103"/>
      <c r="D3" s="2103"/>
      <c r="E3" s="2103"/>
      <c r="F3" s="2103"/>
      <c r="G3" s="2103"/>
      <c r="H3" s="2103"/>
      <c r="I3" s="2103"/>
      <c r="J3" s="2103"/>
      <c r="K3" s="2103"/>
    </row>
    <row r="4" spans="1:41" s="2040" customFormat="1" ht="18" customHeight="1">
      <c r="A4" s="425" t="s">
        <v>433</v>
      </c>
      <c r="B4" s="426">
        <f ca="1">ROUND(B2*10000/IF(B1="",'数据-汇总表'!D3,INDIRECT("'数据-取费表'!R"&amp;$K$1)),0)</f>
        <v>0</v>
      </c>
      <c r="C4" s="2060"/>
      <c r="D4" s="2103"/>
      <c r="E4" s="2103"/>
      <c r="F4" s="2103"/>
      <c r="G4" s="2103"/>
      <c r="H4" s="2103"/>
      <c r="I4" s="2103"/>
      <c r="J4" s="2103"/>
      <c r="K4" s="2103"/>
    </row>
    <row r="5" spans="1:41" s="2040" customFormat="1" ht="18" customHeight="1" thickBot="1">
      <c r="A5" s="428"/>
      <c r="B5" s="429">
        <f ca="1">ROUND(B2/(IF(B1="",'数据-汇总表'!D3,INDIRECT("'数据-取费表'!R"&amp;$K$1))/666.67),0)</f>
        <v>0</v>
      </c>
      <c r="C5" s="430" t="s">
        <v>434</v>
      </c>
      <c r="D5" s="2103"/>
      <c r="E5" s="2103"/>
      <c r="F5" s="2103"/>
      <c r="G5" s="2103"/>
      <c r="H5" s="2103"/>
      <c r="I5" s="2103"/>
      <c r="J5" s="2103"/>
      <c r="K5" s="2103"/>
    </row>
    <row r="6" spans="1:41" s="2110" customFormat="1" ht="16.5" customHeight="1">
      <c r="A6" s="431" t="s">
        <v>2614</v>
      </c>
      <c r="B6" s="432"/>
      <c r="C6" s="1621">
        <f>SUM(C10:K10)</f>
        <v>0</v>
      </c>
      <c r="D6" s="2108"/>
      <c r="E6" s="2108"/>
      <c r="F6" s="2108"/>
      <c r="G6" s="2108"/>
      <c r="H6" s="2108"/>
      <c r="I6" s="2108"/>
      <c r="J6" s="2108"/>
      <c r="K6" s="2109"/>
    </row>
    <row r="7" spans="1:41" s="2112" customFormat="1" ht="14.4">
      <c r="A7" s="433" t="s">
        <v>435</v>
      </c>
      <c r="B7" s="434" t="s">
        <v>436</v>
      </c>
      <c r="C7" s="435"/>
      <c r="D7" s="435"/>
      <c r="E7" s="435"/>
      <c r="F7" s="435"/>
      <c r="G7" s="435"/>
      <c r="H7" s="435"/>
      <c r="I7" s="435"/>
      <c r="J7" s="435"/>
      <c r="K7" s="436"/>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29" t="s">
        <v>1807</v>
      </c>
      <c r="B8" s="437" t="s">
        <v>437</v>
      </c>
      <c r="C8" s="438"/>
      <c r="D8" s="438"/>
      <c r="E8" s="438"/>
      <c r="F8" s="438"/>
      <c r="G8" s="438"/>
      <c r="H8" s="438"/>
      <c r="I8" s="438"/>
      <c r="J8" s="438"/>
      <c r="K8" s="439"/>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29" t="s">
        <v>1808</v>
      </c>
      <c r="B9" s="437" t="s">
        <v>438</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0" t="s">
        <v>1809</v>
      </c>
      <c r="B10" s="1622" t="s">
        <v>439</v>
      </c>
      <c r="C10" s="1623"/>
      <c r="D10" s="1623"/>
      <c r="E10" s="1623"/>
      <c r="F10" s="1624"/>
      <c r="G10" s="1624"/>
      <c r="H10" s="1624"/>
      <c r="I10" s="1624"/>
      <c r="J10" s="1624"/>
      <c r="K10" s="1625"/>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8" t="s">
        <v>1826</v>
      </c>
      <c r="B11" s="1619"/>
      <c r="C11" s="1619"/>
      <c r="D11" s="1619"/>
      <c r="E11" s="1619"/>
      <c r="F11" s="1619"/>
      <c r="G11" s="1619"/>
      <c r="H11" s="1619"/>
      <c r="I11" s="1619"/>
      <c r="J11" s="1619"/>
      <c r="K11" s="1620"/>
    </row>
    <row r="12" spans="1:41" s="2084" customFormat="1" ht="13.5" customHeight="1">
      <c r="A12" s="433" t="s">
        <v>435</v>
      </c>
      <c r="B12" s="443" t="s">
        <v>436</v>
      </c>
      <c r="C12" s="444" t="s">
        <v>440</v>
      </c>
      <c r="D12" s="445" t="s">
        <v>441</v>
      </c>
      <c r="E12" s="445" t="s">
        <v>442</v>
      </c>
      <c r="F12" s="445" t="s">
        <v>443</v>
      </c>
      <c r="G12" s="443"/>
      <c r="H12" s="446"/>
      <c r="I12" s="446"/>
      <c r="J12" s="446"/>
      <c r="K12" s="447"/>
    </row>
    <row r="13" spans="1:41" s="2115" customFormat="1" ht="13.5" customHeight="1">
      <c r="A13" s="1631" t="s">
        <v>1810</v>
      </c>
      <c r="B13" s="448" t="s">
        <v>444</v>
      </c>
      <c r="C13" s="449">
        <f ca="1">IF(B1="",'数据-取费表'!M16,INDIRECT("'数据-取费表'!M"&amp;$K$1)+INDIRECT("'数据-取费表'!t"&amp;$K$1))</f>
        <v>8900</v>
      </c>
      <c r="D13" s="450"/>
      <c r="E13" s="364"/>
      <c r="F13" s="451"/>
      <c r="G13" s="443"/>
      <c r="H13" s="446"/>
      <c r="I13" s="446"/>
      <c r="J13" s="446"/>
      <c r="K13" s="447"/>
    </row>
    <row r="14" spans="1:41" s="2115" customFormat="1" ht="13.5" customHeight="1">
      <c r="A14" s="1631" t="s">
        <v>1811</v>
      </c>
      <c r="B14" s="448" t="s">
        <v>445</v>
      </c>
      <c r="C14" s="52">
        <f ca="1">ROUND(C13*F14,0)</f>
        <v>267</v>
      </c>
      <c r="D14" s="450"/>
      <c r="E14" s="364"/>
      <c r="F14" s="452">
        <f>'数据-取费表'!B33</f>
        <v>0.03</v>
      </c>
      <c r="G14" s="443" t="s">
        <v>467</v>
      </c>
      <c r="H14" s="446"/>
      <c r="I14" s="446"/>
      <c r="J14" s="446"/>
      <c r="K14" s="447"/>
    </row>
    <row r="15" spans="1:41" s="2115" customFormat="1" ht="13.5" customHeight="1">
      <c r="A15" s="1631" t="s">
        <v>1812</v>
      </c>
      <c r="B15" s="448" t="s">
        <v>447</v>
      </c>
      <c r="C15" s="52">
        <f ca="1">ROUND(IF(B1="",SUMIF('数据-取费表'!C:C,"住宅",'数据-取费表'!M:M)*F15,IF(INDIRECT("'数据-取费表'!c"&amp;$K$1)="住宅",INDIRECT("'数据-取费表'!M"&amp;$K$1)*F15,0)),0)</f>
        <v>0</v>
      </c>
      <c r="D15" s="450"/>
      <c r="E15" s="364"/>
      <c r="F15" s="452">
        <f>'数据-取费表'!B34</f>
        <v>0</v>
      </c>
      <c r="G15" s="443" t="s">
        <v>467</v>
      </c>
      <c r="H15" s="446"/>
      <c r="I15" s="446"/>
      <c r="J15" s="446"/>
      <c r="K15" s="447"/>
    </row>
    <row r="16" spans="1:41" s="2116" customFormat="1" ht="13.5" customHeight="1">
      <c r="A16" s="1631" t="s">
        <v>1813</v>
      </c>
      <c r="B16" s="448" t="s">
        <v>449</v>
      </c>
      <c r="C16" s="52">
        <f ca="1">ROUND(D16*E16/10000,0)</f>
        <v>322</v>
      </c>
      <c r="D16" s="450">
        <f ca="1">IF(B1="",'数据-汇总表'!E3,INDIRECT("'数据-取费表'!K"&amp;$K$1)+INDIRECT("'数据-取费表'!S"&amp;$K$1))</f>
        <v>21457.599999999999</v>
      </c>
      <c r="E16" s="52">
        <f>'数据-取费表'!B35</f>
        <v>150</v>
      </c>
      <c r="F16" s="452"/>
      <c r="G16" s="443"/>
      <c r="H16" s="446"/>
      <c r="I16" s="446"/>
      <c r="J16" s="446"/>
      <c r="K16" s="447"/>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1" t="s">
        <v>1814</v>
      </c>
      <c r="B17" s="448" t="s">
        <v>450</v>
      </c>
      <c r="C17" s="453">
        <f ca="1">ROUND(C13*F17,0)</f>
        <v>134</v>
      </c>
      <c r="D17" s="454"/>
      <c r="E17" s="453"/>
      <c r="F17" s="455">
        <f>'数据-取费表'!B36</f>
        <v>1.4999999999999999E-2</v>
      </c>
      <c r="G17" s="443" t="s">
        <v>467</v>
      </c>
      <c r="H17" s="456"/>
      <c r="I17" s="456"/>
      <c r="J17" s="456"/>
      <c r="K17" s="457"/>
    </row>
    <row r="18" spans="1:14" s="2118" customFormat="1" ht="13.5" customHeight="1">
      <c r="A18" s="1632" t="s">
        <v>1815</v>
      </c>
      <c r="B18" s="458" t="s">
        <v>452</v>
      </c>
      <c r="C18" s="459">
        <f ca="1">SUM(C13:C17)</f>
        <v>9623</v>
      </c>
      <c r="D18" s="460"/>
      <c r="E18" s="461"/>
      <c r="F18" s="461"/>
      <c r="G18" s="1325" t="s">
        <v>2394</v>
      </c>
      <c r="H18" s="446"/>
      <c r="I18" s="446"/>
      <c r="J18" s="446"/>
      <c r="K18" s="447"/>
    </row>
    <row r="19" spans="1:14" s="2118" customFormat="1" ht="13.5" customHeight="1">
      <c r="A19" s="1632" t="s">
        <v>1816</v>
      </c>
      <c r="B19" s="458" t="s">
        <v>458</v>
      </c>
      <c r="C19" s="459">
        <f ca="1">ROUND(C18*F19,0)</f>
        <v>192</v>
      </c>
      <c r="D19" s="461"/>
      <c r="E19" s="461"/>
      <c r="F19" s="465">
        <f>'数据-取费表'!B37</f>
        <v>0.02</v>
      </c>
      <c r="G19" s="443" t="s">
        <v>468</v>
      </c>
      <c r="H19" s="446"/>
      <c r="I19" s="446"/>
      <c r="J19" s="446"/>
      <c r="K19" s="447"/>
      <c r="L19" s="2120"/>
      <c r="M19" s="2120"/>
      <c r="N19" s="2120"/>
    </row>
    <row r="20" spans="1:14" s="2118" customFormat="1" ht="13.5" customHeight="1">
      <c r="A20" s="1632" t="s">
        <v>1817</v>
      </c>
      <c r="B20" s="458" t="s">
        <v>469</v>
      </c>
      <c r="C20" s="3029">
        <f>F20</f>
        <v>0.02</v>
      </c>
      <c r="D20" s="468" t="s">
        <v>470</v>
      </c>
      <c r="E20" s="468"/>
      <c r="F20" s="485">
        <f>'数据-取费表'!B38</f>
        <v>0.02</v>
      </c>
      <c r="G20" s="1325" t="s">
        <v>471</v>
      </c>
      <c r="H20" s="446"/>
      <c r="I20" s="446"/>
      <c r="J20" s="446"/>
      <c r="K20" s="447"/>
      <c r="L20" s="2120"/>
      <c r="M20" s="2120"/>
      <c r="N20" s="2120"/>
    </row>
    <row r="21" spans="1:14" s="2120" customFormat="1" ht="13.5" customHeight="1">
      <c r="A21" s="1632" t="s">
        <v>1820</v>
      </c>
      <c r="B21" s="460" t="s">
        <v>459</v>
      </c>
      <c r="C21" s="469">
        <f ca="1">C22</f>
        <v>348</v>
      </c>
      <c r="D21" s="466">
        <f ca="1">C23</f>
        <v>6.9999999999999999E-4</v>
      </c>
      <c r="E21" s="468" t="s">
        <v>472</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7" t="s">
        <v>2416</v>
      </c>
    </row>
    <row r="22" spans="1:14" s="2119" customFormat="1" ht="13.5" customHeight="1">
      <c r="A22" s="1631" t="s">
        <v>1810</v>
      </c>
      <c r="B22" s="1326" t="s">
        <v>2397</v>
      </c>
      <c r="C22" s="486">
        <f ca="1">ROUND(IF('数据-取费表'!B22&lt;=1,(C18+C19)*F21*'数据-取费表'!B20/2,(C18+C19)*(POWER((1+F21),'数据-取费表'!B20/2)-1)),0)</f>
        <v>348</v>
      </c>
      <c r="D22" s="471"/>
      <c r="E22" s="472"/>
      <c r="F22" s="473"/>
      <c r="G22" s="2566" t="str">
        <f>IF('数据-取费表'!B22&lt;=1,"((1)+(2))×年利率×建设期÷2","((1)+(2))×((1+年利率)^(建设期÷2)-1)")</f>
        <v>((1)+(2))×((1+年利率)^(建设期÷2)-1)</v>
      </c>
      <c r="H22" s="456"/>
      <c r="I22" s="456"/>
      <c r="J22" s="456"/>
      <c r="K22" s="457"/>
    </row>
    <row r="23" spans="1:14" s="2119" customFormat="1" ht="13.5" customHeight="1">
      <c r="A23" s="1631" t="s">
        <v>1811</v>
      </c>
      <c r="B23" s="1326" t="s">
        <v>473</v>
      </c>
      <c r="C23" s="487">
        <f ca="1">ROUND(IF('数据-取费表'!B22&lt;=1,F20*F21*'数据-取费表'!B20/2,F20*(POWER((1+F21),'数据-取费表'!B20/2)-1)),4)</f>
        <v>6.9999999999999999E-4</v>
      </c>
      <c r="D23" s="471"/>
      <c r="E23" s="472"/>
      <c r="F23" s="473"/>
      <c r="G23" s="2566" t="str">
        <f>IF('数据-取费表'!B22&lt;=1,"销售费用率×年利率×建设期÷2","销售费用率×((1+年利率)^(建设期÷2)-1)")</f>
        <v>销售费用率×((1+年利率)^(建设期÷2)-1)</v>
      </c>
      <c r="H23" s="456"/>
      <c r="I23" s="456"/>
      <c r="J23" s="456"/>
      <c r="K23" s="457"/>
    </row>
    <row r="24" spans="1:14" s="2119" customFormat="1" ht="13.5" customHeight="1">
      <c r="A24" s="1632" t="s">
        <v>1821</v>
      </c>
      <c r="B24" s="3031" t="s">
        <v>2794</v>
      </c>
      <c r="C24" s="477">
        <f ca="1">C25</f>
        <v>982</v>
      </c>
      <c r="D24" s="488">
        <f ca="1">C26</f>
        <v>2E-3</v>
      </c>
      <c r="E24" s="468" t="s">
        <v>472</v>
      </c>
      <c r="F24" s="478">
        <f ca="1">IF(B1="",'数据-取费表'!Q16,INDIRECT("'数据-取费表'!q"&amp;$K$1))</f>
        <v>0.1</v>
      </c>
      <c r="G24" s="443"/>
      <c r="H24" s="446"/>
      <c r="I24" s="446"/>
      <c r="J24" s="446"/>
      <c r="K24" s="447"/>
    </row>
    <row r="25" spans="1:14" s="2119" customFormat="1" ht="13.5" customHeight="1">
      <c r="A25" s="1631" t="s">
        <v>1810</v>
      </c>
      <c r="B25" s="1326" t="s">
        <v>2398</v>
      </c>
      <c r="C25" s="489">
        <f ca="1">ROUND((C18+C19)*F24,0)</f>
        <v>982</v>
      </c>
      <c r="D25" s="471"/>
      <c r="E25" s="472"/>
      <c r="F25" s="479"/>
      <c r="G25" s="1324" t="s">
        <v>2395</v>
      </c>
      <c r="H25" s="456"/>
      <c r="I25" s="456"/>
      <c r="J25" s="456"/>
      <c r="K25" s="457"/>
    </row>
    <row r="26" spans="1:14" s="2119" customFormat="1" ht="13.5" customHeight="1">
      <c r="A26" s="1631" t="s">
        <v>1811</v>
      </c>
      <c r="B26" s="1326" t="s">
        <v>474</v>
      </c>
      <c r="C26" s="490">
        <f ca="1">ROUND(F20*F24,4)</f>
        <v>2E-3</v>
      </c>
      <c r="D26" s="471"/>
      <c r="E26" s="480"/>
      <c r="F26" s="479"/>
      <c r="G26" s="1324" t="s">
        <v>475</v>
      </c>
      <c r="H26" s="456"/>
      <c r="I26" s="456"/>
      <c r="J26" s="456"/>
      <c r="K26" s="457"/>
    </row>
    <row r="27" spans="1:14" s="2119" customFormat="1" ht="13.5" customHeight="1">
      <c r="A27" s="1635" t="s">
        <v>1829</v>
      </c>
      <c r="B27" s="458" t="s">
        <v>476</v>
      </c>
      <c r="C27" s="3030">
        <f>ROUND(F27/(1+'数据-取费表'!C42),4)</f>
        <v>5.33E-2</v>
      </c>
      <c r="D27" s="461" t="s">
        <v>2792</v>
      </c>
      <c r="E27" s="461"/>
      <c r="F27" s="465">
        <f>'数据-取费表'!B41</f>
        <v>5.6000000000000001E-2</v>
      </c>
      <c r="G27" s="1959" t="s">
        <v>2253</v>
      </c>
      <c r="H27" s="446"/>
      <c r="I27" s="446"/>
      <c r="J27" s="446"/>
      <c r="K27" s="447"/>
    </row>
    <row r="28" spans="1:14" s="2120" customFormat="1" ht="13.5" customHeight="1">
      <c r="A28" s="1635" t="s">
        <v>1830</v>
      </c>
      <c r="B28" s="475" t="s">
        <v>477</v>
      </c>
      <c r="C28" s="469">
        <f ca="1">ROUND((C18+C19+C21+C24)/(1-C20-D21-D24-C27),0)</f>
        <v>12062</v>
      </c>
      <c r="D28" s="476"/>
      <c r="E28" s="468"/>
      <c r="F28" s="470"/>
      <c r="G28" s="1325" t="s">
        <v>2396</v>
      </c>
      <c r="H28" s="446"/>
      <c r="I28" s="446"/>
      <c r="J28" s="446"/>
      <c r="K28" s="447"/>
    </row>
    <row r="29" spans="1:14" s="2120" customFormat="1" ht="13.5" customHeight="1">
      <c r="A29" s="1635" t="s">
        <v>1831</v>
      </c>
      <c r="B29" s="475" t="s">
        <v>478</v>
      </c>
      <c r="C29" s="491">
        <f ca="1">IF(B1="",'数据-取费表'!N16,INDIRECT("'数据-取费表'!N"&amp;$K$1))</f>
        <v>0</v>
      </c>
      <c r="D29" s="492"/>
      <c r="E29" s="493"/>
      <c r="F29" s="494"/>
      <c r="G29" s="443"/>
      <c r="H29" s="446"/>
      <c r="I29" s="446"/>
      <c r="J29" s="446"/>
      <c r="K29" s="447"/>
    </row>
    <row r="30" spans="1:14" s="2120" customFormat="1" ht="13.5" customHeight="1">
      <c r="A30" s="442">
        <v>2</v>
      </c>
      <c r="B30" s="475" t="s">
        <v>479</v>
      </c>
      <c r="C30" s="496">
        <f ca="1">ROUND(C28*C29,0)</f>
        <v>0</v>
      </c>
      <c r="D30" s="492"/>
      <c r="E30" s="497"/>
      <c r="F30" s="498"/>
      <c r="G30" s="1327" t="s">
        <v>480</v>
      </c>
      <c r="H30" s="495"/>
      <c r="I30" s="495"/>
      <c r="J30" s="446"/>
      <c r="K30" s="447"/>
    </row>
    <row r="31" spans="1:14" s="2125" customFormat="1" ht="13.5" customHeight="1">
      <c r="A31" s="2481" t="s">
        <v>1827</v>
      </c>
      <c r="B31" s="1328"/>
      <c r="C31" s="499">
        <f>ROUND(C6*F31/(1+'数据-取费表'!C42),0)</f>
        <v>0</v>
      </c>
      <c r="D31" s="1329"/>
      <c r="E31" s="1329"/>
      <c r="F31" s="500">
        <f>'数据-取费表'!B41</f>
        <v>5.6000000000000001E-2</v>
      </c>
      <c r="G31" s="1330"/>
      <c r="H31" s="1330"/>
      <c r="I31" s="1330"/>
      <c r="J31" s="1331"/>
      <c r="K31" s="1332"/>
    </row>
    <row r="32" spans="1:14" s="2084" customFormat="1" ht="13.5" customHeight="1" thickBot="1">
      <c r="A32" s="481" t="s">
        <v>1828</v>
      </c>
      <c r="B32" s="482"/>
      <c r="C32" s="483">
        <f ca="1">IF('数据-取费表'!B20&lt;=1,(C6-C30-C31)/(1+F21*'数据-取费表'!B20+F24)/(1+'数据-取费表'!B48+'数据-取费表'!B49),(C6-C30-C31)/(1+(POWER((1+F21),'数据-取费表'!B20)-1)+F24)/(1+'数据-取费表'!B48+'数据-取费表'!B49))</f>
        <v>0</v>
      </c>
      <c r="D32" s="482"/>
      <c r="E32" s="482"/>
      <c r="F32" s="482"/>
      <c r="G32" s="2482" t="s">
        <v>2933</v>
      </c>
      <c r="H32" s="482"/>
      <c r="I32" s="482"/>
      <c r="J32" s="482"/>
      <c r="K32" s="484"/>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B28" sqref="B28"/>
    </sheetView>
  </sheetViews>
  <sheetFormatPr defaultColWidth="9" defaultRowHeight="13.8"/>
  <cols>
    <col min="1" max="1" width="13.332031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481</v>
      </c>
      <c r="B1" s="502"/>
      <c r="C1" s="503" t="s">
        <v>562</v>
      </c>
      <c r="D1" s="504" t="s">
        <v>483</v>
      </c>
      <c r="E1" s="736"/>
      <c r="F1" s="737"/>
      <c r="G1" s="736"/>
      <c r="H1" s="736"/>
      <c r="I1" s="736"/>
      <c r="J1" s="736"/>
      <c r="K1" s="738"/>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2" t="s">
        <v>432</v>
      </c>
      <c r="B2" s="507" t="e">
        <f>F63</f>
        <v>#DIV/0!</v>
      </c>
      <c r="C2" s="2127"/>
      <c r="D2" s="2127"/>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c r="A3" s="1378" t="s">
        <v>1647</v>
      </c>
      <c r="B3" s="509" t="e">
        <f>ROUND(B2*10000/'数据-汇总表'!E3,0)</f>
        <v>#DIV/0!</v>
      </c>
      <c r="C3" s="2060"/>
      <c r="D3" s="2060"/>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427"/>
      <c r="AC3" s="427"/>
    </row>
    <row r="4" spans="1:29" s="1334" customFormat="1" ht="28.5" customHeight="1">
      <c r="A4" s="510" t="s">
        <v>485</v>
      </c>
      <c r="B4" s="426" t="e">
        <f>IF(B43="单位面积地价",C45,ROUND(B2*10000/'数据-汇总表'!D3,0))</f>
        <v>#DIV/0!</v>
      </c>
      <c r="C4" s="2060"/>
      <c r="D4" s="2060"/>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7"/>
    </row>
    <row r="5" spans="1:29" s="1334" customFormat="1" ht="28.5" customHeight="1" thickBot="1">
      <c r="A5" s="428"/>
      <c r="B5" s="429" t="e">
        <f>ROUND(B2/('数据-汇总表'!D3/666.67),0)</f>
        <v>#DIV/0!</v>
      </c>
      <c r="C5" s="430" t="s">
        <v>434</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4"/>
      <c r="AC5" s="427"/>
    </row>
    <row r="6" spans="1:29" ht="14.4">
      <c r="A6" s="511" t="s">
        <v>486</v>
      </c>
      <c r="B6" s="512"/>
      <c r="C6" s="3368" t="s">
        <v>487</v>
      </c>
      <c r="D6" s="3369"/>
      <c r="E6" s="3404" t="s">
        <v>488</v>
      </c>
      <c r="F6" s="3405"/>
      <c r="G6" s="3368" t="s">
        <v>489</v>
      </c>
      <c r="H6" s="3369"/>
      <c r="I6" s="3368" t="s">
        <v>490</v>
      </c>
      <c r="J6" s="3369"/>
      <c r="K6" s="513" t="s">
        <v>491</v>
      </c>
      <c r="L6" s="2132"/>
      <c r="M6" s="2133"/>
      <c r="N6" s="2133"/>
      <c r="O6" s="2133"/>
      <c r="P6" s="3370" t="s">
        <v>492</v>
      </c>
      <c r="Q6" s="3371"/>
      <c r="R6" s="3376" t="s">
        <v>488</v>
      </c>
      <c r="S6" s="3377"/>
      <c r="T6" s="3376" t="s">
        <v>489</v>
      </c>
      <c r="U6" s="3377"/>
      <c r="V6" s="3363" t="s">
        <v>490</v>
      </c>
      <c r="W6" s="3363"/>
      <c r="X6" s="1565"/>
      <c r="Y6" s="3376" t="s">
        <v>492</v>
      </c>
      <c r="Z6" s="3377"/>
      <c r="AA6" s="3365" t="s">
        <v>488</v>
      </c>
      <c r="AB6" s="3366" t="s">
        <v>489</v>
      </c>
      <c r="AC6" s="3365" t="s">
        <v>490</v>
      </c>
    </row>
    <row r="7" spans="1:29">
      <c r="A7" s="514"/>
      <c r="B7" s="515"/>
      <c r="C7" s="3400" t="s">
        <v>2889</v>
      </c>
      <c r="D7" s="3385"/>
      <c r="E7" s="3406" t="s">
        <v>2890</v>
      </c>
      <c r="F7" s="3407"/>
      <c r="G7" s="3400" t="s">
        <v>2891</v>
      </c>
      <c r="H7" s="3385"/>
      <c r="I7" s="3400" t="s">
        <v>2892</v>
      </c>
      <c r="J7" s="3385"/>
      <c r="K7" s="513"/>
      <c r="L7" s="2132"/>
      <c r="M7" s="2133"/>
      <c r="N7" s="2133"/>
      <c r="O7" s="2133"/>
      <c r="P7" s="3372"/>
      <c r="Q7" s="3373"/>
      <c r="R7" s="3378"/>
      <c r="S7" s="3379"/>
      <c r="T7" s="3378"/>
      <c r="U7" s="3379"/>
      <c r="V7" s="3363"/>
      <c r="W7" s="3363"/>
      <c r="X7" s="1565"/>
      <c r="Y7" s="3378"/>
      <c r="Z7" s="3379"/>
      <c r="AA7" s="3366"/>
      <c r="AB7" s="3366"/>
      <c r="AC7" s="3366"/>
    </row>
    <row r="8" spans="1:29" ht="15" thickBot="1">
      <c r="A8" s="516"/>
      <c r="B8" s="517"/>
      <c r="C8" s="3401" t="s">
        <v>2893</v>
      </c>
      <c r="D8" s="3383"/>
      <c r="E8" s="3402" t="s">
        <v>2893</v>
      </c>
      <c r="F8" s="3403"/>
      <c r="G8" s="3401" t="s">
        <v>2893</v>
      </c>
      <c r="H8" s="3383"/>
      <c r="I8" s="3401" t="s">
        <v>2893</v>
      </c>
      <c r="J8" s="3383"/>
      <c r="K8" s="513" t="s">
        <v>493</v>
      </c>
      <c r="L8" s="2132"/>
      <c r="M8" s="2133"/>
      <c r="N8" s="2133"/>
      <c r="O8" s="2133"/>
      <c r="P8" s="3374"/>
      <c r="Q8" s="3375"/>
      <c r="R8" s="3378"/>
      <c r="S8" s="3379"/>
      <c r="T8" s="3380"/>
      <c r="U8" s="3381"/>
      <c r="V8" s="3363"/>
      <c r="W8" s="3363"/>
      <c r="X8" s="1565"/>
      <c r="Y8" s="3380"/>
      <c r="Z8" s="3381"/>
      <c r="AA8" s="3367"/>
      <c r="AB8" s="3367"/>
      <c r="AC8" s="3367"/>
    </row>
    <row r="9" spans="1:29" s="1218" customFormat="1" ht="15" thickBot="1">
      <c r="A9" s="2911"/>
      <c r="B9" s="2918" t="s">
        <v>494</v>
      </c>
      <c r="C9" s="518">
        <f>'数据-取费表'!B2</f>
        <v>43458</v>
      </c>
      <c r="D9" s="519">
        <v>100</v>
      </c>
      <c r="E9" s="520"/>
      <c r="F9" s="521">
        <f>SUMIF(67:67,YEAR(E9)&amp;"-"&amp;INT((MONTH(E9)+2)/3),68:68)</f>
        <v>0</v>
      </c>
      <c r="G9" s="522"/>
      <c r="H9" s="519">
        <f>SUMIF(67:67,YEAR(G9)&amp;"-"&amp;INT((MONTH(G9)+2)/3),68:68)</f>
        <v>0</v>
      </c>
      <c r="I9" s="522"/>
      <c r="J9" s="519">
        <f>SUMIF(67:67,YEAR(I9)&amp;"-"&amp;INT((MONTH(I9)+2)/3),68:68)</f>
        <v>0</v>
      </c>
      <c r="K9" s="523"/>
      <c r="L9" s="2134"/>
      <c r="M9" s="2135"/>
      <c r="N9" s="2135"/>
      <c r="O9" s="2135"/>
      <c r="P9" s="3393" t="s">
        <v>495</v>
      </c>
      <c r="Q9" s="3395"/>
      <c r="R9" s="1566" t="s">
        <v>8</v>
      </c>
      <c r="S9" s="1567">
        <f t="shared" ref="S9:S17" si="0">F9</f>
        <v>0</v>
      </c>
      <c r="T9" s="1566" t="s">
        <v>8</v>
      </c>
      <c r="U9" s="1567">
        <f t="shared" ref="U9:U17" si="1">H9</f>
        <v>0</v>
      </c>
      <c r="V9" s="1566" t="s">
        <v>8</v>
      </c>
      <c r="W9" s="1567">
        <f t="shared" ref="W9:W17" si="2">J9</f>
        <v>0</v>
      </c>
      <c r="X9" s="1568"/>
      <c r="Y9" s="3393" t="s">
        <v>495</v>
      </c>
      <c r="Z9" s="3394"/>
      <c r="AA9" s="1569" t="e">
        <f>D9/F9</f>
        <v>#DIV/0!</v>
      </c>
      <c r="AB9" s="1569" t="e">
        <f>D9/H9</f>
        <v>#DIV/0!</v>
      </c>
      <c r="AC9" s="1569" t="e">
        <f>D9/J9</f>
        <v>#DIV/0!</v>
      </c>
    </row>
    <row r="10" spans="1:29" s="1218" customFormat="1" ht="15" thickBot="1">
      <c r="A10" s="2912"/>
      <c r="B10" s="2919" t="s">
        <v>496</v>
      </c>
      <c r="C10" s="524" t="s">
        <v>497</v>
      </c>
      <c r="D10" s="519">
        <v>100</v>
      </c>
      <c r="E10" s="524"/>
      <c r="F10" s="521">
        <f>SUMIF(70:70,E10,71:71)-SUMIF(70:70,C10,71:71)+100</f>
        <v>0</v>
      </c>
      <c r="G10" s="524"/>
      <c r="H10" s="519">
        <f>SUMIF(70:70,G10,71:71)-SUMIF(70:70,C10,71:71)+100</f>
        <v>0</v>
      </c>
      <c r="I10" s="524"/>
      <c r="J10" s="519">
        <f>SUMIF(70:70,I10,71:71)-SUMIF(70:70,C10,71:71)+100</f>
        <v>0</v>
      </c>
      <c r="K10" s="523"/>
      <c r="L10" s="2134"/>
      <c r="M10" s="2135"/>
      <c r="N10" s="2135"/>
      <c r="O10" s="2135"/>
      <c r="P10" s="3393" t="s">
        <v>498</v>
      </c>
      <c r="Q10" s="3394"/>
      <c r="R10" s="1566" t="s">
        <v>8</v>
      </c>
      <c r="S10" s="1567">
        <f t="shared" si="0"/>
        <v>0</v>
      </c>
      <c r="T10" s="1566" t="s">
        <v>8</v>
      </c>
      <c r="U10" s="1567">
        <f t="shared" si="1"/>
        <v>0</v>
      </c>
      <c r="V10" s="1566" t="s">
        <v>8</v>
      </c>
      <c r="W10" s="1567">
        <f t="shared" si="2"/>
        <v>0</v>
      </c>
      <c r="X10" s="1568"/>
      <c r="Y10" s="3393" t="s">
        <v>498</v>
      </c>
      <c r="Z10" s="3394"/>
      <c r="AA10" s="1569" t="e">
        <f t="shared" ref="AA10:AA42" si="3">D10/F10</f>
        <v>#DIV/0!</v>
      </c>
      <c r="AB10" s="1569" t="e">
        <f t="shared" ref="AB10:AB42" si="4">D10/H10</f>
        <v>#DIV/0!</v>
      </c>
      <c r="AC10" s="1569" t="e">
        <f t="shared" ref="AC10:AC42" si="5">D10/J10</f>
        <v>#DIV/0!</v>
      </c>
    </row>
    <row r="11" spans="1:29" s="1218" customFormat="1" ht="14.4">
      <c r="A11" s="2913"/>
      <c r="B11" s="2920" t="s">
        <v>2718</v>
      </c>
      <c r="C11" s="525"/>
      <c r="D11" s="253">
        <v>100</v>
      </c>
      <c r="E11" s="525"/>
      <c r="F11" s="253">
        <f>SUMIF(72:72,E11,73:73)-SUMIF(72:72,C11,73:73)+100</f>
        <v>100</v>
      </c>
      <c r="G11" s="525"/>
      <c r="H11" s="253">
        <f>SUMIF(72:72,G11,73:73)-SUMIF(72:72,C11,73:73)+100</f>
        <v>100</v>
      </c>
      <c r="I11" s="525"/>
      <c r="J11" s="253">
        <f>SUMIF(72:72,I11,73:73)-SUMIF(72:72,C11,73:73)+100</f>
        <v>100</v>
      </c>
      <c r="K11" s="523"/>
      <c r="L11" s="2134"/>
      <c r="M11" s="2135"/>
      <c r="N11" s="2135"/>
      <c r="O11" s="2136"/>
      <c r="P11" s="3362" t="s">
        <v>500</v>
      </c>
      <c r="Q11" s="1149" t="str">
        <f t="shared" ref="Q11:Q17" si="6">B11</f>
        <v>用途</v>
      </c>
      <c r="R11" s="1566" t="s">
        <v>8</v>
      </c>
      <c r="S11" s="1567">
        <f t="shared" si="0"/>
        <v>100</v>
      </c>
      <c r="T11" s="1566" t="s">
        <v>8</v>
      </c>
      <c r="U11" s="1567">
        <f t="shared" si="1"/>
        <v>100</v>
      </c>
      <c r="V11" s="1566" t="s">
        <v>8</v>
      </c>
      <c r="W11" s="1567">
        <f t="shared" si="2"/>
        <v>100</v>
      </c>
      <c r="X11" s="1568"/>
      <c r="Y11" s="3308" t="s">
        <v>501</v>
      </c>
      <c r="Z11" s="1148" t="str">
        <f t="shared" ref="Z11:Z17" si="7">Q11</f>
        <v>用途</v>
      </c>
      <c r="AA11" s="1569">
        <f t="shared" si="3"/>
        <v>1</v>
      </c>
      <c r="AB11" s="1569">
        <f t="shared" si="4"/>
        <v>1</v>
      </c>
      <c r="AC11" s="1569">
        <f t="shared" si="5"/>
        <v>1</v>
      </c>
    </row>
    <row r="12" spans="1:29" s="1336" customFormat="1" ht="28.8">
      <c r="A12" s="2914"/>
      <c r="B12" s="2919" t="s">
        <v>2719</v>
      </c>
      <c r="C12" s="527"/>
      <c r="D12" s="254">
        <v>100</v>
      </c>
      <c r="E12" s="527"/>
      <c r="F12" s="254">
        <f>ROUND(100/'数据-取费表'!G16,0)</f>
        <v>102</v>
      </c>
      <c r="G12" s="527"/>
      <c r="H12" s="254">
        <f>ROUND(100/'数据-取费表'!G16,0)</f>
        <v>102</v>
      </c>
      <c r="I12" s="527"/>
      <c r="J12" s="254">
        <f>ROUND(100/'数据-取费表'!G16,0)</f>
        <v>102</v>
      </c>
      <c r="K12" s="530"/>
      <c r="L12" s="2137"/>
      <c r="M12" s="2177"/>
      <c r="N12" s="2177"/>
      <c r="O12" s="2138"/>
      <c r="P12" s="3362"/>
      <c r="Q12" s="1149" t="str">
        <f t="shared" si="6"/>
        <v>土地使用年限（年）</v>
      </c>
      <c r="R12" s="1566" t="s">
        <v>8</v>
      </c>
      <c r="S12" s="1567">
        <f t="shared" si="0"/>
        <v>102</v>
      </c>
      <c r="T12" s="1566" t="s">
        <v>8</v>
      </c>
      <c r="U12" s="1567">
        <f t="shared" si="1"/>
        <v>102</v>
      </c>
      <c r="V12" s="1566" t="s">
        <v>8</v>
      </c>
      <c r="W12" s="1567">
        <f t="shared" si="2"/>
        <v>102</v>
      </c>
      <c r="X12" s="1568"/>
      <c r="Y12" s="3308"/>
      <c r="Z12" s="1148" t="str">
        <f t="shared" si="7"/>
        <v>土地使用年限（年）</v>
      </c>
      <c r="AA12" s="1569">
        <f t="shared" si="3"/>
        <v>0.98039215686274506</v>
      </c>
      <c r="AB12" s="1569">
        <f t="shared" si="4"/>
        <v>0.98039215686274506</v>
      </c>
      <c r="AC12" s="1569">
        <f t="shared" si="5"/>
        <v>0.98039215686274506</v>
      </c>
    </row>
    <row r="13" spans="1:29" ht="15">
      <c r="A13" s="2915"/>
      <c r="B13" s="2919" t="s">
        <v>2720</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9"/>
      <c r="M13" s="2133"/>
      <c r="N13" s="2133"/>
      <c r="O13" s="2140"/>
      <c r="P13" s="3362"/>
      <c r="Q13" s="1149" t="str">
        <f t="shared" si="6"/>
        <v>容积率</v>
      </c>
      <c r="R13" s="1566" t="s">
        <v>8</v>
      </c>
      <c r="S13" s="1567" t="e">
        <f t="shared" si="0"/>
        <v>#N/A</v>
      </c>
      <c r="T13" s="1566" t="s">
        <v>8</v>
      </c>
      <c r="U13" s="1567" t="e">
        <f t="shared" si="1"/>
        <v>#N/A</v>
      </c>
      <c r="V13" s="1566" t="s">
        <v>8</v>
      </c>
      <c r="W13" s="1567" t="e">
        <f t="shared" si="2"/>
        <v>#N/A</v>
      </c>
      <c r="X13" s="1568"/>
      <c r="Y13" s="3308"/>
      <c r="Z13" s="1148" t="str">
        <f t="shared" si="7"/>
        <v>容积率</v>
      </c>
      <c r="AA13" s="1569" t="e">
        <f t="shared" si="3"/>
        <v>#N/A</v>
      </c>
      <c r="AB13" s="1569" t="e">
        <f t="shared" si="4"/>
        <v>#N/A</v>
      </c>
      <c r="AC13" s="1569" t="e">
        <f t="shared" si="5"/>
        <v>#N/A</v>
      </c>
    </row>
    <row r="14" spans="1:29" s="1218" customFormat="1" ht="15">
      <c r="A14" s="2916"/>
      <c r="B14" s="2922">
        <v>111</v>
      </c>
      <c r="C14" s="527"/>
      <c r="D14" s="537">
        <v>100</v>
      </c>
      <c r="E14" s="540"/>
      <c r="F14" s="254">
        <f>SUMIF(79:79,E14,80:80)-SUMIF(79:79,C14,80:80)+100</f>
        <v>100</v>
      </c>
      <c r="G14" s="541"/>
      <c r="H14" s="254">
        <f>SUMIF(79:79,G14,80:80)-SUMIF(79:79,C14,80:80)+100</f>
        <v>100</v>
      </c>
      <c r="I14" s="540"/>
      <c r="J14" s="254">
        <f>SUMIF(79:79,I14,80:80)-SUMIF(79:79,C14,80:80)+100</f>
        <v>100</v>
      </c>
      <c r="K14" s="530"/>
      <c r="L14" s="2134"/>
      <c r="M14" s="2135"/>
      <c r="N14" s="2135"/>
      <c r="O14" s="2136"/>
      <c r="P14" s="3362"/>
      <c r="Q14" s="1149">
        <f t="shared" si="6"/>
        <v>111</v>
      </c>
      <c r="R14" s="1566" t="s">
        <v>8</v>
      </c>
      <c r="S14" s="1567">
        <f t="shared" si="0"/>
        <v>100</v>
      </c>
      <c r="T14" s="1566" t="s">
        <v>8</v>
      </c>
      <c r="U14" s="1567">
        <f t="shared" si="1"/>
        <v>100</v>
      </c>
      <c r="V14" s="1566" t="s">
        <v>8</v>
      </c>
      <c r="W14" s="1567">
        <f t="shared" si="2"/>
        <v>100</v>
      </c>
      <c r="X14" s="1568"/>
      <c r="Y14" s="3308"/>
      <c r="Z14" s="1148">
        <f t="shared" si="7"/>
        <v>111</v>
      </c>
      <c r="AA14" s="1569">
        <f>D14/F14</f>
        <v>1</v>
      </c>
      <c r="AB14" s="1569">
        <f>D14/H14</f>
        <v>1</v>
      </c>
      <c r="AC14" s="1569">
        <f>D14/J14</f>
        <v>1</v>
      </c>
    </row>
    <row r="15" spans="1:29" ht="15">
      <c r="A15" s="2916"/>
      <c r="B15" s="2922">
        <v>111</v>
      </c>
      <c r="C15" s="538"/>
      <c r="D15" s="539">
        <v>100</v>
      </c>
      <c r="E15" s="540"/>
      <c r="F15" s="254">
        <f>SUMIF(81:81,E15,82:82)-SUMIF(81:81,C15,82:82)+100</f>
        <v>100</v>
      </c>
      <c r="G15" s="541"/>
      <c r="H15" s="539">
        <f>SUMIF(81:81,G15,82:82)-SUMIF(81:81,C15,82:82)+100</f>
        <v>100</v>
      </c>
      <c r="I15" s="540"/>
      <c r="J15" s="539">
        <f>SUMIF(81:81,I15,82:82)-SUMIF(81:81,C15,82:82)+100</f>
        <v>100</v>
      </c>
      <c r="K15" s="530"/>
      <c r="L15" s="2141"/>
      <c r="M15" s="2133"/>
      <c r="N15" s="2133"/>
      <c r="O15" s="2140"/>
      <c r="P15" s="3362"/>
      <c r="Q15" s="1149">
        <f t="shared" si="6"/>
        <v>111</v>
      </c>
      <c r="R15" s="1566" t="s">
        <v>8</v>
      </c>
      <c r="S15" s="1567">
        <f t="shared" si="0"/>
        <v>100</v>
      </c>
      <c r="T15" s="1566" t="s">
        <v>8</v>
      </c>
      <c r="U15" s="1567">
        <f t="shared" si="1"/>
        <v>100</v>
      </c>
      <c r="V15" s="1566" t="s">
        <v>8</v>
      </c>
      <c r="W15" s="1567">
        <f t="shared" si="2"/>
        <v>100</v>
      </c>
      <c r="X15" s="1568"/>
      <c r="Y15" s="3308"/>
      <c r="Z15" s="1148">
        <f t="shared" si="7"/>
        <v>111</v>
      </c>
      <c r="AA15" s="1569">
        <f t="shared" si="3"/>
        <v>1</v>
      </c>
      <c r="AB15" s="1569">
        <f t="shared" si="4"/>
        <v>1</v>
      </c>
      <c r="AC15" s="1569">
        <f t="shared" si="5"/>
        <v>1</v>
      </c>
    </row>
    <row r="16" spans="1:29" ht="15.6" thickBot="1">
      <c r="A16" s="2917"/>
      <c r="B16" s="2923">
        <v>111</v>
      </c>
      <c r="C16" s="544"/>
      <c r="D16" s="545">
        <v>100</v>
      </c>
      <c r="E16" s="540"/>
      <c r="F16" s="545">
        <f>SUMIF(83:83,E16,84:84)-SUMIF(83:83,C16,84:84)+100</f>
        <v>100</v>
      </c>
      <c r="G16" s="541"/>
      <c r="H16" s="545">
        <f>SUMIF(83:83,G16,84:84)-SUMIF(83:83,C16,84:84)+100</f>
        <v>100</v>
      </c>
      <c r="I16" s="540"/>
      <c r="J16" s="545">
        <f>SUMIF(83:83,I16,84:84)-SUMIF(83:83,C16,84:84)+100</f>
        <v>100</v>
      </c>
      <c r="K16" s="530"/>
      <c r="L16" s="2141"/>
      <c r="M16" s="2133"/>
      <c r="N16" s="2133"/>
      <c r="O16" s="2140"/>
      <c r="P16" s="3362"/>
      <c r="Q16" s="1149">
        <f t="shared" si="6"/>
        <v>111</v>
      </c>
      <c r="R16" s="1566" t="s">
        <v>8</v>
      </c>
      <c r="S16" s="1567">
        <f t="shared" si="0"/>
        <v>100</v>
      </c>
      <c r="T16" s="1566" t="s">
        <v>8</v>
      </c>
      <c r="U16" s="1567">
        <f t="shared" si="1"/>
        <v>100</v>
      </c>
      <c r="V16" s="1566" t="s">
        <v>8</v>
      </c>
      <c r="W16" s="1567">
        <f t="shared" si="2"/>
        <v>100</v>
      </c>
      <c r="X16" s="1568"/>
      <c r="Y16" s="3308"/>
      <c r="Z16" s="1148">
        <f t="shared" si="7"/>
        <v>111</v>
      </c>
      <c r="AA16" s="1569">
        <f t="shared" si="3"/>
        <v>1</v>
      </c>
      <c r="AB16" s="1569">
        <f t="shared" si="4"/>
        <v>1</v>
      </c>
      <c r="AC16" s="1569">
        <f t="shared" si="5"/>
        <v>1</v>
      </c>
    </row>
    <row r="17" spans="1:29" ht="69">
      <c r="A17" s="2909" t="s">
        <v>2716</v>
      </c>
      <c r="B17" s="165" t="s">
        <v>563</v>
      </c>
      <c r="C17" s="919"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1"/>
      <c r="M17" s="2133"/>
      <c r="N17" s="2133"/>
      <c r="O17" s="2140"/>
      <c r="P17" s="3396" t="s">
        <v>505</v>
      </c>
      <c r="Q17" s="1570" t="str">
        <f t="shared" si="6"/>
        <v>产业集聚程度</v>
      </c>
      <c r="R17" s="1571" t="s">
        <v>8</v>
      </c>
      <c r="S17" s="1572">
        <f t="shared" si="0"/>
        <v>100</v>
      </c>
      <c r="T17" s="1571" t="s">
        <v>8</v>
      </c>
      <c r="U17" s="1572">
        <f t="shared" si="1"/>
        <v>100</v>
      </c>
      <c r="V17" s="1571" t="s">
        <v>8</v>
      </c>
      <c r="W17" s="1572">
        <f t="shared" si="2"/>
        <v>100</v>
      </c>
      <c r="X17" s="1565"/>
      <c r="Y17" s="3396" t="s">
        <v>505</v>
      </c>
      <c r="Z17" s="1573" t="str">
        <f t="shared" si="7"/>
        <v>产业集聚程度</v>
      </c>
      <c r="AA17" s="1574">
        <f t="shared" si="3"/>
        <v>1</v>
      </c>
      <c r="AB17" s="1574">
        <f t="shared" si="4"/>
        <v>1</v>
      </c>
      <c r="AC17" s="1574">
        <f t="shared" si="5"/>
        <v>1</v>
      </c>
    </row>
    <row r="18" spans="1:29" ht="15">
      <c r="A18" s="531"/>
      <c r="B18" s="868"/>
      <c r="C18" s="575"/>
      <c r="D18" s="554"/>
      <c r="E18" s="553"/>
      <c r="F18" s="554"/>
      <c r="G18" s="553"/>
      <c r="H18" s="558"/>
      <c r="I18" s="553"/>
      <c r="J18" s="554"/>
      <c r="K18" s="530"/>
      <c r="L18" s="2141"/>
      <c r="M18" s="2133"/>
      <c r="N18" s="2133"/>
      <c r="O18" s="2140"/>
      <c r="P18" s="3397"/>
      <c r="Q18" s="1570"/>
      <c r="R18" s="1571"/>
      <c r="S18" s="1572"/>
      <c r="T18" s="1571"/>
      <c r="U18" s="1572"/>
      <c r="V18" s="1571"/>
      <c r="W18" s="1572"/>
      <c r="X18" s="1565"/>
      <c r="Y18" s="3397"/>
      <c r="Z18" s="1573"/>
      <c r="AA18" s="1574">
        <v>1</v>
      </c>
      <c r="AB18" s="1574">
        <v>1</v>
      </c>
      <c r="AC18" s="1574">
        <v>1</v>
      </c>
    </row>
    <row r="19" spans="1:29" ht="96.6">
      <c r="A19" s="531"/>
      <c r="B19" s="870" t="s">
        <v>508</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1"/>
      <c r="M19" s="2133"/>
      <c r="N19" s="2133"/>
      <c r="O19" s="2140"/>
      <c r="P19" s="3397"/>
      <c r="Q19" s="1570" t="str">
        <f>B19</f>
        <v>交通便捷度</v>
      </c>
      <c r="R19" s="1571" t="s">
        <v>8</v>
      </c>
      <c r="S19" s="1572">
        <f>F19</f>
        <v>100</v>
      </c>
      <c r="T19" s="1571" t="s">
        <v>8</v>
      </c>
      <c r="U19" s="1572">
        <f>H19</f>
        <v>100</v>
      </c>
      <c r="V19" s="1571" t="s">
        <v>8</v>
      </c>
      <c r="W19" s="1572">
        <f>J19</f>
        <v>100</v>
      </c>
      <c r="X19" s="1565"/>
      <c r="Y19" s="3397"/>
      <c r="Z19" s="1573" t="str">
        <f>Q19</f>
        <v>交通便捷度</v>
      </c>
      <c r="AA19" s="1574">
        <f t="shared" si="3"/>
        <v>1</v>
      </c>
      <c r="AB19" s="1574">
        <f t="shared" si="4"/>
        <v>1</v>
      </c>
      <c r="AC19" s="1574">
        <f t="shared" si="5"/>
        <v>1</v>
      </c>
    </row>
    <row r="20" spans="1:29" ht="15">
      <c r="A20" s="531"/>
      <c r="B20" s="920"/>
      <c r="C20" s="575"/>
      <c r="D20" s="554"/>
      <c r="E20" s="555"/>
      <c r="F20" s="554"/>
      <c r="G20" s="555"/>
      <c r="H20" s="554"/>
      <c r="I20" s="557"/>
      <c r="J20" s="554"/>
      <c r="K20" s="530"/>
      <c r="L20" s="2141"/>
      <c r="M20" s="2133"/>
      <c r="N20" s="2133"/>
      <c r="O20" s="2140"/>
      <c r="P20" s="3397"/>
      <c r="Q20" s="1570"/>
      <c r="R20" s="1571"/>
      <c r="S20" s="1572"/>
      <c r="T20" s="1571"/>
      <c r="U20" s="1572"/>
      <c r="V20" s="1571"/>
      <c r="W20" s="1572"/>
      <c r="X20" s="1565"/>
      <c r="Y20" s="3397"/>
      <c r="Z20" s="1573"/>
      <c r="AA20" s="1574">
        <v>1</v>
      </c>
      <c r="AB20" s="1574">
        <v>1</v>
      </c>
      <c r="AC20" s="1574">
        <v>1</v>
      </c>
    </row>
    <row r="21" spans="1:29" ht="28.8">
      <c r="A21" s="514"/>
      <c r="B21" s="870" t="s">
        <v>509</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41"/>
      <c r="M21" s="2133"/>
      <c r="N21" s="2133"/>
      <c r="O21" s="2140"/>
      <c r="P21" s="3397"/>
      <c r="Q21" s="1570" t="str">
        <f t="shared" ref="Q21:Q35" si="8">B21</f>
        <v>区域土地利用方向</v>
      </c>
      <c r="R21" s="1571" t="s">
        <v>8</v>
      </c>
      <c r="S21" s="1572">
        <f>F21</f>
        <v>100</v>
      </c>
      <c r="T21" s="1571" t="s">
        <v>8</v>
      </c>
      <c r="U21" s="1572">
        <f>H21</f>
        <v>100</v>
      </c>
      <c r="V21" s="1571" t="s">
        <v>8</v>
      </c>
      <c r="W21" s="1572">
        <f>J21</f>
        <v>100</v>
      </c>
      <c r="X21" s="1565"/>
      <c r="Y21" s="3397"/>
      <c r="Z21" s="1573" t="str">
        <f>Q21</f>
        <v>区域土地利用方向</v>
      </c>
      <c r="AA21" s="1574">
        <f t="shared" si="3"/>
        <v>1</v>
      </c>
      <c r="AB21" s="1574">
        <f t="shared" si="4"/>
        <v>1</v>
      </c>
      <c r="AC21" s="1574">
        <f t="shared" si="5"/>
        <v>1</v>
      </c>
    </row>
    <row r="22" spans="1:29" ht="15">
      <c r="A22" s="514"/>
      <c r="B22" s="594"/>
      <c r="C22" s="575"/>
      <c r="D22" s="554"/>
      <c r="E22" s="555"/>
      <c r="F22" s="556"/>
      <c r="G22" s="557"/>
      <c r="H22" s="556"/>
      <c r="I22" s="557"/>
      <c r="J22" s="556"/>
      <c r="K22" s="1346"/>
      <c r="L22" s="2141"/>
      <c r="M22" s="2133"/>
      <c r="N22" s="2133"/>
      <c r="O22" s="2140"/>
      <c r="P22" s="3397"/>
      <c r="Q22" s="1570"/>
      <c r="R22" s="1571"/>
      <c r="S22" s="1572"/>
      <c r="T22" s="1571"/>
      <c r="U22" s="1572"/>
      <c r="V22" s="1571"/>
      <c r="W22" s="1572"/>
      <c r="X22" s="1565"/>
      <c r="Y22" s="3397"/>
      <c r="Z22" s="1573"/>
      <c r="AA22" s="1574"/>
      <c r="AB22" s="1574"/>
      <c r="AC22" s="1574"/>
    </row>
    <row r="23" spans="1:29" ht="82.8">
      <c r="A23" s="514"/>
      <c r="B23" s="920" t="s">
        <v>564</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1"/>
      <c r="M23" s="2133"/>
      <c r="N23" s="2133"/>
      <c r="O23" s="2140"/>
      <c r="P23" s="3397"/>
      <c r="Q23" s="1570" t="str">
        <f t="shared" si="8"/>
        <v>环境状况</v>
      </c>
      <c r="R23" s="1571" t="s">
        <v>8</v>
      </c>
      <c r="S23" s="1572">
        <f>F23</f>
        <v>100</v>
      </c>
      <c r="T23" s="1571" t="s">
        <v>8</v>
      </c>
      <c r="U23" s="1572">
        <f>H23</f>
        <v>100</v>
      </c>
      <c r="V23" s="1571" t="s">
        <v>8</v>
      </c>
      <c r="W23" s="1572">
        <f>J23</f>
        <v>100</v>
      </c>
      <c r="X23" s="1565"/>
      <c r="Y23" s="3397"/>
      <c r="Z23" s="1573" t="str">
        <f>Q23</f>
        <v>环境状况</v>
      </c>
      <c r="AA23" s="1574">
        <f t="shared" si="3"/>
        <v>1</v>
      </c>
      <c r="AB23" s="1574">
        <f t="shared" si="4"/>
        <v>1</v>
      </c>
      <c r="AC23" s="1574">
        <f t="shared" si="5"/>
        <v>1</v>
      </c>
    </row>
    <row r="24" spans="1:29" ht="15">
      <c r="A24" s="514"/>
      <c r="B24" s="594"/>
      <c r="C24" s="575"/>
      <c r="D24" s="554"/>
      <c r="E24" s="553"/>
      <c r="F24" s="554"/>
      <c r="G24" s="553"/>
      <c r="H24" s="554"/>
      <c r="I24" s="575"/>
      <c r="J24" s="554"/>
      <c r="K24" s="530"/>
      <c r="L24" s="2141"/>
      <c r="M24" s="2133"/>
      <c r="N24" s="2133"/>
      <c r="O24" s="2140"/>
      <c r="P24" s="3397"/>
      <c r="Q24" s="1570"/>
      <c r="R24" s="1571"/>
      <c r="S24" s="1572"/>
      <c r="T24" s="1571"/>
      <c r="U24" s="1572"/>
      <c r="V24" s="1571"/>
      <c r="W24" s="1572"/>
      <c r="X24" s="1565"/>
      <c r="Y24" s="3397"/>
      <c r="Z24" s="1573"/>
      <c r="AA24" s="1574">
        <v>1</v>
      </c>
      <c r="AB24" s="1574">
        <v>1</v>
      </c>
      <c r="AC24" s="1574">
        <v>1</v>
      </c>
    </row>
    <row r="25" spans="1:29" s="1218" customFormat="1" ht="41.4">
      <c r="A25" s="576"/>
      <c r="B25" s="2592" t="s">
        <v>2510</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4"/>
      <c r="M25" s="2135"/>
      <c r="N25" s="2135"/>
      <c r="O25" s="2136"/>
      <c r="P25" s="3397"/>
      <c r="Q25" s="1149" t="str">
        <f t="shared" si="8"/>
        <v>公共配套设施</v>
      </c>
      <c r="R25" s="1566" t="s">
        <v>8</v>
      </c>
      <c r="S25" s="1567">
        <f>F25</f>
        <v>100</v>
      </c>
      <c r="T25" s="1566" t="s">
        <v>8</v>
      </c>
      <c r="U25" s="1567">
        <f>H25</f>
        <v>100</v>
      </c>
      <c r="V25" s="1566" t="s">
        <v>8</v>
      </c>
      <c r="W25" s="1567">
        <f>J25</f>
        <v>100</v>
      </c>
      <c r="X25" s="1568"/>
      <c r="Y25" s="3397"/>
      <c r="Z25" s="1148" t="str">
        <f>Q25</f>
        <v>公共配套设施</v>
      </c>
      <c r="AA25" s="1574">
        <f>D25/F25</f>
        <v>1</v>
      </c>
      <c r="AB25" s="1574">
        <f>D25/H25</f>
        <v>1</v>
      </c>
      <c r="AC25" s="1574">
        <f>D25/J25</f>
        <v>1</v>
      </c>
    </row>
    <row r="26" spans="1:29" s="1218" customFormat="1" ht="15">
      <c r="A26" s="576"/>
      <c r="B26" s="594"/>
      <c r="C26" s="2591"/>
      <c r="D26" s="554"/>
      <c r="E26" s="553"/>
      <c r="F26" s="554"/>
      <c r="G26" s="553"/>
      <c r="H26" s="554"/>
      <c r="I26" s="575"/>
      <c r="J26" s="554"/>
      <c r="K26" s="530"/>
      <c r="L26" s="2134"/>
      <c r="M26" s="2135"/>
      <c r="N26" s="2135"/>
      <c r="O26" s="2136"/>
      <c r="P26" s="3397"/>
      <c r="Q26" s="1149"/>
      <c r="R26" s="1566"/>
      <c r="S26" s="1567"/>
      <c r="T26" s="1566"/>
      <c r="U26" s="1567"/>
      <c r="V26" s="1566"/>
      <c r="W26" s="1567"/>
      <c r="X26" s="1568"/>
      <c r="Y26" s="3397"/>
      <c r="Z26" s="1148"/>
      <c r="AA26" s="1569">
        <v>1</v>
      </c>
      <c r="AB26" s="1569">
        <v>1</v>
      </c>
      <c r="AC26" s="1569">
        <v>1</v>
      </c>
    </row>
    <row r="27" spans="1:29" s="1218" customFormat="1" ht="41.4">
      <c r="A27" s="576"/>
      <c r="B27" s="2592" t="s">
        <v>2511</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4"/>
      <c r="M27" s="2135"/>
      <c r="N27" s="2135"/>
      <c r="O27" s="2136"/>
      <c r="P27" s="3397"/>
      <c r="Q27" s="2577" t="str">
        <f t="shared" ref="Q27" si="9">B27</f>
        <v>基础设施水平</v>
      </c>
      <c r="R27" s="1566" t="s">
        <v>8</v>
      </c>
      <c r="S27" s="1567">
        <f>F27</f>
        <v>100</v>
      </c>
      <c r="T27" s="1566" t="s">
        <v>8</v>
      </c>
      <c r="U27" s="1567">
        <f>H27</f>
        <v>100</v>
      </c>
      <c r="V27" s="1566" t="s">
        <v>8</v>
      </c>
      <c r="W27" s="1567">
        <f>J27</f>
        <v>100</v>
      </c>
      <c r="X27" s="1568"/>
      <c r="Y27" s="3397"/>
      <c r="Z27" s="2574" t="str">
        <f>Q27</f>
        <v>基础设施水平</v>
      </c>
      <c r="AA27" s="1574">
        <f>D27/F27</f>
        <v>1</v>
      </c>
      <c r="AB27" s="1574">
        <f>D27/H27</f>
        <v>1</v>
      </c>
      <c r="AC27" s="1574">
        <f>D27/J27</f>
        <v>1</v>
      </c>
    </row>
    <row r="28" spans="1:29" s="1218" customFormat="1" ht="15">
      <c r="A28" s="576"/>
      <c r="B28" s="594"/>
      <c r="C28" s="2591"/>
      <c r="D28" s="554"/>
      <c r="E28" s="578"/>
      <c r="F28" s="554"/>
      <c r="G28" s="578"/>
      <c r="H28" s="554"/>
      <c r="I28" s="578"/>
      <c r="J28" s="554"/>
      <c r="K28" s="530"/>
      <c r="L28" s="2134"/>
      <c r="M28" s="2135"/>
      <c r="N28" s="2135"/>
      <c r="O28" s="2136"/>
      <c r="P28" s="3397"/>
      <c r="Q28" s="2577"/>
      <c r="R28" s="1566"/>
      <c r="S28" s="1567"/>
      <c r="T28" s="1566"/>
      <c r="U28" s="1567"/>
      <c r="V28" s="1566"/>
      <c r="W28" s="1567"/>
      <c r="X28" s="1568"/>
      <c r="Y28" s="3397"/>
      <c r="Z28" s="2574"/>
      <c r="AA28" s="1569">
        <v>1</v>
      </c>
      <c r="AB28" s="1569">
        <v>1</v>
      </c>
      <c r="AC28" s="1569">
        <v>1</v>
      </c>
    </row>
    <row r="29" spans="1:29" ht="15">
      <c r="A29" s="531"/>
      <c r="B29" s="594" t="s">
        <v>512</v>
      </c>
      <c r="C29" s="582"/>
      <c r="D29" s="539">
        <v>100</v>
      </c>
      <c r="E29" s="579"/>
      <c r="F29" s="539">
        <f>SUMIF(97:97,E29,98:98)-SUMIF(97:97,C29,98:98)+100</f>
        <v>100</v>
      </c>
      <c r="G29" s="579"/>
      <c r="H29" s="539">
        <f>SUMIF(97:97,G29,98:98)-SUMIF(97:97,C29,98:98)+100</f>
        <v>100</v>
      </c>
      <c r="I29" s="579"/>
      <c r="J29" s="539">
        <f>SUMIF(97:97,I29,98:98)-SUMIF(97:97,C29,98:98)+100</f>
        <v>100</v>
      </c>
      <c r="K29" s="534"/>
      <c r="L29" s="2141"/>
      <c r="M29" s="2133"/>
      <c r="N29" s="2133"/>
      <c r="O29" s="2140"/>
      <c r="P29" s="3397"/>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397"/>
      <c r="Z29" s="1573" t="str">
        <f t="shared" ref="Z29:Z42" si="13">Q29</f>
        <v>临街状况</v>
      </c>
      <c r="AA29" s="1574">
        <f t="shared" si="3"/>
        <v>1</v>
      </c>
      <c r="AB29" s="1574">
        <f t="shared" si="4"/>
        <v>1</v>
      </c>
      <c r="AC29" s="1574">
        <f t="shared" si="5"/>
        <v>1</v>
      </c>
    </row>
    <row r="30" spans="1:29" ht="28.8">
      <c r="A30" s="531"/>
      <c r="B30" s="920" t="s">
        <v>513</v>
      </c>
      <c r="C30" s="2594">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1"/>
      <c r="M30" s="2133"/>
      <c r="N30" s="2133"/>
      <c r="O30" s="2140"/>
      <c r="P30" s="3397"/>
      <c r="Q30" s="1570" t="str">
        <f t="shared" si="8"/>
        <v>毗邻道路的类型与等级</v>
      </c>
      <c r="R30" s="1571" t="s">
        <v>8</v>
      </c>
      <c r="S30" s="1572">
        <f t="shared" si="10"/>
        <v>100</v>
      </c>
      <c r="T30" s="1571" t="s">
        <v>8</v>
      </c>
      <c r="U30" s="1572">
        <f t="shared" si="11"/>
        <v>100</v>
      </c>
      <c r="V30" s="1571" t="s">
        <v>8</v>
      </c>
      <c r="W30" s="1572">
        <f t="shared" si="12"/>
        <v>100</v>
      </c>
      <c r="X30" s="1565"/>
      <c r="Y30" s="3397"/>
      <c r="Z30" s="1573" t="str">
        <f t="shared" si="13"/>
        <v>毗邻道路的类型与等级</v>
      </c>
      <c r="AA30" s="1574">
        <f t="shared" si="3"/>
        <v>1</v>
      </c>
      <c r="AB30" s="1574">
        <f t="shared" si="4"/>
        <v>1</v>
      </c>
      <c r="AC30" s="1574">
        <f t="shared" si="5"/>
        <v>1</v>
      </c>
    </row>
    <row r="31" spans="1:29" ht="15">
      <c r="A31" s="531"/>
      <c r="B31" s="594"/>
      <c r="C31" s="575"/>
      <c r="D31" s="554"/>
      <c r="E31" s="575"/>
      <c r="F31" s="554"/>
      <c r="G31" s="575"/>
      <c r="H31" s="554"/>
      <c r="I31" s="575"/>
      <c r="J31" s="554"/>
      <c r="K31" s="580"/>
      <c r="L31" s="2141"/>
      <c r="M31" s="2133"/>
      <c r="N31" s="2133"/>
      <c r="O31" s="2140"/>
      <c r="P31" s="3397"/>
      <c r="Q31" s="1570"/>
      <c r="R31" s="1571"/>
      <c r="S31" s="1572"/>
      <c r="T31" s="1571"/>
      <c r="U31" s="1572"/>
      <c r="V31" s="1571"/>
      <c r="W31" s="1572"/>
      <c r="X31" s="1565"/>
      <c r="Y31" s="3397"/>
      <c r="Z31" s="1573"/>
      <c r="AA31" s="1574">
        <v>1</v>
      </c>
      <c r="AB31" s="1574">
        <v>1</v>
      </c>
      <c r="AC31" s="1574">
        <v>1</v>
      </c>
    </row>
    <row r="32" spans="1:29" ht="15">
      <c r="A32" s="531"/>
      <c r="B32" s="526" t="s">
        <v>514</v>
      </c>
      <c r="C32" s="2595">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1"/>
      <c r="M32" s="2133"/>
      <c r="N32" s="2133"/>
      <c r="O32" s="2140"/>
      <c r="P32" s="3397"/>
      <c r="Q32" s="1570" t="str">
        <f t="shared" si="8"/>
        <v>土地级别</v>
      </c>
      <c r="R32" s="1571" t="s">
        <v>8</v>
      </c>
      <c r="S32" s="1572">
        <f t="shared" si="10"/>
        <v>100</v>
      </c>
      <c r="T32" s="1571" t="s">
        <v>8</v>
      </c>
      <c r="U32" s="1572">
        <f t="shared" si="11"/>
        <v>100</v>
      </c>
      <c r="V32" s="1571" t="s">
        <v>8</v>
      </c>
      <c r="W32" s="1572">
        <f t="shared" si="12"/>
        <v>100</v>
      </c>
      <c r="X32" s="1565"/>
      <c r="Y32" s="3397"/>
      <c r="Z32" s="1573" t="str">
        <f t="shared" si="13"/>
        <v>土地级别</v>
      </c>
      <c r="AA32" s="1574">
        <f t="shared" si="3"/>
        <v>1</v>
      </c>
      <c r="AB32" s="1574">
        <f t="shared" si="4"/>
        <v>1</v>
      </c>
      <c r="AC32" s="1574">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1"/>
      <c r="M33" s="2133"/>
      <c r="N33" s="2133"/>
      <c r="O33" s="2140"/>
      <c r="P33" s="3397"/>
      <c r="Q33" s="1570">
        <f t="shared" si="8"/>
        <v>111</v>
      </c>
      <c r="R33" s="1571" t="s">
        <v>8</v>
      </c>
      <c r="S33" s="1572">
        <f t="shared" si="10"/>
        <v>100</v>
      </c>
      <c r="T33" s="1571" t="s">
        <v>8</v>
      </c>
      <c r="U33" s="1572">
        <f t="shared" si="11"/>
        <v>100</v>
      </c>
      <c r="V33" s="1571" t="s">
        <v>8</v>
      </c>
      <c r="W33" s="1572">
        <f t="shared" si="12"/>
        <v>100</v>
      </c>
      <c r="X33" s="1565"/>
      <c r="Y33" s="3397"/>
      <c r="Z33" s="1573">
        <f t="shared" si="13"/>
        <v>111</v>
      </c>
      <c r="AA33" s="1574">
        <f t="shared" si="3"/>
        <v>1</v>
      </c>
      <c r="AB33" s="1574">
        <f t="shared" si="4"/>
        <v>1</v>
      </c>
      <c r="AC33" s="1574">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1"/>
      <c r="M34" s="2133"/>
      <c r="N34" s="2133"/>
      <c r="O34" s="2140"/>
      <c r="P34" s="3398" t="s">
        <v>515</v>
      </c>
      <c r="Q34" s="1570">
        <f t="shared" si="8"/>
        <v>111</v>
      </c>
      <c r="R34" s="1571" t="s">
        <v>8</v>
      </c>
      <c r="S34" s="1572">
        <f t="shared" si="10"/>
        <v>100</v>
      </c>
      <c r="T34" s="1571" t="s">
        <v>8</v>
      </c>
      <c r="U34" s="1572">
        <f t="shared" si="11"/>
        <v>100</v>
      </c>
      <c r="V34" s="1571" t="s">
        <v>8</v>
      </c>
      <c r="W34" s="1572">
        <f t="shared" si="12"/>
        <v>100</v>
      </c>
      <c r="X34" s="1565"/>
      <c r="Y34" s="3399" t="s">
        <v>515</v>
      </c>
      <c r="Z34" s="1573">
        <f t="shared" si="13"/>
        <v>111</v>
      </c>
      <c r="AA34" s="1574">
        <f t="shared" si="3"/>
        <v>1</v>
      </c>
      <c r="AB34" s="1574">
        <f t="shared" si="4"/>
        <v>1</v>
      </c>
      <c r="AC34" s="1574">
        <f t="shared" si="5"/>
        <v>1</v>
      </c>
    </row>
    <row r="35" spans="1:29" s="1337" customFormat="1" ht="15.6" thickBot="1">
      <c r="A35" s="588"/>
      <c r="B35" s="2593">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9"/>
      <c r="M35" s="2170"/>
      <c r="N35" s="2170"/>
      <c r="O35" s="2142"/>
      <c r="P35" s="3399"/>
      <c r="Q35" s="1570">
        <f t="shared" si="8"/>
        <v>111</v>
      </c>
      <c r="R35" s="1575" t="s">
        <v>8</v>
      </c>
      <c r="S35" s="1576">
        <f t="shared" si="10"/>
        <v>100</v>
      </c>
      <c r="T35" s="1575" t="s">
        <v>8</v>
      </c>
      <c r="U35" s="1576">
        <f t="shared" si="11"/>
        <v>100</v>
      </c>
      <c r="V35" s="1575" t="s">
        <v>8</v>
      </c>
      <c r="W35" s="1576">
        <f t="shared" si="12"/>
        <v>100</v>
      </c>
      <c r="X35" s="1577"/>
      <c r="Y35" s="3399"/>
      <c r="Z35" s="1578">
        <f t="shared" si="13"/>
        <v>111</v>
      </c>
      <c r="AA35" s="1574">
        <f t="shared" si="3"/>
        <v>1</v>
      </c>
      <c r="AB35" s="1574">
        <f t="shared" si="4"/>
        <v>1</v>
      </c>
      <c r="AC35" s="1574">
        <f t="shared" si="5"/>
        <v>1</v>
      </c>
    </row>
    <row r="36" spans="1:29" ht="15">
      <c r="A36" s="2906" t="s">
        <v>2717</v>
      </c>
      <c r="B36" s="594" t="s">
        <v>517</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1"/>
      <c r="M36" s="2133"/>
      <c r="N36" s="2133"/>
      <c r="O36" s="2140"/>
      <c r="P36" s="3399"/>
      <c r="Q36" s="1570" t="str">
        <f>B36</f>
        <v>宗地面积</v>
      </c>
      <c r="R36" s="1571" t="s">
        <v>8</v>
      </c>
      <c r="S36" s="1572" t="e">
        <f t="shared" si="10"/>
        <v>#N/A</v>
      </c>
      <c r="T36" s="1571" t="s">
        <v>8</v>
      </c>
      <c r="U36" s="1572" t="e">
        <f t="shared" si="11"/>
        <v>#N/A</v>
      </c>
      <c r="V36" s="1571" t="s">
        <v>8</v>
      </c>
      <c r="W36" s="1572" t="e">
        <f t="shared" si="12"/>
        <v>#N/A</v>
      </c>
      <c r="X36" s="1565"/>
      <c r="Y36" s="3399"/>
      <c r="Z36" s="1573" t="str">
        <f t="shared" si="13"/>
        <v>宗地面积</v>
      </c>
      <c r="AA36" s="1574" t="e">
        <f t="shared" si="3"/>
        <v>#N/A</v>
      </c>
      <c r="AB36" s="1574" t="e">
        <f t="shared" si="4"/>
        <v>#N/A</v>
      </c>
      <c r="AC36" s="1574" t="e">
        <f t="shared" si="5"/>
        <v>#N/A</v>
      </c>
    </row>
    <row r="37" spans="1:29" ht="15">
      <c r="A37" s="593"/>
      <c r="B37" s="526" t="s">
        <v>518</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1"/>
      <c r="M37" s="2133"/>
      <c r="N37" s="2133"/>
      <c r="O37" s="2140"/>
      <c r="P37" s="3399"/>
      <c r="Q37" s="1570" t="str">
        <f t="shared" ref="Q37:Q42" si="14">B37</f>
        <v>宗地形状</v>
      </c>
      <c r="R37" s="1571" t="s">
        <v>8</v>
      </c>
      <c r="S37" s="1572">
        <f t="shared" si="10"/>
        <v>100</v>
      </c>
      <c r="T37" s="1571" t="s">
        <v>8</v>
      </c>
      <c r="U37" s="1572">
        <f t="shared" si="11"/>
        <v>100</v>
      </c>
      <c r="V37" s="1571" t="s">
        <v>8</v>
      </c>
      <c r="W37" s="1572">
        <f t="shared" si="12"/>
        <v>100</v>
      </c>
      <c r="X37" s="1565"/>
      <c r="Y37" s="3399"/>
      <c r="Z37" s="1573" t="str">
        <f t="shared" si="13"/>
        <v>宗地形状</v>
      </c>
      <c r="AA37" s="1574">
        <f t="shared" si="3"/>
        <v>1</v>
      </c>
      <c r="AB37" s="1574">
        <f t="shared" si="4"/>
        <v>1</v>
      </c>
      <c r="AC37" s="1574">
        <f t="shared" si="5"/>
        <v>1</v>
      </c>
    </row>
    <row r="38" spans="1:29" s="1218" customFormat="1" ht="15">
      <c r="A38" s="599"/>
      <c r="B38" s="1894" t="s">
        <v>2386</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4"/>
      <c r="M38" s="2135"/>
      <c r="N38" s="2135"/>
      <c r="O38" s="2136"/>
      <c r="P38" s="3399"/>
      <c r="Q38" s="1570" t="str">
        <f t="shared" si="14"/>
        <v>宗地开发程度</v>
      </c>
      <c r="R38" s="1566" t="s">
        <v>8</v>
      </c>
      <c r="S38" s="1567">
        <f t="shared" si="10"/>
        <v>100</v>
      </c>
      <c r="T38" s="1566" t="s">
        <v>8</v>
      </c>
      <c r="U38" s="1567">
        <f t="shared" si="11"/>
        <v>100</v>
      </c>
      <c r="V38" s="1566" t="s">
        <v>8</v>
      </c>
      <c r="W38" s="1567">
        <f t="shared" si="12"/>
        <v>100</v>
      </c>
      <c r="X38" s="1568"/>
      <c r="Y38" s="3399"/>
      <c r="Z38" s="1148" t="str">
        <f t="shared" si="13"/>
        <v>宗地开发程度</v>
      </c>
      <c r="AA38" s="1569">
        <f t="shared" si="3"/>
        <v>1</v>
      </c>
      <c r="AB38" s="1569">
        <f t="shared" si="4"/>
        <v>1</v>
      </c>
      <c r="AC38" s="1569">
        <f t="shared" si="5"/>
        <v>1</v>
      </c>
    </row>
    <row r="39" spans="1:29" ht="15">
      <c r="A39" s="593"/>
      <c r="B39" s="526" t="s">
        <v>520</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1"/>
      <c r="M39" s="2133"/>
      <c r="N39" s="2133"/>
      <c r="O39" s="2140"/>
      <c r="P39" s="3399" t="s">
        <v>566</v>
      </c>
      <c r="Q39" s="1570" t="str">
        <f t="shared" si="14"/>
        <v>工程地质条件</v>
      </c>
      <c r="R39" s="1571" t="s">
        <v>8</v>
      </c>
      <c r="S39" s="1572">
        <f t="shared" si="10"/>
        <v>100</v>
      </c>
      <c r="T39" s="1571" t="s">
        <v>8</v>
      </c>
      <c r="U39" s="1572">
        <f t="shared" si="11"/>
        <v>100</v>
      </c>
      <c r="V39" s="1571" t="s">
        <v>8</v>
      </c>
      <c r="W39" s="1572">
        <f t="shared" si="12"/>
        <v>100</v>
      </c>
      <c r="X39" s="1565"/>
      <c r="Y39" s="3399" t="s">
        <v>566</v>
      </c>
      <c r="Z39" s="1573" t="str">
        <f t="shared" si="13"/>
        <v>工程地质条件</v>
      </c>
      <c r="AA39" s="1574">
        <f t="shared" si="3"/>
        <v>1</v>
      </c>
      <c r="AB39" s="1574">
        <f t="shared" si="4"/>
        <v>1</v>
      </c>
      <c r="AC39" s="1574">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1"/>
      <c r="M40" s="2133"/>
      <c r="N40" s="2133"/>
      <c r="O40" s="2140"/>
      <c r="P40" s="3399"/>
      <c r="Q40" s="1570">
        <f t="shared" si="14"/>
        <v>111</v>
      </c>
      <c r="R40" s="1571" t="s">
        <v>8</v>
      </c>
      <c r="S40" s="1572">
        <f t="shared" si="10"/>
        <v>100</v>
      </c>
      <c r="T40" s="1571" t="s">
        <v>8</v>
      </c>
      <c r="U40" s="1572">
        <f t="shared" si="11"/>
        <v>100</v>
      </c>
      <c r="V40" s="1571" t="s">
        <v>8</v>
      </c>
      <c r="W40" s="1572">
        <f t="shared" si="12"/>
        <v>100</v>
      </c>
      <c r="X40" s="1565"/>
      <c r="Y40" s="3399"/>
      <c r="Z40" s="1573">
        <f t="shared" si="13"/>
        <v>111</v>
      </c>
      <c r="AA40" s="1574">
        <f t="shared" si="3"/>
        <v>1</v>
      </c>
      <c r="AB40" s="1574">
        <f t="shared" si="4"/>
        <v>1</v>
      </c>
      <c r="AC40" s="1574">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1"/>
      <c r="M41" s="2133"/>
      <c r="N41" s="2133"/>
      <c r="O41" s="2140"/>
      <c r="P41" s="3399"/>
      <c r="Q41" s="1570">
        <f t="shared" si="14"/>
        <v>111</v>
      </c>
      <c r="R41" s="1571" t="s">
        <v>8</v>
      </c>
      <c r="S41" s="1572">
        <f t="shared" si="10"/>
        <v>100</v>
      </c>
      <c r="T41" s="1571" t="s">
        <v>8</v>
      </c>
      <c r="U41" s="1572">
        <f t="shared" si="11"/>
        <v>100</v>
      </c>
      <c r="V41" s="1571" t="s">
        <v>8</v>
      </c>
      <c r="W41" s="1572">
        <f t="shared" si="12"/>
        <v>100</v>
      </c>
      <c r="X41" s="1565"/>
      <c r="Y41" s="3399"/>
      <c r="Z41" s="1573">
        <f t="shared" si="13"/>
        <v>111</v>
      </c>
      <c r="AA41" s="1574">
        <f t="shared" si="3"/>
        <v>1</v>
      </c>
      <c r="AB41" s="1574">
        <f t="shared" si="4"/>
        <v>1</v>
      </c>
      <c r="AC41" s="1574">
        <f t="shared" si="5"/>
        <v>1</v>
      </c>
    </row>
    <row r="42" spans="1:29" s="1337"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9"/>
      <c r="M42" s="2170"/>
      <c r="N42" s="2170"/>
      <c r="O42" s="2142"/>
      <c r="P42" s="3399"/>
      <c r="Q42" s="1570">
        <f t="shared" si="14"/>
        <v>111</v>
      </c>
      <c r="R42" s="1575" t="s">
        <v>8</v>
      </c>
      <c r="S42" s="1576">
        <f t="shared" si="10"/>
        <v>100</v>
      </c>
      <c r="T42" s="1575" t="s">
        <v>8</v>
      </c>
      <c r="U42" s="1576">
        <f t="shared" si="11"/>
        <v>100</v>
      </c>
      <c r="V42" s="1575" t="s">
        <v>8</v>
      </c>
      <c r="W42" s="1576">
        <f t="shared" si="12"/>
        <v>100</v>
      </c>
      <c r="X42" s="1577"/>
      <c r="Y42" s="3399"/>
      <c r="Z42" s="1578">
        <f t="shared" si="13"/>
        <v>111</v>
      </c>
      <c r="AA42" s="1574">
        <f t="shared" si="3"/>
        <v>1</v>
      </c>
      <c r="AB42" s="1574">
        <f t="shared" si="4"/>
        <v>1</v>
      </c>
      <c r="AC42" s="1574">
        <f t="shared" si="5"/>
        <v>1</v>
      </c>
    </row>
    <row r="43" spans="1:29" ht="14.4">
      <c r="A43" s="606" t="s">
        <v>521</v>
      </c>
      <c r="B43" s="607" t="s">
        <v>2894</v>
      </c>
      <c r="C43" s="608" t="s">
        <v>1</v>
      </c>
      <c r="D43" s="609"/>
      <c r="E43" s="610"/>
      <c r="F43" s="611"/>
      <c r="G43" s="612"/>
      <c r="H43" s="613"/>
      <c r="I43" s="610"/>
      <c r="J43" s="613"/>
      <c r="K43" s="1338"/>
      <c r="L43" s="2143"/>
      <c r="M43" s="2133"/>
      <c r="N43" s="2133"/>
      <c r="O43" s="2144"/>
      <c r="P43" s="3362" t="str">
        <f>A43</f>
        <v>成交单价</v>
      </c>
      <c r="Q43" s="3362"/>
      <c r="R43" s="3363">
        <f>E43</f>
        <v>0</v>
      </c>
      <c r="S43" s="3363"/>
      <c r="T43" s="3363">
        <f>G43</f>
        <v>0</v>
      </c>
      <c r="U43" s="3363"/>
      <c r="V43" s="3363">
        <f>I43</f>
        <v>0</v>
      </c>
      <c r="W43" s="3363"/>
      <c r="X43" s="1557"/>
      <c r="Y43" s="1579"/>
      <c r="Z43" s="1557"/>
      <c r="AA43" s="1557"/>
      <c r="AB43" s="1557"/>
      <c r="AC43" s="1557"/>
    </row>
    <row r="44" spans="1:29" ht="15" thickBot="1">
      <c r="A44" s="614" t="s">
        <v>2655</v>
      </c>
      <c r="B44" s="615"/>
      <c r="C44" s="616" t="e">
        <f>R45</f>
        <v>#DIV/0!</v>
      </c>
      <c r="D44" s="617"/>
      <c r="E44" s="616" t="e">
        <f>R44</f>
        <v>#DIV/0!</v>
      </c>
      <c r="F44" s="618"/>
      <c r="G44" s="619" t="e">
        <f>T44</f>
        <v>#DIV/0!</v>
      </c>
      <c r="H44" s="617"/>
      <c r="I44" s="616" t="e">
        <f>V44</f>
        <v>#DIV/0!</v>
      </c>
      <c r="J44" s="617"/>
      <c r="K44" s="1339"/>
      <c r="L44" s="2143"/>
      <c r="M44" s="2133"/>
      <c r="N44" s="2133"/>
      <c r="O44" s="2144"/>
      <c r="P44" s="3362" t="str">
        <f>A44</f>
        <v>比较价格（元/平方米）</v>
      </c>
      <c r="Q44" s="3362"/>
      <c r="R44" s="3364" t="e">
        <f>ROUND(PRODUCT(R43,AA9:AA42),0)</f>
        <v>#DIV/0!</v>
      </c>
      <c r="S44" s="3364"/>
      <c r="T44" s="3364" t="e">
        <f>ROUND(PRODUCT(T43,AB9:AB42),0)</f>
        <v>#DIV/0!</v>
      </c>
      <c r="U44" s="3364"/>
      <c r="V44" s="3364" t="e">
        <f>ROUND(PRODUCT(V43,AC9:AC42),0)</f>
        <v>#DIV/0!</v>
      </c>
      <c r="W44" s="3364"/>
      <c r="X44" s="1557"/>
      <c r="Y44" s="1557"/>
      <c r="Z44" s="1557"/>
      <c r="AA44" s="1557"/>
      <c r="AB44" s="1557"/>
      <c r="AC44" s="1557"/>
    </row>
    <row r="45" spans="1:29" ht="15" thickBot="1">
      <c r="A45" s="620" t="s">
        <v>2895</v>
      </c>
      <c r="B45" s="621"/>
      <c r="C45" s="622" t="e">
        <f>R45</f>
        <v>#DIV/0!</v>
      </c>
      <c r="D45" s="622"/>
      <c r="E45" s="622"/>
      <c r="F45" s="622"/>
      <c r="G45" s="622"/>
      <c r="H45" s="622"/>
      <c r="I45" s="622"/>
      <c r="J45" s="622"/>
      <c r="K45" s="1340"/>
      <c r="L45" s="2143"/>
      <c r="M45" s="2133"/>
      <c r="N45" s="2133"/>
      <c r="O45" s="2144"/>
      <c r="P45" s="3359" t="str">
        <f>A45</f>
        <v>估价对象XX用房的比较价格（楼面单价，元/平方米）</v>
      </c>
      <c r="Q45" s="3360"/>
      <c r="R45" s="3361" t="e">
        <f>ROUND(AVERAGE(R44:V44),0)</f>
        <v>#DIV/0!</v>
      </c>
      <c r="S45" s="3361"/>
      <c r="T45" s="3361"/>
      <c r="U45" s="3361"/>
      <c r="V45" s="3361"/>
      <c r="W45" s="3361"/>
      <c r="X45" s="1557"/>
      <c r="Y45" s="1557"/>
      <c r="Z45" s="1557"/>
      <c r="AA45" s="1557"/>
      <c r="AB45" s="1557"/>
      <c r="AC45" s="1557"/>
    </row>
    <row r="46" spans="1:29">
      <c r="A46" s="2144"/>
      <c r="B46" s="2144"/>
      <c r="C46" s="2144"/>
      <c r="D46" s="2144"/>
      <c r="E46" s="2144"/>
      <c r="F46" s="2144"/>
      <c r="G46" s="2147"/>
      <c r="H46" s="2144"/>
      <c r="I46" s="2144"/>
      <c r="J46" s="2144"/>
      <c r="K46" s="2148"/>
      <c r="L46" s="2149"/>
      <c r="M46" s="2133"/>
      <c r="N46" s="2133"/>
      <c r="O46" s="2144"/>
      <c r="P46" s="1557"/>
      <c r="Q46" s="1557"/>
      <c r="R46" s="1557"/>
      <c r="S46" s="1557"/>
      <c r="T46" s="1557"/>
      <c r="U46" s="1557"/>
      <c r="V46" s="1557"/>
      <c r="W46" s="1557"/>
      <c r="X46" s="1557"/>
      <c r="Y46" s="1557"/>
      <c r="Z46" s="1557"/>
      <c r="AA46" s="1557"/>
      <c r="AB46" s="1557"/>
      <c r="AC46" s="1557"/>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3" t="s">
        <v>522</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3" t="s">
        <v>523</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3" customFormat="1" ht="13.5" customHeight="1">
      <c r="A50" s="2145"/>
      <c r="B50" s="2145"/>
      <c r="C50" s="623" t="s">
        <v>524</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3" customFormat="1" ht="14.4"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8.8">
      <c r="A52" s="628" t="s">
        <v>525</v>
      </c>
      <c r="B52" s="629" t="s">
        <v>526</v>
      </c>
      <c r="C52" s="1558" t="s">
        <v>1686</v>
      </c>
      <c r="D52" s="2226" t="s">
        <v>2255</v>
      </c>
      <c r="E52" s="630" t="s">
        <v>527</v>
      </c>
      <c r="F52" s="1950" t="s">
        <v>528</v>
      </c>
      <c r="G52" s="3408" t="s">
        <v>2246</v>
      </c>
      <c r="H52" s="3409"/>
      <c r="I52" s="1951" t="s">
        <v>1909</v>
      </c>
      <c r="J52" s="1553" t="str">
        <f>项目基本情况!F41</f>
        <v>三亚</v>
      </c>
      <c r="K52" s="2153" t="s">
        <v>1685</v>
      </c>
      <c r="L52" s="2149"/>
      <c r="M52" s="2144"/>
      <c r="N52" s="2144"/>
      <c r="O52" s="2144"/>
      <c r="P52" s="2144"/>
      <c r="Q52" s="2144"/>
      <c r="R52" s="2144"/>
      <c r="S52" s="2144"/>
      <c r="T52" s="2144"/>
      <c r="U52" s="2144"/>
      <c r="V52" s="2144"/>
      <c r="W52" s="2144"/>
      <c r="X52" s="2144"/>
      <c r="Y52" s="2144"/>
      <c r="Z52" s="2144"/>
      <c r="AA52" s="2144"/>
      <c r="AB52" s="2144"/>
      <c r="AC52" s="2144"/>
    </row>
    <row r="53" spans="1:29" s="1344" customFormat="1" ht="13.2">
      <c r="A53" s="632" t="s">
        <v>529</v>
      </c>
      <c r="B53" s="633" t="e">
        <f>C45</f>
        <v>#DIV/0!</v>
      </c>
      <c r="C53" s="634">
        <v>1</v>
      </c>
      <c r="D53" s="2227">
        <v>1</v>
      </c>
      <c r="E53" s="634">
        <f>'数据-汇总表'!E8+'数据-汇总表'!E9</f>
        <v>8808.89</v>
      </c>
      <c r="F53" s="1949" t="e">
        <f t="shared" ref="F53:F62" si="15">ROUND(B53*E53/10000,0)</f>
        <v>#DIV/0!</v>
      </c>
      <c r="G53" s="3410"/>
      <c r="H53" s="3411"/>
      <c r="I53" s="1952">
        <v>1</v>
      </c>
      <c r="J53" s="1554">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4" customFormat="1" ht="13.2">
      <c r="A54" s="636" t="s">
        <v>530</v>
      </c>
      <c r="B54" s="637" t="e">
        <f>ROUND($C$45*C54*D54,0)</f>
        <v>#DIV/0!</v>
      </c>
      <c r="C54" s="377">
        <f t="shared" ref="C54:C62" si="16">IF($C$52="北京市系数",I54,J54)</f>
        <v>0</v>
      </c>
      <c r="D54" s="2228">
        <v>0.25</v>
      </c>
      <c r="E54" s="638"/>
      <c r="F54" s="1949" t="e">
        <f t="shared" si="15"/>
        <v>#DIV/0!</v>
      </c>
      <c r="G54" s="3412" t="s">
        <v>2247</v>
      </c>
      <c r="H54" s="1953">
        <f>项目基本情况!B43</f>
        <v>0</v>
      </c>
      <c r="I54" s="1952">
        <f>SUMIF(修正!$A$45:$A$56,H54,修正!B45:B56)</f>
        <v>0</v>
      </c>
      <c r="J54" s="1556"/>
      <c r="K54" s="2154"/>
      <c r="L54" s="2154"/>
      <c r="M54" s="2154"/>
      <c r="N54" s="2154"/>
      <c r="O54" s="2154"/>
      <c r="P54" s="2154"/>
      <c r="Q54" s="2154"/>
      <c r="R54" s="2154"/>
      <c r="S54" s="2154"/>
      <c r="T54" s="2154"/>
      <c r="U54" s="2154"/>
      <c r="V54" s="2154"/>
      <c r="W54" s="2154"/>
      <c r="X54" s="2154"/>
      <c r="Y54" s="2154"/>
      <c r="Z54" s="2154"/>
      <c r="AA54" s="2154"/>
      <c r="AB54" s="2154"/>
      <c r="AC54" s="2154"/>
    </row>
    <row r="55" spans="1:29" s="1344" customFormat="1" ht="13.2">
      <c r="A55" s="636" t="s">
        <v>531</v>
      </c>
      <c r="B55" s="637" t="e">
        <f t="shared" ref="B55:B62" si="17">ROUND($C$45*C55*D55,0)</f>
        <v>#DIV/0!</v>
      </c>
      <c r="C55" s="377">
        <f t="shared" si="16"/>
        <v>0</v>
      </c>
      <c r="D55" s="2228">
        <v>0.25</v>
      </c>
      <c r="E55" s="638"/>
      <c r="F55" s="1949" t="e">
        <f t="shared" si="15"/>
        <v>#DIV/0!</v>
      </c>
      <c r="G55" s="3412"/>
      <c r="H55" s="1954">
        <f>项目基本情况!B43</f>
        <v>0</v>
      </c>
      <c r="I55" s="1952">
        <f>SUMIF(修正!$A$45:$A$56,H55,修正!C45:C56)</f>
        <v>0</v>
      </c>
      <c r="J55" s="1556"/>
      <c r="K55" s="2154"/>
      <c r="L55" s="2154"/>
      <c r="M55" s="2154"/>
      <c r="N55" s="2154"/>
      <c r="O55" s="2154"/>
      <c r="P55" s="2154"/>
      <c r="Q55" s="2154"/>
      <c r="R55" s="2154"/>
      <c r="S55" s="2154"/>
      <c r="T55" s="2154"/>
      <c r="U55" s="2154"/>
      <c r="V55" s="2154"/>
      <c r="W55" s="2154"/>
      <c r="X55" s="2154"/>
      <c r="Y55" s="2154"/>
      <c r="Z55" s="2154"/>
      <c r="AA55" s="2154"/>
      <c r="AB55" s="2154"/>
      <c r="AC55" s="2154"/>
    </row>
    <row r="56" spans="1:29" s="1344" customFormat="1" ht="13.2">
      <c r="A56" s="636" t="s">
        <v>532</v>
      </c>
      <c r="B56" s="637" t="e">
        <f t="shared" si="17"/>
        <v>#DIV/0!</v>
      </c>
      <c r="C56" s="377">
        <f t="shared" si="16"/>
        <v>0</v>
      </c>
      <c r="D56" s="2228">
        <v>0.25</v>
      </c>
      <c r="E56" s="638"/>
      <c r="F56" s="1949" t="e">
        <f t="shared" si="15"/>
        <v>#DIV/0!</v>
      </c>
      <c r="G56" s="3412"/>
      <c r="H56" s="1954">
        <f>项目基本情况!B43</f>
        <v>0</v>
      </c>
      <c r="I56" s="1952">
        <f>SUMIF(修正!$A$45:$A$56,H56,修正!D45:D56)</f>
        <v>0</v>
      </c>
      <c r="J56" s="1556"/>
      <c r="K56" s="2154"/>
      <c r="L56" s="2154"/>
      <c r="M56" s="2154"/>
      <c r="N56" s="2154"/>
      <c r="O56" s="2154"/>
      <c r="P56" s="2154"/>
      <c r="Q56" s="2154"/>
      <c r="R56" s="2154"/>
      <c r="S56" s="2154"/>
      <c r="T56" s="2154"/>
      <c r="U56" s="2154"/>
      <c r="V56" s="2154"/>
      <c r="W56" s="2154"/>
      <c r="X56" s="2154"/>
      <c r="Y56" s="2154"/>
      <c r="Z56" s="2154"/>
      <c r="AA56" s="2154"/>
      <c r="AB56" s="2154"/>
      <c r="AC56" s="2154"/>
    </row>
    <row r="57" spans="1:29" s="1344" customFormat="1" ht="13.2">
      <c r="A57" s="636" t="s">
        <v>533</v>
      </c>
      <c r="B57" s="637" t="e">
        <f t="shared" si="17"/>
        <v>#DIV/0!</v>
      </c>
      <c r="C57" s="377">
        <f t="shared" si="16"/>
        <v>0</v>
      </c>
      <c r="D57" s="2228">
        <v>0.25</v>
      </c>
      <c r="E57" s="638"/>
      <c r="F57" s="1949" t="e">
        <f t="shared" si="15"/>
        <v>#DIV/0!</v>
      </c>
      <c r="G57" s="3412"/>
      <c r="H57" s="1954">
        <f>项目基本情况!B43</f>
        <v>0</v>
      </c>
      <c r="I57" s="1952">
        <f>SUMIF(修正!$A$45:$A$56,H57,修正!E45:E56)</f>
        <v>0</v>
      </c>
      <c r="J57" s="1556"/>
      <c r="K57" s="2154"/>
      <c r="L57" s="2154"/>
      <c r="M57" s="2154"/>
      <c r="N57" s="2154"/>
      <c r="O57" s="2154"/>
      <c r="P57" s="2154"/>
      <c r="Q57" s="2154"/>
      <c r="R57" s="2154"/>
      <c r="S57" s="2154"/>
      <c r="T57" s="2154"/>
      <c r="U57" s="2154"/>
      <c r="V57" s="2154"/>
      <c r="W57" s="2154"/>
      <c r="X57" s="2154"/>
      <c r="Y57" s="2154"/>
      <c r="Z57" s="2154"/>
      <c r="AA57" s="2154"/>
      <c r="AB57" s="2154"/>
      <c r="AC57" s="2154"/>
    </row>
    <row r="58" spans="1:29" s="1344" customFormat="1" ht="13.2">
      <c r="A58" s="2330" t="s">
        <v>2290</v>
      </c>
      <c r="B58" s="637" t="e">
        <f t="shared" si="17"/>
        <v>#DIV/0!</v>
      </c>
      <c r="C58" s="377">
        <f t="shared" si="16"/>
        <v>0</v>
      </c>
      <c r="D58" s="2228">
        <v>0.25</v>
      </c>
      <c r="E58" s="640">
        <f>'数据-汇总表'!E11</f>
        <v>0</v>
      </c>
      <c r="F58" s="1949" t="e">
        <f t="shared" si="15"/>
        <v>#DIV/0!</v>
      </c>
      <c r="G58" s="1955" t="s">
        <v>2248</v>
      </c>
      <c r="H58" s="1954">
        <f>项目基本情况!C43</f>
        <v>0</v>
      </c>
      <c r="I58" s="1952">
        <f>SUMIF(修正!$A$45:$A$56,H58,修正!F45:F56)</f>
        <v>0</v>
      </c>
      <c r="J58" s="1556"/>
      <c r="K58" s="2154"/>
      <c r="L58" s="2154"/>
      <c r="M58" s="2154"/>
      <c r="N58" s="2154"/>
      <c r="O58" s="2154"/>
      <c r="P58" s="2154"/>
      <c r="Q58" s="2154"/>
      <c r="R58" s="2154"/>
      <c r="S58" s="2154"/>
      <c r="T58" s="2154"/>
      <c r="U58" s="2154"/>
      <c r="V58" s="2154"/>
      <c r="W58" s="2154"/>
      <c r="X58" s="2154"/>
      <c r="Y58" s="2154"/>
      <c r="Z58" s="2154"/>
      <c r="AA58" s="2154"/>
      <c r="AB58" s="2154"/>
      <c r="AC58" s="2154"/>
    </row>
    <row r="59" spans="1:29" s="1344" customFormat="1" ht="13.2">
      <c r="A59" s="636" t="s">
        <v>534</v>
      </c>
      <c r="B59" s="637" t="e">
        <f t="shared" si="17"/>
        <v>#DIV/0!</v>
      </c>
      <c r="C59" s="377">
        <f t="shared" si="16"/>
        <v>0</v>
      </c>
      <c r="D59" s="2228">
        <v>0.25</v>
      </c>
      <c r="E59" s="640">
        <f>'数据-汇总表'!E12</f>
        <v>0</v>
      </c>
      <c r="F59" s="1949" t="e">
        <f t="shared" si="15"/>
        <v>#DIV/0!</v>
      </c>
      <c r="G59" s="1945" t="s">
        <v>1642</v>
      </c>
      <c r="H59" s="1953">
        <f>IF(G59="商业",项目基本情况!B43,IF(G59="办公",项目基本情况!C43,IF(G59="住宅",项目基本情况!D43,项目基本情况!E43)))</f>
        <v>0</v>
      </c>
      <c r="I59" s="1952">
        <f>SUMIF(修正!$A$45:$A$56,H59,修正!G45:G56)</f>
        <v>0</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4" customFormat="1" ht="13.2">
      <c r="A60" s="636" t="s">
        <v>535</v>
      </c>
      <c r="B60" s="637" t="e">
        <f t="shared" si="17"/>
        <v>#DIV/0!</v>
      </c>
      <c r="C60" s="377">
        <f t="shared" si="16"/>
        <v>0</v>
      </c>
      <c r="D60" s="2228">
        <v>0.25</v>
      </c>
      <c r="E60" s="640">
        <f>'数据-汇总表'!E13</f>
        <v>0</v>
      </c>
      <c r="F60" s="1949" t="e">
        <f t="shared" si="15"/>
        <v>#DIV/0!</v>
      </c>
      <c r="G60" s="1945" t="s">
        <v>888</v>
      </c>
      <c r="H60" s="1953">
        <f>IF(G60="商业",项目基本情况!B43,IF(G60="办公",项目基本情况!C43,IF(G60="住宅",项目基本情况!D43,项目基本情况!E43)))</f>
        <v>0</v>
      </c>
      <c r="I60" s="1952">
        <f>SUMIF(修正!$A$45:$A$56,H60,修正!H45:H56)</f>
        <v>0</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4" customFormat="1" ht="13.2">
      <c r="A61" s="636" t="s">
        <v>536</v>
      </c>
      <c r="B61" s="637" t="e">
        <f t="shared" si="17"/>
        <v>#DIV/0!</v>
      </c>
      <c r="C61" s="377">
        <f t="shared" si="16"/>
        <v>0</v>
      </c>
      <c r="D61" s="2228">
        <v>0.25</v>
      </c>
      <c r="E61" s="640">
        <f>'数据-汇总表'!E14</f>
        <v>0</v>
      </c>
      <c r="F61" s="1949" t="e">
        <f t="shared" si="15"/>
        <v>#DIV/0!</v>
      </c>
      <c r="G61" s="1955" t="s">
        <v>2247</v>
      </c>
      <c r="H61" s="1954">
        <f>项目基本情况!B43</f>
        <v>0</v>
      </c>
      <c r="I61" s="1952">
        <f>SUMIF(修正!$A$45:$A$56,H61,修正!H45:H56)</f>
        <v>0</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4" customFormat="1" thickBot="1">
      <c r="A62" s="636" t="s">
        <v>537</v>
      </c>
      <c r="B62" s="637" t="e">
        <f t="shared" si="17"/>
        <v>#DIV/0!</v>
      </c>
      <c r="C62" s="377">
        <f t="shared" si="16"/>
        <v>0</v>
      </c>
      <c r="D62" s="2228">
        <v>0.25</v>
      </c>
      <c r="E62" s="640">
        <f>'数据-汇总表'!E15</f>
        <v>0</v>
      </c>
      <c r="F62" s="1949" t="e">
        <f t="shared" si="15"/>
        <v>#DIV/0!</v>
      </c>
      <c r="G62" s="1956" t="s">
        <v>2248</v>
      </c>
      <c r="H62" s="1957">
        <f>项目基本情况!C43</f>
        <v>0</v>
      </c>
      <c r="I62" s="1952">
        <f>SUMIF(修正!$A$45:$A$56,H62,修正!H45:H56)</f>
        <v>0</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4" customFormat="1" thickBot="1">
      <c r="A63" s="641" t="s">
        <v>538</v>
      </c>
      <c r="B63" s="642" t="s">
        <v>16</v>
      </c>
      <c r="C63" s="642" t="s">
        <v>17</v>
      </c>
      <c r="D63" s="642" t="s">
        <v>2256</v>
      </c>
      <c r="E63" s="642">
        <f>IF(B43="楼面地价",SUM(E53:E62),'数据-汇总表'!D3)</f>
        <v>7409.7</v>
      </c>
      <c r="F63" s="643"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2018-12-1</v>
      </c>
      <c r="D65" s="2798">
        <f>EDATE(C65,-3)</f>
        <v>43344</v>
      </c>
      <c r="E65" s="2798">
        <f t="shared" ref="E65:N65" si="18">EDATE(D65,-3)</f>
        <v>43252</v>
      </c>
      <c r="F65" s="2798">
        <f t="shared" si="18"/>
        <v>43160</v>
      </c>
      <c r="G65" s="2798">
        <f t="shared" si="18"/>
        <v>43070</v>
      </c>
      <c r="H65" s="2798">
        <f t="shared" si="18"/>
        <v>42979</v>
      </c>
      <c r="I65" s="2798">
        <f t="shared" si="18"/>
        <v>42887</v>
      </c>
      <c r="J65" s="2798">
        <f t="shared" si="18"/>
        <v>42795</v>
      </c>
      <c r="K65" s="2798">
        <f t="shared" si="18"/>
        <v>42705</v>
      </c>
      <c r="L65" s="2798">
        <f t="shared" si="18"/>
        <v>42614</v>
      </c>
      <c r="M65" s="2798">
        <f t="shared" si="18"/>
        <v>42522</v>
      </c>
      <c r="N65" s="2798">
        <f t="shared" si="18"/>
        <v>42430</v>
      </c>
      <c r="O65" s="2144"/>
      <c r="P65" s="2144"/>
      <c r="Q65" s="2144"/>
      <c r="R65" s="2144"/>
      <c r="S65" s="2144"/>
      <c r="T65" s="2144"/>
      <c r="U65" s="2144"/>
      <c r="V65" s="2144"/>
      <c r="W65" s="2144"/>
      <c r="X65" s="2144"/>
      <c r="Y65" s="2144"/>
      <c r="Z65" s="2144"/>
      <c r="AA65" s="2144"/>
      <c r="AB65" s="2144"/>
      <c r="AC65" s="2144"/>
    </row>
    <row r="66" spans="1:29" ht="22.2" thickBot="1">
      <c r="A66" s="1582" t="s">
        <v>539</v>
      </c>
      <c r="B66" s="1557"/>
      <c r="C66" s="1581"/>
      <c r="D66" s="1581"/>
      <c r="E66" s="1581"/>
      <c r="F66" s="1583"/>
      <c r="G66" s="1583"/>
      <c r="H66" s="1581"/>
      <c r="I66" s="1581"/>
      <c r="J66" s="1581"/>
      <c r="K66" s="1584"/>
      <c r="L66" s="1580"/>
      <c r="M66" s="1581"/>
      <c r="N66" s="1581"/>
      <c r="O66" s="2156"/>
      <c r="P66" s="2156"/>
      <c r="Q66" s="2157"/>
      <c r="R66" s="2144"/>
      <c r="S66" s="2144"/>
      <c r="T66" s="2144"/>
      <c r="U66" s="2144"/>
      <c r="V66" s="2144"/>
      <c r="W66" s="2144"/>
      <c r="X66" s="2144"/>
      <c r="Y66" s="2144"/>
      <c r="Z66" s="2144"/>
      <c r="AA66" s="2144"/>
      <c r="AB66" s="2144"/>
      <c r="AC66" s="2144"/>
    </row>
    <row r="67" spans="1:29" s="1345" customFormat="1" ht="14.4">
      <c r="A67" s="2567" t="s">
        <v>2495</v>
      </c>
      <c r="B67" s="645"/>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18" customFormat="1" ht="27.75" customHeight="1">
      <c r="A68" s="2797" t="s">
        <v>2611</v>
      </c>
      <c r="B68" s="478" t="str">
        <f>"北京市平均增长率"&amp;TEXT(基准地价!P24,"0.00%")</f>
        <v>北京市平均增长率0.00%</v>
      </c>
      <c r="C68" s="892">
        <v>100</v>
      </c>
      <c r="D68" s="729"/>
      <c r="E68" s="729"/>
      <c r="F68" s="729"/>
      <c r="G68" s="729"/>
      <c r="H68" s="729"/>
      <c r="I68" s="729"/>
      <c r="J68" s="729"/>
      <c r="K68" s="729"/>
      <c r="L68" s="729"/>
      <c r="M68" s="2791"/>
      <c r="N68" s="2792"/>
      <c r="O68" s="2161"/>
      <c r="P68" s="2157"/>
      <c r="Q68" s="1992"/>
      <c r="R68" s="1992"/>
      <c r="S68" s="1992"/>
      <c r="T68" s="1992"/>
      <c r="U68" s="1992"/>
      <c r="V68" s="1992"/>
      <c r="W68" s="1992"/>
      <c r="X68" s="1992"/>
      <c r="Y68" s="1992"/>
      <c r="Z68" s="1992"/>
      <c r="AA68" s="1992"/>
      <c r="AB68" s="1992"/>
      <c r="AC68" s="1992"/>
    </row>
    <row r="69" spans="1:29" s="1218" customFormat="1" ht="15" thickBot="1">
      <c r="A69" s="652" t="s">
        <v>540</v>
      </c>
      <c r="B69" s="653"/>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18" customFormat="1" ht="14.4">
      <c r="A70" s="658" t="s">
        <v>496</v>
      </c>
      <c r="B70" s="647"/>
      <c r="C70" s="659" t="s">
        <v>541</v>
      </c>
      <c r="D70" s="660"/>
      <c r="E70" s="660"/>
      <c r="F70" s="660"/>
      <c r="G70" s="660"/>
      <c r="H70" s="660"/>
      <c r="I70" s="660"/>
      <c r="J70" s="660"/>
      <c r="K70" s="660"/>
      <c r="L70" s="661"/>
      <c r="M70" s="662"/>
      <c r="N70" s="2161"/>
      <c r="O70" s="2161"/>
      <c r="P70" s="2162"/>
      <c r="Q70" s="2157"/>
      <c r="R70" s="1992"/>
      <c r="S70" s="1992"/>
      <c r="T70" s="1992"/>
      <c r="U70" s="1992"/>
      <c r="V70" s="1992"/>
      <c r="W70" s="1992"/>
      <c r="X70" s="1992"/>
      <c r="Y70" s="1992"/>
      <c r="Z70" s="1992"/>
      <c r="AA70" s="1992"/>
      <c r="AB70" s="1992"/>
      <c r="AC70" s="1992"/>
    </row>
    <row r="71" spans="1:29" s="1218" customFormat="1" ht="14.4" thickBot="1">
      <c r="A71" s="658"/>
      <c r="B71" s="647"/>
      <c r="C71" s="648">
        <v>100</v>
      </c>
      <c r="D71" s="649"/>
      <c r="E71" s="649"/>
      <c r="F71" s="649"/>
      <c r="G71" s="649"/>
      <c r="H71" s="649"/>
      <c r="I71" s="649"/>
      <c r="J71" s="649"/>
      <c r="K71" s="649"/>
      <c r="L71" s="649"/>
      <c r="M71" s="651"/>
      <c r="N71" s="2161"/>
      <c r="O71" s="2161"/>
      <c r="P71" s="2157"/>
      <c r="Q71" s="2157"/>
      <c r="R71" s="1992"/>
      <c r="S71" s="1992"/>
      <c r="T71" s="1992"/>
      <c r="U71" s="1992"/>
      <c r="V71" s="1992"/>
      <c r="W71" s="1992"/>
      <c r="X71" s="1992"/>
      <c r="Y71" s="1992"/>
      <c r="Z71" s="1992"/>
      <c r="AA71" s="1992"/>
      <c r="AB71" s="1992"/>
      <c r="AC71" s="1992"/>
    </row>
    <row r="72" spans="1:29" ht="14.4">
      <c r="A72" s="663" t="s">
        <v>542</v>
      </c>
      <c r="B72" s="664" t="s">
        <v>499</v>
      </c>
      <c r="C72" s="597"/>
      <c r="D72" s="597"/>
      <c r="E72" s="597"/>
      <c r="F72" s="597"/>
      <c r="G72" s="597"/>
      <c r="H72" s="597"/>
      <c r="I72" s="597"/>
      <c r="J72" s="597"/>
      <c r="K72" s="665"/>
      <c r="L72" s="666"/>
      <c r="M72" s="667"/>
      <c r="N72" s="2163"/>
      <c r="O72" s="2163"/>
      <c r="P72" s="2164"/>
      <c r="Q72" s="2157"/>
      <c r="R72" s="2144"/>
      <c r="S72" s="2144"/>
      <c r="T72" s="2144"/>
      <c r="U72" s="2144"/>
      <c r="V72" s="2144"/>
      <c r="W72" s="2144"/>
      <c r="X72" s="2144"/>
      <c r="Y72" s="2144"/>
      <c r="Z72" s="2144"/>
      <c r="AA72" s="2144"/>
      <c r="AB72" s="2144"/>
      <c r="AC72" s="2144"/>
    </row>
    <row r="73" spans="1:29" ht="14.4" thickBot="1">
      <c r="A73" s="668"/>
      <c r="B73" s="669"/>
      <c r="C73" s="670"/>
      <c r="D73" s="670"/>
      <c r="E73" s="670"/>
      <c r="F73" s="670"/>
      <c r="G73" s="670"/>
      <c r="H73" s="670"/>
      <c r="I73" s="670"/>
      <c r="J73" s="670"/>
      <c r="K73" s="670"/>
      <c r="L73" s="670"/>
      <c r="M73" s="671"/>
      <c r="N73" s="2165"/>
      <c r="O73" s="2165"/>
      <c r="P73" s="2164"/>
      <c r="Q73" s="2157"/>
      <c r="R73" s="2144"/>
      <c r="S73" s="2144"/>
      <c r="T73" s="2144"/>
      <c r="U73" s="2144"/>
      <c r="V73" s="2144"/>
      <c r="W73" s="2144"/>
      <c r="X73" s="2144"/>
      <c r="Y73" s="2144"/>
      <c r="Z73" s="2144"/>
      <c r="AA73" s="2144"/>
      <c r="AB73" s="2144"/>
      <c r="AC73" s="2144"/>
    </row>
    <row r="74" spans="1:29" ht="29.4" thickTop="1">
      <c r="A74" s="668"/>
      <c r="B74" s="672" t="s">
        <v>502</v>
      </c>
      <c r="C74" s="673"/>
      <c r="D74" s="673"/>
      <c r="E74" s="673"/>
      <c r="F74" s="673"/>
      <c r="G74" s="673"/>
      <c r="H74" s="673"/>
      <c r="I74" s="673"/>
      <c r="J74" s="673"/>
      <c r="K74" s="674"/>
      <c r="L74" s="675"/>
      <c r="M74" s="676"/>
      <c r="N74" s="2163"/>
      <c r="O74" s="2163"/>
      <c r="P74" s="2164"/>
      <c r="Q74" s="2157"/>
      <c r="R74" s="2144"/>
      <c r="S74" s="2144"/>
      <c r="T74" s="2144"/>
      <c r="U74" s="2144"/>
      <c r="V74" s="2144"/>
      <c r="W74" s="2144"/>
      <c r="X74" s="2144"/>
      <c r="Y74" s="2144"/>
      <c r="Z74" s="2144"/>
      <c r="AA74" s="2144"/>
      <c r="AB74" s="2144"/>
      <c r="AC74" s="2144"/>
    </row>
    <row r="75" spans="1:29" ht="14.4" thickBot="1">
      <c r="A75" s="668"/>
      <c r="B75" s="677"/>
      <c r="C75" s="678"/>
      <c r="D75" s="678"/>
      <c r="E75" s="678"/>
      <c r="F75" s="678"/>
      <c r="G75" s="678"/>
      <c r="H75" s="678"/>
      <c r="I75" s="678"/>
      <c r="J75" s="678"/>
      <c r="K75" s="678"/>
      <c r="L75" s="678"/>
      <c r="M75" s="679"/>
      <c r="N75" s="2165"/>
      <c r="O75" s="2165"/>
      <c r="P75" s="2164"/>
      <c r="Q75" s="2157"/>
      <c r="R75" s="2144"/>
      <c r="S75" s="2144"/>
      <c r="T75" s="2144"/>
      <c r="U75" s="2144"/>
      <c r="V75" s="2144"/>
      <c r="W75" s="2144"/>
      <c r="X75" s="2144"/>
      <c r="Y75" s="2144"/>
      <c r="Z75" s="2144"/>
      <c r="AA75" s="2144"/>
      <c r="AB75" s="2144"/>
      <c r="AC75" s="2144"/>
    </row>
    <row r="76" spans="1:29" ht="15" thickTop="1">
      <c r="A76" s="668"/>
      <c r="B76" s="680" t="s">
        <v>503</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5"/>
      <c r="O76" s="2165"/>
      <c r="P76" s="2164"/>
      <c r="Q76" s="2157"/>
      <c r="R76" s="2144"/>
      <c r="S76" s="2144"/>
      <c r="T76" s="2144"/>
      <c r="U76" s="2144"/>
      <c r="V76" s="2144"/>
      <c r="W76" s="2144"/>
      <c r="X76" s="2144"/>
      <c r="Y76" s="2144"/>
      <c r="Z76" s="2144"/>
      <c r="AA76" s="2144"/>
      <c r="AB76" s="2144"/>
      <c r="AC76" s="2144"/>
    </row>
    <row r="77" spans="1:29">
      <c r="A77" s="668"/>
      <c r="B77" s="682"/>
      <c r="C77" s="540"/>
      <c r="D77" s="540"/>
      <c r="E77" s="540"/>
      <c r="F77" s="540"/>
      <c r="G77" s="540"/>
      <c r="H77" s="540"/>
      <c r="I77" s="540"/>
      <c r="J77" s="540"/>
      <c r="K77" s="683"/>
      <c r="L77" s="684"/>
      <c r="M77" s="685"/>
      <c r="N77" s="2163"/>
      <c r="O77" s="2163"/>
      <c r="P77" s="2164"/>
      <c r="Q77" s="2157"/>
      <c r="R77" s="2144"/>
      <c r="S77" s="2144"/>
      <c r="T77" s="2144"/>
      <c r="U77" s="2144"/>
      <c r="V77" s="2144"/>
      <c r="W77" s="2144"/>
      <c r="X77" s="2144"/>
      <c r="Y77" s="2144"/>
      <c r="Z77" s="2144"/>
      <c r="AA77" s="2144"/>
      <c r="AB77" s="2144"/>
      <c r="AC77" s="2144"/>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5"/>
      <c r="O78" s="2165"/>
      <c r="P78" s="2164"/>
      <c r="Q78" s="2157"/>
      <c r="R78" s="2144"/>
      <c r="S78" s="2144"/>
      <c r="T78" s="2144"/>
      <c r="U78" s="2144"/>
      <c r="V78" s="2144"/>
      <c r="W78" s="2144"/>
      <c r="X78" s="2144"/>
      <c r="Y78" s="2144"/>
      <c r="Z78" s="2144"/>
      <c r="AA78" s="2144"/>
      <c r="AB78" s="2144"/>
      <c r="AC78" s="2144"/>
    </row>
    <row r="79" spans="1:29" s="1337" customFormat="1" ht="14.4" thickTop="1">
      <c r="A79" s="686"/>
      <c r="B79" s="672">
        <f>B14</f>
        <v>111</v>
      </c>
      <c r="C79" s="687"/>
      <c r="D79" s="687"/>
      <c r="E79" s="687"/>
      <c r="F79" s="687"/>
      <c r="G79" s="687"/>
      <c r="H79" s="688"/>
      <c r="I79" s="688"/>
      <c r="J79" s="688"/>
      <c r="K79" s="688"/>
      <c r="L79" s="689"/>
      <c r="M79" s="690"/>
      <c r="N79" s="2166"/>
      <c r="O79" s="2166"/>
      <c r="P79" s="2167"/>
      <c r="Q79" s="2168"/>
      <c r="R79" s="2169"/>
      <c r="S79" s="2169"/>
      <c r="T79" s="2169"/>
      <c r="U79" s="2169"/>
      <c r="V79" s="2169"/>
      <c r="W79" s="2169"/>
      <c r="X79" s="2169"/>
      <c r="Y79" s="2169"/>
      <c r="Z79" s="2169"/>
      <c r="AA79" s="2169"/>
      <c r="AB79" s="2169"/>
      <c r="AC79" s="2169"/>
    </row>
    <row r="80" spans="1:29" s="1337" customFormat="1" ht="14.4" thickBot="1">
      <c r="A80" s="686"/>
      <c r="B80" s="677"/>
      <c r="C80" s="691"/>
      <c r="D80" s="670"/>
      <c r="E80" s="670"/>
      <c r="F80" s="670"/>
      <c r="G80" s="670"/>
      <c r="H80" s="670"/>
      <c r="I80" s="670"/>
      <c r="J80" s="670"/>
      <c r="K80" s="670"/>
      <c r="L80" s="670"/>
      <c r="M80" s="671"/>
      <c r="N80" s="2165"/>
      <c r="O80" s="2165"/>
      <c r="P80" s="2167"/>
      <c r="Q80" s="2168"/>
      <c r="R80" s="2169"/>
      <c r="S80" s="2169"/>
      <c r="T80" s="2169"/>
      <c r="U80" s="2169"/>
      <c r="V80" s="2169"/>
      <c r="W80" s="2169"/>
      <c r="X80" s="2169"/>
      <c r="Y80" s="2169"/>
      <c r="Z80" s="2169"/>
      <c r="AA80" s="2169"/>
      <c r="AB80" s="2169"/>
      <c r="AC80" s="2169"/>
    </row>
    <row r="81" spans="1:29" s="1337" customFormat="1" ht="14.4" thickTop="1">
      <c r="A81" s="686"/>
      <c r="B81" s="672">
        <f>B15</f>
        <v>111</v>
      </c>
      <c r="C81" s="687"/>
      <c r="D81" s="687"/>
      <c r="E81" s="687"/>
      <c r="F81" s="687"/>
      <c r="G81" s="687"/>
      <c r="H81" s="688"/>
      <c r="I81" s="688"/>
      <c r="J81" s="688"/>
      <c r="K81" s="688"/>
      <c r="L81" s="689"/>
      <c r="M81" s="690"/>
      <c r="N81" s="2166"/>
      <c r="O81" s="2166"/>
      <c r="P81" s="2170"/>
      <c r="Q81" s="2171"/>
      <c r="R81" s="2169"/>
      <c r="S81" s="2169"/>
      <c r="T81" s="2169"/>
      <c r="U81" s="2169"/>
      <c r="V81" s="2169"/>
      <c r="W81" s="2169"/>
      <c r="X81" s="2169"/>
      <c r="Y81" s="2169"/>
      <c r="Z81" s="2169"/>
      <c r="AA81" s="2169"/>
      <c r="AB81" s="2169"/>
      <c r="AC81" s="2169"/>
    </row>
    <row r="82" spans="1:29" s="1337" customFormat="1" ht="14.4" thickBot="1">
      <c r="A82" s="686"/>
      <c r="B82" s="677"/>
      <c r="C82" s="691"/>
      <c r="D82" s="691"/>
      <c r="E82" s="691"/>
      <c r="F82" s="691"/>
      <c r="G82" s="691"/>
      <c r="H82" s="692"/>
      <c r="I82" s="692"/>
      <c r="J82" s="692"/>
      <c r="K82" s="692"/>
      <c r="L82" s="692"/>
      <c r="M82" s="693"/>
      <c r="N82" s="2166"/>
      <c r="O82" s="2166"/>
      <c r="P82" s="2167"/>
      <c r="Q82" s="2168"/>
      <c r="R82" s="2169"/>
      <c r="S82" s="2169"/>
      <c r="T82" s="2169"/>
      <c r="U82" s="2169"/>
      <c r="V82" s="2169"/>
      <c r="W82" s="2169"/>
      <c r="X82" s="2169"/>
      <c r="Y82" s="2169"/>
      <c r="Z82" s="2169"/>
      <c r="AA82" s="2169"/>
      <c r="AB82" s="2169"/>
      <c r="AC82" s="2169"/>
    </row>
    <row r="83" spans="1:29" s="1337" customFormat="1" ht="14.4" thickTop="1">
      <c r="A83" s="686"/>
      <c r="B83" s="680">
        <f>B16</f>
        <v>111</v>
      </c>
      <c r="C83" s="660"/>
      <c r="D83" s="660"/>
      <c r="E83" s="660"/>
      <c r="F83" s="660"/>
      <c r="G83" s="660"/>
      <c r="H83" s="694"/>
      <c r="I83" s="694"/>
      <c r="J83" s="694"/>
      <c r="K83" s="694"/>
      <c r="L83" s="695"/>
      <c r="M83" s="696"/>
      <c r="N83" s="2166"/>
      <c r="O83" s="2166"/>
      <c r="P83" s="2172"/>
      <c r="Q83" s="2168"/>
      <c r="R83" s="2169"/>
      <c r="S83" s="2169"/>
      <c r="T83" s="2169"/>
      <c r="U83" s="2169"/>
      <c r="V83" s="2169"/>
      <c r="W83" s="2169"/>
      <c r="X83" s="2169"/>
      <c r="Y83" s="2169"/>
      <c r="Z83" s="2169"/>
      <c r="AA83" s="2169"/>
      <c r="AB83" s="2169"/>
      <c r="AC83" s="2169"/>
    </row>
    <row r="84" spans="1:29" s="1337" customFormat="1" ht="14.4" thickBot="1">
      <c r="A84" s="697"/>
      <c r="B84" s="698"/>
      <c r="C84" s="699"/>
      <c r="D84" s="699"/>
      <c r="E84" s="699"/>
      <c r="F84" s="699"/>
      <c r="G84" s="699"/>
      <c r="H84" s="700"/>
      <c r="I84" s="700"/>
      <c r="J84" s="700"/>
      <c r="K84" s="700"/>
      <c r="L84" s="700"/>
      <c r="M84" s="701"/>
      <c r="N84" s="2166"/>
      <c r="O84" s="2166"/>
      <c r="P84" s="2167"/>
      <c r="Q84" s="2168"/>
      <c r="R84" s="2169"/>
      <c r="S84" s="2169"/>
      <c r="T84" s="2169"/>
      <c r="U84" s="2169"/>
      <c r="V84" s="2169"/>
      <c r="W84" s="2169"/>
      <c r="X84" s="2169"/>
      <c r="Y84" s="2169"/>
      <c r="Z84" s="2169"/>
      <c r="AA84" s="2169"/>
      <c r="AB84" s="2169"/>
      <c r="AC84" s="2169"/>
    </row>
    <row r="85" spans="1:29" ht="14.4">
      <c r="A85" s="663" t="s">
        <v>504</v>
      </c>
      <c r="B85" s="664" t="s">
        <v>567</v>
      </c>
      <c r="C85" s="702" t="s">
        <v>544</v>
      </c>
      <c r="D85" s="702" t="s">
        <v>545</v>
      </c>
      <c r="E85" s="702" t="s">
        <v>546</v>
      </c>
      <c r="F85" s="702" t="s">
        <v>547</v>
      </c>
      <c r="G85" s="702" t="s">
        <v>548</v>
      </c>
      <c r="H85" s="703"/>
      <c r="I85" s="703"/>
      <c r="J85" s="703"/>
      <c r="K85" s="704"/>
      <c r="L85" s="705"/>
      <c r="M85" s="706"/>
      <c r="N85" s="2163"/>
      <c r="O85" s="2163"/>
      <c r="P85" s="2173"/>
      <c r="Q85" s="2157"/>
      <c r="R85" s="2144"/>
      <c r="S85" s="2144"/>
      <c r="T85" s="2144"/>
      <c r="U85" s="2144"/>
      <c r="V85" s="2144"/>
      <c r="W85" s="2144"/>
      <c r="X85" s="2144"/>
      <c r="Y85" s="2144"/>
      <c r="Z85" s="2144"/>
      <c r="AA85" s="2144"/>
      <c r="AB85" s="2144"/>
      <c r="AC85" s="2144"/>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65"/>
      <c r="O86" s="2165"/>
      <c r="P86" s="2164"/>
      <c r="Q86" s="2157"/>
      <c r="R86" s="2144"/>
      <c r="S86" s="2144"/>
      <c r="T86" s="2144"/>
      <c r="U86" s="2144"/>
      <c r="V86" s="2144"/>
      <c r="W86" s="2144"/>
      <c r="X86" s="2144"/>
      <c r="Y86" s="2144"/>
      <c r="Z86" s="2144"/>
      <c r="AA86" s="2144"/>
      <c r="AB86" s="2144"/>
      <c r="AC86" s="2144"/>
    </row>
    <row r="87" spans="1:29" ht="15" thickTop="1">
      <c r="A87" s="668"/>
      <c r="B87" s="672" t="s">
        <v>551</v>
      </c>
      <c r="C87" s="707" t="s">
        <v>544</v>
      </c>
      <c r="D87" s="707" t="s">
        <v>545</v>
      </c>
      <c r="E87" s="707" t="s">
        <v>546</v>
      </c>
      <c r="F87" s="707" t="s">
        <v>547</v>
      </c>
      <c r="G87" s="707" t="s">
        <v>548</v>
      </c>
      <c r="H87" s="673"/>
      <c r="I87" s="673"/>
      <c r="J87" s="673"/>
      <c r="K87" s="674"/>
      <c r="L87" s="675"/>
      <c r="M87" s="676"/>
      <c r="N87" s="2163"/>
      <c r="O87" s="2163"/>
      <c r="P87" s="2164"/>
      <c r="Q87" s="2157"/>
      <c r="R87" s="2144"/>
      <c r="S87" s="2144"/>
      <c r="T87" s="2144"/>
      <c r="U87" s="2144"/>
      <c r="V87" s="2144"/>
      <c r="W87" s="2144"/>
      <c r="X87" s="2144"/>
      <c r="Y87" s="2144"/>
      <c r="Z87" s="2144"/>
      <c r="AA87" s="2144"/>
      <c r="AB87" s="2144"/>
      <c r="AC87" s="2144"/>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65"/>
      <c r="O88" s="2165"/>
      <c r="P88" s="2164"/>
      <c r="Q88" s="2157"/>
      <c r="R88" s="2144"/>
      <c r="S88" s="2144"/>
      <c r="T88" s="2144"/>
      <c r="U88" s="2144"/>
      <c r="V88" s="2144"/>
      <c r="W88" s="2144"/>
      <c r="X88" s="2144"/>
      <c r="Y88" s="2144"/>
      <c r="Z88" s="2144"/>
      <c r="AA88" s="2144"/>
      <c r="AB88" s="2144"/>
      <c r="AC88" s="2144"/>
    </row>
    <row r="89" spans="1:29" s="1218" customFormat="1" ht="29.4" thickTop="1">
      <c r="A89" s="708"/>
      <c r="B89" s="672" t="s">
        <v>552</v>
      </c>
      <c r="C89" s="707" t="s">
        <v>544</v>
      </c>
      <c r="D89" s="707" t="s">
        <v>545</v>
      </c>
      <c r="E89" s="707" t="s">
        <v>546</v>
      </c>
      <c r="F89" s="707" t="s">
        <v>547</v>
      </c>
      <c r="G89" s="707" t="s">
        <v>548</v>
      </c>
      <c r="H89" s="707"/>
      <c r="I89" s="707"/>
      <c r="J89" s="707"/>
      <c r="K89" s="707"/>
      <c r="L89" s="709"/>
      <c r="M89" s="710"/>
      <c r="N89" s="2161"/>
      <c r="O89" s="2161"/>
      <c r="P89" s="2164"/>
      <c r="Q89" s="2157"/>
      <c r="R89" s="1992"/>
      <c r="S89" s="1992"/>
      <c r="T89" s="1992"/>
      <c r="U89" s="1992"/>
      <c r="V89" s="1992"/>
      <c r="W89" s="1992"/>
      <c r="X89" s="1992"/>
      <c r="Y89" s="1992"/>
      <c r="Z89" s="1992"/>
      <c r="AA89" s="1992"/>
      <c r="AB89" s="1992"/>
      <c r="AC89" s="1992"/>
    </row>
    <row r="90" spans="1:29" s="1218" customFormat="1" ht="14.4" thickBot="1">
      <c r="A90" s="708"/>
      <c r="B90" s="677"/>
      <c r="C90" s="711">
        <v>100</v>
      </c>
      <c r="D90" s="678">
        <f>C90-$K21</f>
        <v>100</v>
      </c>
      <c r="E90" s="678">
        <f>D90-$K21</f>
        <v>100</v>
      </c>
      <c r="F90" s="678">
        <f>E90-$K21</f>
        <v>100</v>
      </c>
      <c r="G90" s="678">
        <f>F90-$K21</f>
        <v>100</v>
      </c>
      <c r="H90" s="678"/>
      <c r="I90" s="678"/>
      <c r="J90" s="678"/>
      <c r="K90" s="678"/>
      <c r="L90" s="678"/>
      <c r="M90" s="679"/>
      <c r="N90" s="2165"/>
      <c r="O90" s="2165"/>
      <c r="P90" s="2164"/>
      <c r="Q90" s="2157"/>
      <c r="R90" s="1992"/>
      <c r="S90" s="1992"/>
      <c r="T90" s="1992"/>
      <c r="U90" s="1992"/>
      <c r="V90" s="1992"/>
      <c r="W90" s="1992"/>
      <c r="X90" s="1992"/>
      <c r="Y90" s="1992"/>
      <c r="Z90" s="1992"/>
      <c r="AA90" s="1992"/>
      <c r="AB90" s="1992"/>
      <c r="AC90" s="1992"/>
    </row>
    <row r="91" spans="1:29" s="1218" customFormat="1" ht="29.4" thickTop="1">
      <c r="A91" s="708"/>
      <c r="B91" s="672" t="s">
        <v>553</v>
      </c>
      <c r="C91" s="702" t="s">
        <v>544</v>
      </c>
      <c r="D91" s="702" t="s">
        <v>545</v>
      </c>
      <c r="E91" s="702" t="s">
        <v>546</v>
      </c>
      <c r="F91" s="702" t="s">
        <v>547</v>
      </c>
      <c r="G91" s="702" t="s">
        <v>548</v>
      </c>
      <c r="H91" s="707"/>
      <c r="I91" s="707"/>
      <c r="J91" s="707"/>
      <c r="K91" s="707"/>
      <c r="L91" s="707"/>
      <c r="M91" s="710"/>
      <c r="N91" s="2161"/>
      <c r="O91" s="2161"/>
      <c r="P91" s="2164"/>
      <c r="Q91" s="2157"/>
      <c r="R91" s="1992"/>
      <c r="S91" s="1992"/>
      <c r="T91" s="1992"/>
      <c r="U91" s="1992"/>
      <c r="V91" s="1992"/>
      <c r="W91" s="1992"/>
      <c r="X91" s="1992"/>
      <c r="Y91" s="1992"/>
      <c r="Z91" s="1992"/>
      <c r="AA91" s="1992"/>
      <c r="AB91" s="1992"/>
      <c r="AC91" s="1992"/>
    </row>
    <row r="92" spans="1:29" s="1218" customFormat="1" ht="14.4" thickBot="1">
      <c r="A92" s="708"/>
      <c r="B92" s="677"/>
      <c r="C92" s="678">
        <v>100</v>
      </c>
      <c r="D92" s="678">
        <f>C92-$K23</f>
        <v>100</v>
      </c>
      <c r="E92" s="678">
        <f>D92-$K23</f>
        <v>100</v>
      </c>
      <c r="F92" s="678">
        <f>E92-$K23</f>
        <v>100</v>
      </c>
      <c r="G92" s="678">
        <f>F92-$K23</f>
        <v>100</v>
      </c>
      <c r="H92" s="678"/>
      <c r="I92" s="678"/>
      <c r="J92" s="678"/>
      <c r="K92" s="678"/>
      <c r="L92" s="678"/>
      <c r="M92" s="679"/>
      <c r="N92" s="2165"/>
      <c r="O92" s="2165"/>
      <c r="P92" s="2164"/>
      <c r="Q92" s="2157"/>
      <c r="R92" s="1992"/>
      <c r="S92" s="1992"/>
      <c r="T92" s="1992"/>
      <c r="U92" s="1992"/>
      <c r="V92" s="1992"/>
      <c r="W92" s="1992"/>
      <c r="X92" s="1992"/>
      <c r="Y92" s="1992"/>
      <c r="Z92" s="1992"/>
      <c r="AA92" s="1992"/>
      <c r="AB92" s="1992"/>
      <c r="AC92" s="1992"/>
    </row>
    <row r="93" spans="1:29" s="1337" customFormat="1" ht="15" thickTop="1">
      <c r="A93" s="686"/>
      <c r="B93" s="1895" t="s">
        <v>2510</v>
      </c>
      <c r="C93" s="702" t="s">
        <v>544</v>
      </c>
      <c r="D93" s="702" t="s">
        <v>545</v>
      </c>
      <c r="E93" s="702" t="s">
        <v>546</v>
      </c>
      <c r="F93" s="702" t="s">
        <v>547</v>
      </c>
      <c r="G93" s="702" t="s">
        <v>548</v>
      </c>
      <c r="H93" s="712"/>
      <c r="I93" s="712"/>
      <c r="J93" s="712"/>
      <c r="K93" s="712"/>
      <c r="L93" s="713"/>
      <c r="M93" s="714"/>
      <c r="N93" s="2166"/>
      <c r="O93" s="2166"/>
      <c r="P93" s="2167"/>
      <c r="Q93" s="2168"/>
      <c r="R93" s="2169"/>
      <c r="S93" s="2169"/>
      <c r="T93" s="2169"/>
      <c r="U93" s="2169"/>
      <c r="V93" s="2169"/>
      <c r="W93" s="2169"/>
      <c r="X93" s="2169"/>
      <c r="Y93" s="2169"/>
      <c r="Z93" s="2169"/>
      <c r="AA93" s="2169"/>
      <c r="AB93" s="2169"/>
      <c r="AC93" s="2169"/>
    </row>
    <row r="94" spans="1:29" s="1337" customFormat="1" ht="14.4" thickBot="1">
      <c r="A94" s="686"/>
      <c r="B94" s="677"/>
      <c r="C94" s="678">
        <v>100</v>
      </c>
      <c r="D94" s="678">
        <f>C94-$K25</f>
        <v>100</v>
      </c>
      <c r="E94" s="678">
        <f>D94-$K25</f>
        <v>100</v>
      </c>
      <c r="F94" s="678">
        <f>E94-$K25</f>
        <v>100</v>
      </c>
      <c r="G94" s="678">
        <f>F94-$K25</f>
        <v>100</v>
      </c>
      <c r="H94" s="715"/>
      <c r="I94" s="715"/>
      <c r="J94" s="715"/>
      <c r="K94" s="715"/>
      <c r="L94" s="715"/>
      <c r="M94" s="716"/>
      <c r="N94" s="2166"/>
      <c r="O94" s="2166"/>
      <c r="P94" s="2167"/>
      <c r="Q94" s="2168"/>
      <c r="R94" s="2169"/>
      <c r="S94" s="2169"/>
      <c r="T94" s="2169"/>
      <c r="U94" s="2169"/>
      <c r="V94" s="2169"/>
      <c r="W94" s="2169"/>
      <c r="X94" s="2169"/>
      <c r="Y94" s="2169"/>
      <c r="Z94" s="2169"/>
      <c r="AA94" s="2169"/>
      <c r="AB94" s="2169"/>
      <c r="AC94" s="2169"/>
    </row>
    <row r="95" spans="1:29" s="1337" customFormat="1" ht="15" thickTop="1">
      <c r="A95" s="686"/>
      <c r="B95" s="2596" t="s">
        <v>2512</v>
      </c>
      <c r="C95" s="2597" t="s">
        <v>2513</v>
      </c>
      <c r="D95" s="2597" t="s">
        <v>2514</v>
      </c>
      <c r="E95" s="2597" t="s">
        <v>2515</v>
      </c>
      <c r="F95" s="2597" t="s">
        <v>2516</v>
      </c>
      <c r="G95" s="2597" t="s">
        <v>2517</v>
      </c>
      <c r="H95" s="712"/>
      <c r="I95" s="712"/>
      <c r="J95" s="712"/>
      <c r="K95" s="712"/>
      <c r="L95" s="712"/>
      <c r="M95" s="714"/>
      <c r="N95" s="2166"/>
      <c r="O95" s="2166"/>
      <c r="P95" s="2167"/>
      <c r="Q95" s="2168"/>
      <c r="R95" s="2169"/>
      <c r="S95" s="2169"/>
      <c r="T95" s="2169"/>
      <c r="U95" s="2169"/>
      <c r="V95" s="2169"/>
      <c r="W95" s="2169"/>
      <c r="X95" s="2169"/>
      <c r="Y95" s="2169"/>
      <c r="Z95" s="2169"/>
      <c r="AA95" s="2169"/>
      <c r="AB95" s="2169"/>
      <c r="AC95" s="2169"/>
    </row>
    <row r="96" spans="1:29" s="1337" customFormat="1" ht="14.4" thickBot="1">
      <c r="A96" s="686"/>
      <c r="B96" s="680"/>
      <c r="C96" s="678">
        <v>100</v>
      </c>
      <c r="D96" s="678">
        <f>C96-$K27</f>
        <v>100</v>
      </c>
      <c r="E96" s="678">
        <f>D96-$K27</f>
        <v>100</v>
      </c>
      <c r="F96" s="678">
        <f>E96-$K27</f>
        <v>100</v>
      </c>
      <c r="G96" s="678">
        <f>F96-$K27</f>
        <v>100</v>
      </c>
      <c r="H96" s="682"/>
      <c r="I96" s="682"/>
      <c r="J96" s="682"/>
      <c r="K96" s="682"/>
      <c r="L96" s="682"/>
      <c r="M96" s="2589"/>
      <c r="N96" s="2166"/>
      <c r="O96" s="2166"/>
      <c r="P96" s="2167"/>
      <c r="Q96" s="2168"/>
      <c r="R96" s="2169"/>
      <c r="S96" s="2169"/>
      <c r="T96" s="2169"/>
      <c r="U96" s="2169"/>
      <c r="V96" s="2169"/>
      <c r="W96" s="2169"/>
      <c r="X96" s="2169"/>
      <c r="Y96" s="2169"/>
      <c r="Z96" s="2169"/>
      <c r="AA96" s="2169"/>
      <c r="AB96" s="2169"/>
      <c r="AC96" s="2169"/>
    </row>
    <row r="97" spans="1:29" ht="15" thickTop="1">
      <c r="A97" s="668"/>
      <c r="B97" s="672" t="str">
        <f>B29</f>
        <v>临街状况</v>
      </c>
      <c r="C97" s="673" t="s">
        <v>554</v>
      </c>
      <c r="D97" s="673" t="s">
        <v>555</v>
      </c>
      <c r="E97" s="673" t="s">
        <v>556</v>
      </c>
      <c r="F97" s="673" t="s">
        <v>557</v>
      </c>
      <c r="G97" s="673"/>
      <c r="H97" s="673"/>
      <c r="I97" s="673"/>
      <c r="J97" s="673"/>
      <c r="K97" s="674"/>
      <c r="L97" s="675"/>
      <c r="M97" s="676"/>
      <c r="N97" s="2163"/>
      <c r="O97" s="2163"/>
      <c r="P97" s="2164"/>
      <c r="Q97" s="2157"/>
      <c r="R97" s="2144"/>
      <c r="S97" s="2144"/>
      <c r="T97" s="2144"/>
      <c r="U97" s="2144"/>
      <c r="V97" s="2144"/>
      <c r="W97" s="2144"/>
      <c r="X97" s="2144"/>
      <c r="Y97" s="2144"/>
      <c r="Z97" s="2144"/>
      <c r="AA97" s="2144"/>
      <c r="AB97" s="2144"/>
      <c r="AC97" s="2144"/>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5"/>
      <c r="O98" s="2165"/>
      <c r="P98" s="2164"/>
      <c r="Q98" s="2157"/>
      <c r="R98" s="2144"/>
      <c r="S98" s="2144"/>
      <c r="T98" s="2144"/>
      <c r="U98" s="2144"/>
      <c r="V98" s="2144"/>
      <c r="W98" s="2144"/>
      <c r="X98" s="2144"/>
      <c r="Y98" s="2144"/>
      <c r="Z98" s="2144"/>
      <c r="AA98" s="2144"/>
      <c r="AB98" s="2144"/>
      <c r="AC98" s="2144"/>
    </row>
    <row r="99" spans="1:29" ht="29.4" thickTop="1">
      <c r="A99" s="668"/>
      <c r="B99" s="672" t="s">
        <v>513</v>
      </c>
      <c r="C99" s="687"/>
      <c r="D99" s="687"/>
      <c r="E99" s="687"/>
      <c r="F99" s="687"/>
      <c r="G99" s="687"/>
      <c r="H99" s="717"/>
      <c r="I99" s="717"/>
      <c r="J99" s="717"/>
      <c r="K99" s="718"/>
      <c r="L99" s="719"/>
      <c r="M99" s="720"/>
      <c r="N99" s="2163"/>
      <c r="O99" s="2163"/>
      <c r="P99" s="2164"/>
      <c r="Q99" s="2157"/>
      <c r="R99" s="2144"/>
      <c r="S99" s="2144"/>
      <c r="T99" s="2144"/>
      <c r="U99" s="2144"/>
      <c r="V99" s="2144"/>
      <c r="W99" s="2144"/>
      <c r="X99" s="2144"/>
      <c r="Y99" s="2144"/>
      <c r="Z99" s="2144"/>
      <c r="AA99" s="2144"/>
      <c r="AB99" s="2144"/>
      <c r="AC99" s="2144"/>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5"/>
      <c r="O100" s="2165"/>
      <c r="P100" s="2164"/>
      <c r="Q100" s="2157"/>
      <c r="R100" s="2144"/>
      <c r="S100" s="2144"/>
      <c r="T100" s="2144"/>
      <c r="U100" s="2144"/>
      <c r="V100" s="2144"/>
      <c r="W100" s="2144"/>
      <c r="X100" s="2144"/>
      <c r="Y100" s="2144"/>
      <c r="Z100" s="2144"/>
      <c r="AA100" s="2144"/>
      <c r="AB100" s="2144"/>
      <c r="AC100" s="2144"/>
    </row>
    <row r="101" spans="1:29" ht="15" thickTop="1">
      <c r="A101" s="668"/>
      <c r="B101" s="672" t="s">
        <v>514</v>
      </c>
      <c r="C101" s="717"/>
      <c r="D101" s="717"/>
      <c r="E101" s="717"/>
      <c r="F101" s="717"/>
      <c r="G101" s="717"/>
      <c r="H101" s="717"/>
      <c r="I101" s="717"/>
      <c r="J101" s="717"/>
      <c r="K101" s="718"/>
      <c r="L101" s="719"/>
      <c r="M101" s="720"/>
      <c r="N101" s="2163"/>
      <c r="O101" s="2163"/>
      <c r="P101" s="2164"/>
      <c r="Q101" s="2157"/>
      <c r="R101" s="2144"/>
      <c r="S101" s="2144"/>
      <c r="T101" s="2144"/>
      <c r="U101" s="2144"/>
      <c r="V101" s="2144"/>
      <c r="W101" s="2144"/>
      <c r="X101" s="2144"/>
      <c r="Y101" s="2144"/>
      <c r="Z101" s="2144"/>
      <c r="AA101" s="2144"/>
      <c r="AB101" s="2144"/>
      <c r="AC101" s="2144"/>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5"/>
      <c r="O102" s="2165"/>
      <c r="P102" s="2164"/>
      <c r="Q102" s="2157"/>
      <c r="R102" s="2144"/>
      <c r="S102" s="2144"/>
      <c r="T102" s="2144"/>
      <c r="U102" s="2144"/>
      <c r="V102" s="2144"/>
      <c r="W102" s="2144"/>
      <c r="X102" s="2144"/>
      <c r="Y102" s="2144"/>
      <c r="Z102" s="2144"/>
      <c r="AA102" s="2144"/>
      <c r="AB102" s="2144"/>
      <c r="AC102" s="2144"/>
    </row>
    <row r="103" spans="1:29" ht="14.4" thickTop="1">
      <c r="A103" s="668"/>
      <c r="B103" s="680">
        <f>B33</f>
        <v>111</v>
      </c>
      <c r="C103" s="687"/>
      <c r="D103" s="687"/>
      <c r="E103" s="687"/>
      <c r="F103" s="687"/>
      <c r="G103" s="721"/>
      <c r="H103" s="721"/>
      <c r="I103" s="721"/>
      <c r="J103" s="721"/>
      <c r="K103" s="722"/>
      <c r="L103" s="723"/>
      <c r="M103" s="724"/>
      <c r="N103" s="2163"/>
      <c r="O103" s="2163"/>
      <c r="P103" s="2164"/>
      <c r="Q103" s="2157"/>
      <c r="R103" s="2144"/>
      <c r="S103" s="2144"/>
      <c r="T103" s="2144"/>
      <c r="U103" s="2144"/>
      <c r="V103" s="2144"/>
      <c r="W103" s="2144"/>
      <c r="X103" s="2144"/>
      <c r="Y103" s="2144"/>
      <c r="Z103" s="2144"/>
      <c r="AA103" s="2144"/>
      <c r="AB103" s="2144"/>
      <c r="AC103" s="2144"/>
    </row>
    <row r="104" spans="1:29" ht="14.4" thickBot="1">
      <c r="A104" s="668"/>
      <c r="B104" s="698"/>
      <c r="C104" s="691"/>
      <c r="D104" s="670"/>
      <c r="E104" s="670"/>
      <c r="F104" s="670"/>
      <c r="G104" s="725"/>
      <c r="H104" s="725"/>
      <c r="I104" s="725"/>
      <c r="J104" s="725"/>
      <c r="K104" s="725"/>
      <c r="L104" s="725"/>
      <c r="M104" s="726"/>
      <c r="N104" s="2165"/>
      <c r="O104" s="2165"/>
      <c r="P104" s="2164"/>
      <c r="Q104" s="2157"/>
      <c r="R104" s="2144"/>
      <c r="S104" s="2144"/>
      <c r="T104" s="2144"/>
      <c r="U104" s="2144"/>
      <c r="V104" s="2144"/>
      <c r="W104" s="2144"/>
      <c r="X104" s="2144"/>
      <c r="Y104" s="2144"/>
      <c r="Z104" s="2144"/>
      <c r="AA104" s="2144"/>
      <c r="AB104" s="2144"/>
      <c r="AC104" s="2144"/>
    </row>
    <row r="105" spans="1:29" ht="14.4" thickTop="1">
      <c r="A105" s="586"/>
      <c r="B105" s="672">
        <f>B34</f>
        <v>111</v>
      </c>
      <c r="C105" s="687"/>
      <c r="D105" s="687"/>
      <c r="E105" s="687"/>
      <c r="F105" s="68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4.4" thickBot="1">
      <c r="A106" s="668"/>
      <c r="B106" s="677"/>
      <c r="C106" s="691"/>
      <c r="D106" s="691"/>
      <c r="E106" s="691"/>
      <c r="F106" s="691"/>
      <c r="G106" s="670"/>
      <c r="H106" s="670"/>
      <c r="I106" s="670"/>
      <c r="J106" s="670"/>
      <c r="K106" s="670"/>
      <c r="L106" s="670"/>
      <c r="M106" s="671"/>
      <c r="N106" s="2165"/>
      <c r="O106" s="2165"/>
      <c r="P106" s="2164"/>
      <c r="Q106" s="2157"/>
      <c r="R106" s="2144"/>
      <c r="S106" s="2144"/>
      <c r="T106" s="2144"/>
      <c r="U106" s="2144"/>
      <c r="V106" s="2144"/>
      <c r="W106" s="2144"/>
      <c r="X106" s="2144"/>
      <c r="Y106" s="2144"/>
      <c r="Z106" s="2144"/>
      <c r="AA106" s="2144"/>
      <c r="AB106" s="2144"/>
      <c r="AC106" s="2144"/>
    </row>
    <row r="107" spans="1:29" s="1337" customFormat="1" ht="14.4" thickTop="1">
      <c r="A107" s="727"/>
      <c r="B107" s="728">
        <f>B35</f>
        <v>111</v>
      </c>
      <c r="C107" s="660"/>
      <c r="D107" s="660"/>
      <c r="E107" s="660"/>
      <c r="F107" s="660"/>
      <c r="G107" s="729"/>
      <c r="H107" s="729"/>
      <c r="I107" s="729"/>
      <c r="J107" s="730"/>
      <c r="K107" s="730"/>
      <c r="L107" s="731"/>
      <c r="M107" s="732"/>
      <c r="N107" s="2166"/>
      <c r="O107" s="2166"/>
      <c r="P107" s="2167"/>
      <c r="Q107" s="2168"/>
      <c r="R107" s="2169"/>
      <c r="S107" s="2169"/>
      <c r="T107" s="2169"/>
      <c r="U107" s="2169"/>
      <c r="V107" s="2169"/>
      <c r="W107" s="2169"/>
      <c r="X107" s="2169"/>
      <c r="Y107" s="2169"/>
      <c r="Z107" s="2169"/>
      <c r="AA107" s="2169"/>
      <c r="AB107" s="2169"/>
      <c r="AC107" s="2169"/>
    </row>
    <row r="108" spans="1:29" s="1337" customFormat="1" ht="14.4" thickBot="1">
      <c r="A108" s="686"/>
      <c r="B108" s="680"/>
      <c r="C108" s="699"/>
      <c r="D108" s="699"/>
      <c r="E108" s="699"/>
      <c r="F108" s="699"/>
      <c r="G108" s="591"/>
      <c r="H108" s="591"/>
      <c r="I108" s="591"/>
      <c r="J108" s="591"/>
      <c r="K108" s="591"/>
      <c r="L108" s="591"/>
      <c r="M108" s="733"/>
      <c r="N108" s="2165"/>
      <c r="O108" s="2165"/>
      <c r="P108" s="2167"/>
      <c r="Q108" s="2168"/>
      <c r="R108" s="2169"/>
      <c r="S108" s="2169"/>
      <c r="T108" s="2169"/>
      <c r="U108" s="2169"/>
      <c r="V108" s="2169"/>
      <c r="W108" s="2169"/>
      <c r="X108" s="2169"/>
      <c r="Y108" s="2169"/>
      <c r="Z108" s="2169"/>
      <c r="AA108" s="2169"/>
      <c r="AB108" s="2169"/>
      <c r="AC108" s="2169"/>
    </row>
    <row r="109" spans="1:29" ht="14.4">
      <c r="A109" s="663" t="s">
        <v>516</v>
      </c>
      <c r="B109" s="664" t="s">
        <v>558</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92" t="str">
        <f t="shared" si="25"/>
        <v>(含)-</v>
      </c>
      <c r="L109" s="3093" t="str">
        <f t="shared" si="25"/>
        <v>(含)-</v>
      </c>
      <c r="M109" s="3094"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c r="A110" s="668"/>
      <c r="B110" s="680"/>
      <c r="C110" s="729"/>
      <c r="D110" s="729"/>
      <c r="E110" s="729"/>
      <c r="F110" s="729"/>
      <c r="G110" s="729"/>
      <c r="H110" s="729"/>
      <c r="I110" s="729"/>
      <c r="J110" s="730"/>
      <c r="K110" s="730"/>
      <c r="L110" s="731"/>
      <c r="M110" s="732"/>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699"/>
      <c r="D111" s="725"/>
      <c r="E111" s="725"/>
      <c r="F111" s="725"/>
      <c r="G111" s="725"/>
      <c r="H111" s="725"/>
      <c r="I111" s="725"/>
      <c r="J111" s="725"/>
      <c r="K111" s="725"/>
      <c r="L111" s="725"/>
      <c r="M111" s="726"/>
      <c r="N111" s="2165"/>
      <c r="O111" s="2165"/>
      <c r="P111" s="2164"/>
      <c r="Q111" s="2157"/>
      <c r="R111" s="2144"/>
      <c r="S111" s="2144"/>
      <c r="T111" s="2144"/>
      <c r="U111" s="2144"/>
      <c r="V111" s="2144"/>
      <c r="W111" s="2144"/>
      <c r="X111" s="2144"/>
      <c r="Y111" s="2144"/>
      <c r="Z111" s="2144"/>
      <c r="AA111" s="2144"/>
      <c r="AB111" s="2144"/>
      <c r="AC111" s="2144"/>
    </row>
    <row r="112" spans="1:29" ht="15" thickTop="1">
      <c r="A112" s="734"/>
      <c r="B112" s="672" t="s">
        <v>559</v>
      </c>
      <c r="C112" s="717"/>
      <c r="D112" s="717"/>
      <c r="E112" s="717"/>
      <c r="F112" s="717"/>
      <c r="G112" s="717"/>
      <c r="H112" s="717"/>
      <c r="I112" s="717"/>
      <c r="J112" s="717"/>
      <c r="K112" s="718"/>
      <c r="L112" s="719"/>
      <c r="M112" s="720"/>
      <c r="N112" s="2163"/>
      <c r="O112" s="2163"/>
      <c r="P112" s="2164"/>
      <c r="Q112" s="2157"/>
      <c r="R112" s="2144"/>
      <c r="S112" s="2144"/>
      <c r="T112" s="2144"/>
      <c r="U112" s="2144"/>
      <c r="V112" s="2144"/>
      <c r="W112" s="2144"/>
      <c r="X112" s="2144"/>
      <c r="Y112" s="2144"/>
      <c r="Z112" s="2144"/>
      <c r="AA112" s="2144"/>
      <c r="AB112" s="2144"/>
      <c r="AC112" s="2144"/>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5"/>
      <c r="O113" s="2165"/>
      <c r="P113" s="2164"/>
      <c r="Q113" s="2157"/>
      <c r="R113" s="2144"/>
      <c r="S113" s="2144"/>
      <c r="T113" s="2144"/>
      <c r="U113" s="2144"/>
      <c r="V113" s="2144"/>
      <c r="W113" s="2144"/>
      <c r="X113" s="2144"/>
      <c r="Y113" s="2144"/>
      <c r="Z113" s="2144"/>
      <c r="AA113" s="2144"/>
      <c r="AB113" s="2144"/>
      <c r="AC113" s="2144"/>
    </row>
    <row r="114" spans="1:29" s="1337" customFormat="1" ht="15" thickTop="1">
      <c r="A114" s="727"/>
      <c r="B114" s="1895" t="s">
        <v>2387</v>
      </c>
      <c r="C114" s="1374"/>
      <c r="D114" s="1374"/>
      <c r="E114" s="1374"/>
      <c r="F114" s="1374"/>
      <c r="G114" s="1374"/>
      <c r="H114" s="717"/>
      <c r="I114" s="717"/>
      <c r="J114" s="717"/>
      <c r="K114" s="718"/>
      <c r="L114" s="719"/>
      <c r="M114" s="720"/>
      <c r="N114" s="2166"/>
      <c r="O114" s="2166"/>
      <c r="P114" s="2167"/>
      <c r="Q114" s="2168"/>
      <c r="R114" s="2169"/>
      <c r="S114" s="2169"/>
      <c r="T114" s="2169"/>
      <c r="U114" s="2169"/>
      <c r="V114" s="2169"/>
      <c r="W114" s="2169"/>
      <c r="X114" s="2169"/>
      <c r="Y114" s="2169"/>
      <c r="Z114" s="2169"/>
      <c r="AA114" s="2169"/>
      <c r="AB114" s="2169"/>
      <c r="AC114" s="2169"/>
    </row>
    <row r="115" spans="1:29" s="1337"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4"/>
      <c r="B116" s="672" t="s">
        <v>561</v>
      </c>
      <c r="C116" s="687"/>
      <c r="D116" s="687"/>
      <c r="E116" s="717"/>
      <c r="F116" s="717"/>
      <c r="G116" s="71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5"/>
      <c r="O117" s="2165"/>
      <c r="P117" s="2164"/>
      <c r="Q117" s="2157"/>
      <c r="R117" s="2144"/>
      <c r="S117" s="2144"/>
      <c r="T117" s="2144"/>
      <c r="U117" s="2144"/>
      <c r="V117" s="2144"/>
      <c r="W117" s="2144"/>
      <c r="X117" s="2144"/>
      <c r="Y117" s="2144"/>
      <c r="Z117" s="2144"/>
      <c r="AA117" s="2144"/>
      <c r="AB117" s="2144"/>
      <c r="AC117" s="2144"/>
    </row>
    <row r="118" spans="1:29" ht="14.4" thickTop="1">
      <c r="A118" s="734"/>
      <c r="B118" s="672">
        <f>B40</f>
        <v>111</v>
      </c>
      <c r="C118" s="687"/>
      <c r="D118" s="687"/>
      <c r="E118" s="687"/>
      <c r="F118" s="687"/>
      <c r="G118" s="687"/>
      <c r="H118" s="717"/>
      <c r="I118" s="717"/>
      <c r="J118" s="717"/>
      <c r="K118" s="718"/>
      <c r="L118" s="719"/>
      <c r="M118" s="720"/>
      <c r="N118" s="2163"/>
      <c r="O118" s="2163"/>
      <c r="P118" s="2164"/>
      <c r="Q118" s="2157"/>
      <c r="R118" s="2144"/>
      <c r="S118" s="2144"/>
      <c r="T118" s="2144"/>
      <c r="U118" s="2144"/>
      <c r="V118" s="2144"/>
      <c r="W118" s="2144"/>
      <c r="X118" s="2144"/>
      <c r="Y118" s="2144"/>
      <c r="Z118" s="2144"/>
      <c r="AA118" s="2144"/>
      <c r="AB118" s="2144"/>
      <c r="AC118" s="2144"/>
    </row>
    <row r="119" spans="1:29" ht="14.4" thickBot="1">
      <c r="A119" s="668"/>
      <c r="B119" s="677"/>
      <c r="C119" s="691"/>
      <c r="D119" s="670"/>
      <c r="E119" s="670"/>
      <c r="F119" s="670"/>
      <c r="G119" s="670"/>
      <c r="H119" s="670"/>
      <c r="I119" s="670"/>
      <c r="J119" s="670"/>
      <c r="K119" s="670"/>
      <c r="L119" s="670"/>
      <c r="M119" s="671"/>
      <c r="N119" s="2165"/>
      <c r="O119" s="2165"/>
      <c r="P119" s="2164"/>
      <c r="Q119" s="2157"/>
      <c r="R119" s="2144"/>
      <c r="S119" s="2144"/>
      <c r="T119" s="2144"/>
      <c r="U119" s="2144"/>
      <c r="V119" s="2144"/>
      <c r="W119" s="2144"/>
      <c r="X119" s="2144"/>
      <c r="Y119" s="2144"/>
      <c r="Z119" s="2144"/>
      <c r="AA119" s="2144"/>
      <c r="AB119" s="2144"/>
      <c r="AC119" s="2144"/>
    </row>
    <row r="120" spans="1:29" ht="14.4" thickTop="1">
      <c r="A120" s="734"/>
      <c r="B120" s="672">
        <f>B41</f>
        <v>111</v>
      </c>
      <c r="C120" s="687"/>
      <c r="D120" s="687"/>
      <c r="E120" s="687"/>
      <c r="F120" s="687"/>
      <c r="G120" s="717"/>
      <c r="H120" s="717"/>
      <c r="I120" s="717"/>
      <c r="J120" s="717"/>
      <c r="K120" s="718"/>
      <c r="L120" s="719"/>
      <c r="M120" s="720"/>
      <c r="N120" s="2163"/>
      <c r="O120" s="2163"/>
      <c r="P120" s="2164"/>
      <c r="Q120" s="2157"/>
      <c r="R120" s="2144"/>
      <c r="S120" s="2144"/>
      <c r="T120" s="2144"/>
      <c r="U120" s="2144"/>
      <c r="V120" s="2144"/>
      <c r="W120" s="2144"/>
      <c r="X120" s="2144"/>
      <c r="Y120" s="2144"/>
      <c r="Z120" s="2144"/>
      <c r="AA120" s="2144"/>
      <c r="AB120" s="2144"/>
      <c r="AC120" s="2144"/>
    </row>
    <row r="121" spans="1:29" ht="14.4" thickBot="1">
      <c r="A121" s="668"/>
      <c r="B121" s="677"/>
      <c r="C121" s="691"/>
      <c r="D121" s="691"/>
      <c r="E121" s="691"/>
      <c r="F121" s="691"/>
      <c r="G121" s="670"/>
      <c r="H121" s="670"/>
      <c r="I121" s="670"/>
      <c r="J121" s="670"/>
      <c r="K121" s="670"/>
      <c r="L121" s="670"/>
      <c r="M121" s="671"/>
      <c r="N121" s="2165"/>
      <c r="O121" s="2165"/>
      <c r="P121" s="2164"/>
      <c r="Q121" s="2157"/>
      <c r="R121" s="2144"/>
      <c r="S121" s="2144"/>
      <c r="T121" s="2144"/>
      <c r="U121" s="2144"/>
      <c r="V121" s="2144"/>
      <c r="W121" s="2144"/>
      <c r="X121" s="2144"/>
      <c r="Y121" s="2144"/>
      <c r="Z121" s="2144"/>
      <c r="AA121" s="2144"/>
      <c r="AB121" s="2144"/>
      <c r="AC121" s="2144"/>
    </row>
    <row r="122" spans="1:29" s="1337" customFormat="1" ht="14.4" thickTop="1">
      <c r="A122" s="727"/>
      <c r="B122" s="672">
        <f>B42</f>
        <v>111</v>
      </c>
      <c r="C122" s="660"/>
      <c r="D122" s="660"/>
      <c r="E122" s="660"/>
      <c r="F122" s="660"/>
      <c r="G122" s="688"/>
      <c r="H122" s="688"/>
      <c r="I122" s="688"/>
      <c r="J122" s="688"/>
      <c r="K122" s="688"/>
      <c r="L122" s="689"/>
      <c r="M122" s="690"/>
      <c r="N122" s="2166"/>
      <c r="O122" s="2166"/>
      <c r="P122" s="2167"/>
      <c r="Q122" s="2168"/>
      <c r="R122" s="2169"/>
      <c r="S122" s="2169"/>
      <c r="T122" s="2169"/>
      <c r="U122" s="2169"/>
      <c r="V122" s="2169"/>
      <c r="W122" s="2169"/>
      <c r="X122" s="2169"/>
      <c r="Y122" s="2169"/>
      <c r="Z122" s="2169"/>
      <c r="AA122" s="2169"/>
      <c r="AB122" s="2169"/>
      <c r="AC122" s="2169"/>
    </row>
    <row r="123" spans="1:29" s="1337" customFormat="1" ht="14.4" thickBot="1">
      <c r="A123" s="697"/>
      <c r="B123" s="735"/>
      <c r="C123" s="699"/>
      <c r="D123" s="699"/>
      <c r="E123" s="699"/>
      <c r="F123" s="699"/>
      <c r="G123" s="725"/>
      <c r="H123" s="725"/>
      <c r="I123" s="725"/>
      <c r="J123" s="725"/>
      <c r="K123" s="725"/>
      <c r="L123" s="725"/>
      <c r="M123" s="726"/>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B28" sqref="B28"/>
    </sheetView>
  </sheetViews>
  <sheetFormatPr defaultColWidth="12" defaultRowHeight="12"/>
  <cols>
    <col min="1" max="1" width="9.77734375" style="1402" customWidth="1"/>
    <col min="2" max="2" width="19.21875" style="1526" customWidth="1"/>
    <col min="3" max="4" width="12" style="1403"/>
    <col min="5" max="5" width="14.6640625" style="1403" customWidth="1"/>
    <col min="6" max="8" width="12" style="1403"/>
    <col min="9" max="9" width="12.21875" style="1403" bestFit="1" customWidth="1"/>
    <col min="10" max="10" width="12" style="1403"/>
    <col min="11" max="11" width="9.6640625" style="1400" customWidth="1"/>
    <col min="12" max="12" width="12" style="1403"/>
    <col min="13" max="14" width="10.6640625" style="1403" customWidth="1"/>
    <col min="15" max="17" width="12" style="1403"/>
    <col min="18" max="18" width="12" style="1402"/>
    <col min="19" max="22" width="15.44140625" style="1402" customWidth="1"/>
    <col min="23" max="28" width="12" style="1403"/>
    <col min="29" max="29" width="9.33203125" style="1402" customWidth="1"/>
    <col min="30" max="35" width="9.33203125" style="1401" customWidth="1"/>
    <col min="36" max="39" width="9.33203125" style="1402" customWidth="1"/>
    <col min="40" max="41" width="9.33203125" style="1403" customWidth="1"/>
    <col min="42" max="16384" width="12" style="1403"/>
  </cols>
  <sheetData>
    <row r="1" spans="1:39" ht="20.399999999999999">
      <c r="A1" s="1397" t="s">
        <v>1656</v>
      </c>
      <c r="B1" s="1398"/>
      <c r="C1" s="1404" t="s">
        <v>2388</v>
      </c>
      <c r="D1" s="1519">
        <f>SUM(D29:D30,D33:D39)</f>
        <v>0</v>
      </c>
      <c r="E1" s="1404" t="s">
        <v>2389</v>
      </c>
      <c r="F1" s="2451"/>
      <c r="G1" s="1399"/>
      <c r="H1" s="1399"/>
      <c r="I1" s="1399"/>
      <c r="J1" s="1399"/>
      <c r="K1" s="1399"/>
      <c r="L1" s="1881" t="s">
        <v>2200</v>
      </c>
      <c r="M1" s="1882">
        <f>SUMPRODUCT((区片价!B5:B9=I2)*(区片价!C3:F3=E2)*(区片价!C5:F9))</f>
        <v>0</v>
      </c>
      <c r="N1" s="1883">
        <f>SUMPRODUCT((因素修正幅度!B5:B9=I2)*(因素修正幅度!C3:F3=E2)*(因素修正幅度!C5:F9))</f>
        <v>0</v>
      </c>
      <c r="O1" s="2188"/>
      <c r="P1" s="2188"/>
      <c r="Q1" s="2188"/>
      <c r="R1" s="2935" t="s">
        <v>2724</v>
      </c>
      <c r="S1" s="2935" t="s">
        <v>2725</v>
      </c>
      <c r="T1" s="2935" t="s">
        <v>2746</v>
      </c>
      <c r="U1" s="2935" t="s">
        <v>2747</v>
      </c>
      <c r="V1" s="2935" t="s">
        <v>2748</v>
      </c>
      <c r="W1" s="2188"/>
      <c r="X1" s="2188"/>
      <c r="Y1" s="2188"/>
      <c r="Z1" s="2188"/>
      <c r="AA1" s="2188"/>
      <c r="AB1" s="2188"/>
      <c r="AC1" s="2189"/>
    </row>
    <row r="2" spans="1:39" ht="15.6">
      <c r="A2" s="1404" t="s">
        <v>885</v>
      </c>
      <c r="B2" s="1036" t="e">
        <f>C26</f>
        <v>#DIV/0!</v>
      </c>
      <c r="C2" s="1405" t="s">
        <v>886</v>
      </c>
      <c r="D2" s="1406" t="s">
        <v>887</v>
      </c>
      <c r="E2" s="1407"/>
      <c r="F2" s="1406" t="s">
        <v>889</v>
      </c>
      <c r="G2" s="1650">
        <f>IF(E2="商业",项目基本情况!B43,IF(E2="办公",项目基本情况!C43,IF(E2="住宅",项目基本情况!D43,项目基本情况!E43)))</f>
        <v>0</v>
      </c>
      <c r="H2" s="1406" t="s">
        <v>891</v>
      </c>
      <c r="I2" s="1651">
        <f>IF(E2="商业",项目基本情况!B44,IF(E2="办公",项目基本情况!C44,IF(E2="住宅",项目基本情况!D44,项目基本情况!E44)))</f>
        <v>0</v>
      </c>
      <c r="J2" s="1408"/>
      <c r="K2" s="1399"/>
      <c r="L2" s="1884" t="s">
        <v>2201</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6">
      <c r="A3" s="1409" t="s">
        <v>1649</v>
      </c>
      <c r="B3" s="1036" t="e">
        <f>ROUND(B2*10000/D1,0)</f>
        <v>#DIV/0!</v>
      </c>
      <c r="C3" s="1405" t="s">
        <v>892</v>
      </c>
      <c r="D3" s="1406" t="s">
        <v>893</v>
      </c>
      <c r="E3" s="1410"/>
      <c r="F3" s="1411" t="s">
        <v>2896</v>
      </c>
      <c r="G3" s="1037">
        <f>IF(F3="宗地容积率",'数据-汇总表'!I4,IF(F3="估价对象容积率",'数据-汇总表'!I6,'数据-汇总表'!I7))</f>
        <v>1.19</v>
      </c>
      <c r="H3" s="1412" t="s">
        <v>894</v>
      </c>
      <c r="I3" s="1038">
        <v>8</v>
      </c>
      <c r="J3" s="1408" t="s">
        <v>895</v>
      </c>
      <c r="K3" s="1399"/>
      <c r="L3" s="1884" t="s">
        <v>2202</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31.2">
      <c r="A4" s="1890" t="s">
        <v>2242</v>
      </c>
      <c r="B4" s="2452" t="e">
        <f>ROUND(B2*10000/F1,0)</f>
        <v>#DIV/0!</v>
      </c>
      <c r="C4" s="1893" t="s">
        <v>2216</v>
      </c>
      <c r="D4" s="1893" t="e">
        <f>ROUND(B2/(F1/666.67),0)</f>
        <v>#DIV/0!</v>
      </c>
      <c r="E4" s="1893" t="s">
        <v>2217</v>
      </c>
      <c r="F4" s="1891"/>
      <c r="G4" s="1891"/>
      <c r="H4" s="1891"/>
      <c r="I4" s="1891"/>
      <c r="J4" s="1892"/>
      <c r="K4" s="1399"/>
      <c r="L4" s="1884" t="s">
        <v>2203</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19" customFormat="1" ht="15.6" thickBot="1">
      <c r="A5" s="1636" t="s">
        <v>1785</v>
      </c>
      <c r="B5" s="1413" t="s">
        <v>896</v>
      </c>
      <c r="C5" s="1039" t="e">
        <f>ROUND(IF(E2="商业",IF(F16="增加",C6*C7+C16,C6*C7-C16),IF(E2="住宅",IF(F16="增加",C6*C12+C16,C6*C12-C16),IF(F16="增加",C6+C16,C6-C16))),0)</f>
        <v>#DIV/0!</v>
      </c>
      <c r="D5" s="3120">
        <f>ROUND(IF(E2="商业",IF(F16="增加",C6+C16,C6-C16)),0)</f>
        <v>0</v>
      </c>
      <c r="E5" s="1414"/>
      <c r="F5" s="1414"/>
      <c r="G5" s="1415"/>
      <c r="H5" s="1415"/>
      <c r="I5" s="1415"/>
      <c r="J5" s="1416"/>
      <c r="K5" s="1592"/>
      <c r="L5" s="1884" t="s">
        <v>2204</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7"/>
      <c r="AE5" s="1417"/>
      <c r="AF5" s="1417"/>
      <c r="AG5" s="1417"/>
      <c r="AH5" s="1417"/>
      <c r="AI5" s="1417"/>
      <c r="AJ5" s="1418"/>
      <c r="AK5" s="1418"/>
      <c r="AL5" s="1418"/>
      <c r="AM5" s="1418"/>
    </row>
    <row r="6" spans="1:39" ht="15.6" thickBot="1">
      <c r="A6" s="1637" t="s">
        <v>1832</v>
      </c>
      <c r="B6" s="1420" t="s">
        <v>896</v>
      </c>
      <c r="C6" s="1040">
        <f>SUMIF(L1:L12,基准地价!G2,M1:M12)</f>
        <v>0</v>
      </c>
      <c r="D6" s="1421" t="s">
        <v>1657</v>
      </c>
      <c r="E6" s="1422"/>
      <c r="F6" s="1422"/>
      <c r="G6" s="1423"/>
      <c r="H6" s="1423"/>
      <c r="I6" s="1423"/>
      <c r="J6" s="1424"/>
      <c r="K6" s="1593"/>
      <c r="L6" s="1884" t="s">
        <v>2205</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7"/>
      <c r="AE6" s="1417"/>
      <c r="AF6" s="1417"/>
      <c r="AG6" s="1417"/>
      <c r="AH6" s="1417"/>
      <c r="AI6" s="1417"/>
      <c r="AJ6" s="1418"/>
    </row>
    <row r="7" spans="1:39" ht="24">
      <c r="A7" s="3422" t="str">
        <f>IF(E2="商业",IF(C8="不临58条商业街","",2),"")</f>
        <v/>
      </c>
      <c r="B7" s="1425" t="s">
        <v>897</v>
      </c>
      <c r="C7" s="1041" t="e">
        <f>IF(C8="不临58条商业街",1,ROUND(1+(1.6*E8+1.2*E9+0.8*E10+0.4*E11)*C9,4))</f>
        <v>#DIV/0!</v>
      </c>
      <c r="D7" s="1426" t="s">
        <v>898</v>
      </c>
      <c r="E7" s="1042"/>
      <c r="F7" s="1427"/>
      <c r="G7" s="1428"/>
      <c r="H7" s="1428"/>
      <c r="I7" s="1428"/>
      <c r="J7" s="1429"/>
      <c r="K7" s="1593"/>
      <c r="L7" s="1884" t="s">
        <v>2206</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2727</v>
      </c>
      <c r="X7" s="2926">
        <f>G2</f>
        <v>0</v>
      </c>
      <c r="Y7" s="2926" t="s">
        <v>2728</v>
      </c>
      <c r="Z7" s="2927">
        <f>G3</f>
        <v>1.19</v>
      </c>
      <c r="AA7" s="2191"/>
      <c r="AB7" s="2191"/>
      <c r="AC7" s="2192"/>
      <c r="AD7" s="2928"/>
      <c r="AE7" s="2928"/>
      <c r="AF7" s="2928"/>
      <c r="AG7" s="2928"/>
      <c r="AH7" s="2928"/>
      <c r="AI7" s="2928"/>
      <c r="AJ7" s="2929"/>
    </row>
    <row r="8" spans="1:39" ht="15">
      <c r="A8" s="3423"/>
      <c r="B8" s="1412" t="s">
        <v>899</v>
      </c>
      <c r="C8" s="1527"/>
      <c r="D8" s="1043" t="s">
        <v>900</v>
      </c>
      <c r="E8" s="1044" t="e">
        <f>ROUND(C11/E7,4)</f>
        <v>#DIV/0!</v>
      </c>
      <c r="F8" s="1430" t="s">
        <v>901</v>
      </c>
      <c r="G8" s="1431"/>
      <c r="H8" s="1431"/>
      <c r="I8" s="1431"/>
      <c r="J8" s="1432"/>
      <c r="K8" s="1399"/>
      <c r="L8" s="1884" t="s">
        <v>2207</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14" t="s">
        <v>2745</v>
      </c>
      <c r="X8" s="3415"/>
      <c r="Y8" s="1848" t="s">
        <v>2729</v>
      </c>
      <c r="Z8" s="1848" t="s">
        <v>2730</v>
      </c>
      <c r="AA8" s="1848" t="s">
        <v>2731</v>
      </c>
      <c r="AB8" s="1848" t="s">
        <v>2732</v>
      </c>
      <c r="AC8" s="1848" t="s">
        <v>2733</v>
      </c>
      <c r="AD8" s="1848" t="s">
        <v>2734</v>
      </c>
      <c r="AE8" s="1848" t="s">
        <v>2735</v>
      </c>
      <c r="AF8" s="1848" t="s">
        <v>2736</v>
      </c>
      <c r="AG8" s="1848" t="s">
        <v>2737</v>
      </c>
      <c r="AH8" s="1848" t="s">
        <v>2738</v>
      </c>
      <c r="AI8" s="1848" t="s">
        <v>2739</v>
      </c>
      <c r="AJ8" s="1848" t="s">
        <v>2740</v>
      </c>
    </row>
    <row r="9" spans="1:39" ht="15">
      <c r="A9" s="3423"/>
      <c r="B9" s="1412" t="s">
        <v>902</v>
      </c>
      <c r="C9" s="1045">
        <f>SUMIF(修正!C59:C119,C8,修正!E59:E119)</f>
        <v>0</v>
      </c>
      <c r="D9" s="1046" t="s">
        <v>903</v>
      </c>
      <c r="E9" s="1046" t="e">
        <f>ROUND(C11/E7,4)</f>
        <v>#DIV/0!</v>
      </c>
      <c r="F9" s="1430" t="s">
        <v>904</v>
      </c>
      <c r="G9" s="1431"/>
      <c r="H9" s="1431"/>
      <c r="I9" s="1431"/>
      <c r="J9" s="1432"/>
      <c r="K9" s="1399"/>
      <c r="L9" s="1884" t="s">
        <v>2208</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13" t="s">
        <v>2741</v>
      </c>
      <c r="X9" s="2930" t="s">
        <v>2742</v>
      </c>
      <c r="Y9" s="3098"/>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23"/>
      <c r="B10" s="1412" t="s">
        <v>905</v>
      </c>
      <c r="C10" s="1046">
        <f>SUMIF(修正!C59:C119,C8,修正!F59:F119)</f>
        <v>0</v>
      </c>
      <c r="D10" s="1046" t="s">
        <v>906</v>
      </c>
      <c r="E10" s="1046" t="e">
        <f>ROUND(C11/E7,4)</f>
        <v>#DIV/0!</v>
      </c>
      <c r="F10" s="1430" t="s">
        <v>907</v>
      </c>
      <c r="G10" s="1431"/>
      <c r="H10" s="1431"/>
      <c r="I10" s="1431"/>
      <c r="J10" s="1432"/>
      <c r="K10" s="1399"/>
      <c r="L10" s="1884" t="s">
        <v>2209</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13"/>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23"/>
      <c r="B11" s="1433" t="s">
        <v>908</v>
      </c>
      <c r="C11" s="1047">
        <f>C10/4</f>
        <v>0</v>
      </c>
      <c r="D11" s="1047" t="s">
        <v>909</v>
      </c>
      <c r="E11" s="1047" t="e">
        <f>ROUND(C11/E7,4)</f>
        <v>#DIV/0!</v>
      </c>
      <c r="F11" s="1434" t="s">
        <v>910</v>
      </c>
      <c r="G11" s="1435"/>
      <c r="H11" s="1435"/>
      <c r="I11" s="1435"/>
      <c r="J11" s="1436"/>
      <c r="K11" s="1399"/>
      <c r="L11" s="1884" t="s">
        <v>2210</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13" t="s">
        <v>2743</v>
      </c>
      <c r="X11" s="1046" t="s">
        <v>2728</v>
      </c>
      <c r="Y11" s="1651">
        <f>$G$3</f>
        <v>1.19</v>
      </c>
      <c r="Z11" s="1651">
        <f t="shared" ref="Z11:AJ11" si="3">$G$3</f>
        <v>1.19</v>
      </c>
      <c r="AA11" s="1651">
        <f t="shared" si="3"/>
        <v>1.19</v>
      </c>
      <c r="AB11" s="1651">
        <f t="shared" si="3"/>
        <v>1.19</v>
      </c>
      <c r="AC11" s="1651">
        <f t="shared" si="3"/>
        <v>1.19</v>
      </c>
      <c r="AD11" s="1651">
        <f t="shared" si="3"/>
        <v>1.19</v>
      </c>
      <c r="AE11" s="1651">
        <f t="shared" si="3"/>
        <v>1.19</v>
      </c>
      <c r="AF11" s="1651">
        <f t="shared" si="3"/>
        <v>1.19</v>
      </c>
      <c r="AG11" s="1651">
        <f t="shared" si="3"/>
        <v>1.19</v>
      </c>
      <c r="AH11" s="1651">
        <f t="shared" si="3"/>
        <v>1.19</v>
      </c>
      <c r="AI11" s="1651">
        <f t="shared" si="3"/>
        <v>1.19</v>
      </c>
      <c r="AJ11" s="1651">
        <f t="shared" si="3"/>
        <v>1.19</v>
      </c>
    </row>
    <row r="12" spans="1:39" ht="25.8" thickBot="1">
      <c r="A12" s="3422" t="s">
        <v>1833</v>
      </c>
      <c r="B12" s="1437" t="s">
        <v>911</v>
      </c>
      <c r="C12" s="1041">
        <f>ROUND(C15*D15*E15*F15*G15*H15*I15*J15,4)</f>
        <v>1</v>
      </c>
      <c r="D12" s="1438" t="s">
        <v>912</v>
      </c>
      <c r="E12" s="1439"/>
      <c r="F12" s="1439"/>
      <c r="G12" s="1440"/>
      <c r="H12" s="1440"/>
      <c r="I12" s="1440"/>
      <c r="J12" s="1441"/>
      <c r="K12" s="1399"/>
      <c r="L12" s="1887" t="s">
        <v>2211</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13"/>
      <c r="X12" s="2933" t="s">
        <v>2744</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24"/>
      <c r="B13" s="1442" t="s">
        <v>1658</v>
      </c>
      <c r="C13" s="1443" t="s">
        <v>1659</v>
      </c>
      <c r="D13" s="1087" t="s">
        <v>1660</v>
      </c>
      <c r="E13" s="1087" t="s">
        <v>1661</v>
      </c>
      <c r="F13" s="1444" t="s">
        <v>913</v>
      </c>
      <c r="G13" s="1445" t="s">
        <v>1607</v>
      </c>
      <c r="H13" s="1446" t="s">
        <v>1607</v>
      </c>
      <c r="I13" s="1447" t="s">
        <v>1607</v>
      </c>
      <c r="J13" s="1448" t="s">
        <v>1607</v>
      </c>
      <c r="K13" s="1399"/>
      <c r="L13" s="2188"/>
      <c r="M13" s="2188"/>
      <c r="N13" s="2188"/>
      <c r="O13" s="2188"/>
      <c r="P13" s="2188"/>
      <c r="Q13" s="2188"/>
      <c r="R13" s="2936">
        <v>12</v>
      </c>
      <c r="S13" s="2925"/>
      <c r="T13" s="2936" t="e">
        <f t="shared" si="0"/>
        <v>#DIV/0!</v>
      </c>
      <c r="U13" s="2925"/>
      <c r="V13" s="2936" t="e">
        <f t="shared" si="1"/>
        <v>#DIV/0!</v>
      </c>
      <c r="W13" s="3413"/>
      <c r="X13" s="2933"/>
      <c r="Y13" s="2932">
        <f>(-0.163*(Y12^2)-0.59*Y12+7617)*(10^(-4))/Y11</f>
        <v>0.64008403361344546</v>
      </c>
      <c r="Z13" s="2932">
        <f t="shared" ref="Z13:AJ13" si="5">(-0.163*(Z12^2)-0.59*Z12+7617)*(10^(-4))/Z11</f>
        <v>0.64008403361344546</v>
      </c>
      <c r="AA13" s="2932">
        <f t="shared" si="5"/>
        <v>0.64008403361344546</v>
      </c>
      <c r="AB13" s="2932">
        <f t="shared" si="5"/>
        <v>0.64008403361344546</v>
      </c>
      <c r="AC13" s="2932">
        <f t="shared" si="5"/>
        <v>0.64008403361344546</v>
      </c>
      <c r="AD13" s="2932">
        <f t="shared" si="5"/>
        <v>0.64008403361344546</v>
      </c>
      <c r="AE13" s="2932">
        <f t="shared" si="5"/>
        <v>0.64008403361344546</v>
      </c>
      <c r="AF13" s="2932">
        <f t="shared" si="5"/>
        <v>0.64008403361344546</v>
      </c>
      <c r="AG13" s="2932">
        <f t="shared" si="5"/>
        <v>0.64008403361344546</v>
      </c>
      <c r="AH13" s="2932">
        <f t="shared" si="5"/>
        <v>0.64008403361344546</v>
      </c>
      <c r="AI13" s="2932">
        <f t="shared" si="5"/>
        <v>0.64008403361344546</v>
      </c>
      <c r="AJ13" s="2932">
        <f t="shared" si="5"/>
        <v>0.64008403361344546</v>
      </c>
    </row>
    <row r="14" spans="1:39" ht="12.75" customHeight="1" thickBot="1">
      <c r="A14" s="3424"/>
      <c r="B14" s="1449"/>
      <c r="C14" s="1450"/>
      <c r="D14" s="1451"/>
      <c r="E14" s="1451"/>
      <c r="F14" s="1452"/>
      <c r="G14" s="1453" t="s">
        <v>914</v>
      </c>
      <c r="H14" s="1454"/>
      <c r="I14" s="1455"/>
      <c r="J14" s="1456"/>
      <c r="K14" s="1399"/>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25"/>
      <c r="B15" s="1457" t="s">
        <v>1662</v>
      </c>
      <c r="C15" s="1049">
        <f>IF(C14="有",1.1,1)</f>
        <v>1</v>
      </c>
      <c r="D15" s="1049">
        <f>IF(D14="有",1.1,1)</f>
        <v>1</v>
      </c>
      <c r="E15" s="1049">
        <f>IF(E14="有",1.1,1)</f>
        <v>1</v>
      </c>
      <c r="F15" s="1049">
        <f>IF(F14="500米范围内",1.2,IF(F14="500-1000米",1.1,1))</f>
        <v>1</v>
      </c>
      <c r="G15" s="1050">
        <v>1</v>
      </c>
      <c r="H15" s="1050">
        <v>1</v>
      </c>
      <c r="I15" s="1050">
        <v>1</v>
      </c>
      <c r="J15" s="1051">
        <v>1</v>
      </c>
      <c r="K15" s="1399"/>
      <c r="L15" s="1596" t="s">
        <v>863</v>
      </c>
      <c r="M15" s="1426" t="s">
        <v>949</v>
      </c>
      <c r="N15" s="1426" t="s">
        <v>950</v>
      </c>
      <c r="O15" s="1426" t="s">
        <v>867</v>
      </c>
      <c r="P15" s="1474" t="s">
        <v>951</v>
      </c>
      <c r="Q15" s="2188"/>
      <c r="R15" s="2936">
        <v>14</v>
      </c>
      <c r="S15" s="2925"/>
      <c r="T15" s="2936" t="e">
        <f t="shared" si="0"/>
        <v>#DIV/0!</v>
      </c>
      <c r="U15" s="2925"/>
      <c r="V15" s="2936" t="e">
        <f t="shared" si="1"/>
        <v>#DIV/0!</v>
      </c>
      <c r="W15" s="2188"/>
      <c r="X15" s="2188"/>
      <c r="Y15" s="2188"/>
      <c r="Z15" s="2188"/>
      <c r="AA15" s="2188"/>
      <c r="AB15" s="2188"/>
      <c r="AC15" s="2189"/>
    </row>
    <row r="16" spans="1:39" ht="24">
      <c r="A16" s="3422" t="s">
        <v>1800</v>
      </c>
      <c r="B16" s="1425" t="s">
        <v>915</v>
      </c>
      <c r="C16" s="1052" t="e">
        <f>ROUND(SUM(G17:J17)/C17,0)</f>
        <v>#DIV/0!</v>
      </c>
      <c r="D16" s="1458" t="s">
        <v>916</v>
      </c>
      <c r="E16" s="1459"/>
      <c r="F16" s="1460"/>
      <c r="G16" s="1461"/>
      <c r="H16" s="1461"/>
      <c r="I16" s="1461"/>
      <c r="J16" s="1461"/>
      <c r="K16" s="1399"/>
      <c r="L16" s="1462" t="s">
        <v>953</v>
      </c>
      <c r="M16" s="1045">
        <v>0.25</v>
      </c>
      <c r="N16" s="1045">
        <v>0.2</v>
      </c>
      <c r="O16" s="1045">
        <v>0.15</v>
      </c>
      <c r="P16" s="1537">
        <v>0.1</v>
      </c>
      <c r="Q16" s="2191"/>
      <c r="R16" s="2936">
        <v>15</v>
      </c>
      <c r="S16" s="2925"/>
      <c r="T16" s="2936" t="e">
        <f t="shared" si="0"/>
        <v>#DIV/0!</v>
      </c>
      <c r="U16" s="2925"/>
      <c r="V16" s="2936" t="e">
        <f t="shared" si="1"/>
        <v>#DIV/0!</v>
      </c>
      <c r="W16" s="2191"/>
      <c r="X16" s="2191"/>
      <c r="Y16" s="2191"/>
      <c r="Z16" s="2191"/>
      <c r="AA16" s="2191"/>
      <c r="AB16" s="2191"/>
      <c r="AC16" s="2192"/>
    </row>
    <row r="17" spans="1:40" ht="24.6" thickBot="1">
      <c r="A17" s="3423"/>
      <c r="B17" s="1463" t="s">
        <v>918</v>
      </c>
      <c r="C17" s="1053">
        <f>SUMPRODUCT((修正!A2:A5=E2)*(修正!B1:M1=G2)*(修正!B2:M5))</f>
        <v>0</v>
      </c>
      <c r="D17" s="1465" t="s">
        <v>919</v>
      </c>
      <c r="E17" s="1466" t="str">
        <f>IF(OR(G2="八级",G2="九级",G2="十级",G2="十一级",G2="十二级"),"五通一平","七通一平")</f>
        <v>七通一平</v>
      </c>
      <c r="F17" s="1464" t="s">
        <v>920</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9"/>
      <c r="L17" s="1467" t="s">
        <v>939</v>
      </c>
      <c r="M17" s="1538">
        <f ca="1">ROUND($E$20*(1+M16),3)</f>
        <v>5.3999999999999999E-2</v>
      </c>
      <c r="N17" s="1538">
        <f ca="1">ROUND($E$20*(1+N16),3)</f>
        <v>5.1999999999999998E-2</v>
      </c>
      <c r="O17" s="1538">
        <f ca="1">ROUND($E$20*(1+O16),3)</f>
        <v>0.05</v>
      </c>
      <c r="P17" s="1539">
        <f ca="1">ROUND($E$20*(1+P16),3)</f>
        <v>4.8000000000000001E-2</v>
      </c>
      <c r="Q17" s="2191"/>
      <c r="R17" s="2192"/>
      <c r="S17" s="2192"/>
      <c r="T17" s="2192"/>
      <c r="U17" s="2192"/>
      <c r="V17" s="2192"/>
      <c r="W17" s="2191"/>
      <c r="X17" s="2191"/>
      <c r="Y17" s="2191"/>
      <c r="Z17" s="2191"/>
      <c r="AA17" s="2191"/>
      <c r="AB17" s="2191"/>
      <c r="AC17" s="2192"/>
      <c r="AH17" s="1400"/>
      <c r="AI17" s="1400"/>
      <c r="AJ17" s="1403"/>
      <c r="AK17" s="1403"/>
      <c r="AL17" s="1403"/>
      <c r="AM17" s="1403"/>
    </row>
    <row r="18" spans="1:40" s="1419" customFormat="1" ht="15" thickBot="1">
      <c r="A18" s="1639" t="s">
        <v>1791</v>
      </c>
      <c r="B18" s="2771" t="s">
        <v>921</v>
      </c>
      <c r="C18" s="2772">
        <f>SUMIF(修正!C18:C39,E3,修正!E18:E39)</f>
        <v>0</v>
      </c>
      <c r="D18" s="2773"/>
      <c r="E18" s="2774"/>
      <c r="F18" s="2775"/>
      <c r="G18" s="2769"/>
      <c r="H18" s="2769"/>
      <c r="I18" s="2769"/>
      <c r="J18" s="2776"/>
      <c r="K18" s="1479"/>
      <c r="L18" s="1479"/>
      <c r="M18" s="1479"/>
      <c r="N18" s="1479"/>
      <c r="O18" s="1595"/>
      <c r="P18" s="1595"/>
      <c r="Q18" s="2193"/>
      <c r="R18" s="2193"/>
      <c r="S18" s="2193"/>
      <c r="T18" s="2193"/>
      <c r="U18" s="2193"/>
      <c r="V18" s="2193"/>
      <c r="W18" s="2192"/>
      <c r="X18" s="2192"/>
      <c r="Y18" s="2192"/>
      <c r="Z18" s="2192"/>
      <c r="AA18" s="2191"/>
      <c r="AB18" s="2191"/>
      <c r="AC18" s="2194"/>
      <c r="AD18" s="1470"/>
      <c r="AE18" s="1470"/>
      <c r="AF18" s="1470"/>
      <c r="AG18" s="1470"/>
      <c r="AH18" s="1401"/>
      <c r="AI18" s="1401"/>
      <c r="AJ18" s="1402"/>
      <c r="AK18" s="1402"/>
      <c r="AL18" s="1402"/>
    </row>
    <row r="19" spans="1:40" s="1419" customFormat="1" ht="29.4" thickBot="1">
      <c r="A19" s="1638" t="s">
        <v>1797</v>
      </c>
      <c r="B19" s="1468" t="s">
        <v>922</v>
      </c>
      <c r="C19" s="1055" t="e">
        <f>ROUND(IF(H19="按公示增长率计算",SUMPRODUCT((地价!A3:A23=YEAR(G19)&amp;"-"&amp;ROUNDUP(MONTH(G19)/3,0))*(地价!X2:AB2=E2)*(地价!X3:AB23)),IF(H19="地价指数",M20/M19,(1+I19)^O19)),4)</f>
        <v>#DIV/0!</v>
      </c>
      <c r="D19" s="1472" t="s">
        <v>923</v>
      </c>
      <c r="E19" s="1056">
        <v>41640</v>
      </c>
      <c r="F19" s="1472" t="s">
        <v>924</v>
      </c>
      <c r="G19" s="1057">
        <f>'数据-取费表'!B2</f>
        <v>43458</v>
      </c>
      <c r="H19" s="1473" t="s">
        <v>2897</v>
      </c>
      <c r="I19" s="2783" t="str">
        <f>IF(H19="季度增幅（自定义）",SUMIF(N21:N24,E2,O21:O24),"")</f>
        <v/>
      </c>
      <c r="J19" s="1469"/>
      <c r="K19" s="1479"/>
      <c r="L19" s="3039" t="s">
        <v>2803</v>
      </c>
      <c r="M19" s="3040">
        <f>ROUND(SUMIF(地价!B2:F2,E2,地价!B23:F23),0)</f>
        <v>0</v>
      </c>
      <c r="N19" s="2785" t="s">
        <v>1641</v>
      </c>
      <c r="O19" s="2784">
        <f>ROUNDDOWN(DATEDIF(E19,G19,"M")/3,0)</f>
        <v>19</v>
      </c>
      <c r="P19" s="1594"/>
      <c r="R19" s="2924"/>
      <c r="S19" s="2924"/>
      <c r="T19" s="2924"/>
      <c r="U19" s="2924"/>
      <c r="V19" s="2924"/>
      <c r="W19" s="2194"/>
      <c r="X19" s="2194"/>
      <c r="Y19" s="2194"/>
      <c r="Z19" s="2194"/>
      <c r="AA19" s="2194"/>
      <c r="AB19" s="2194"/>
      <c r="AC19" s="2194"/>
      <c r="AD19" s="1401"/>
      <c r="AE19" s="1401"/>
      <c r="AF19" s="1401"/>
      <c r="AG19" s="1401"/>
      <c r="AH19" s="1470"/>
      <c r="AI19" s="1471"/>
      <c r="AJ19" s="1475"/>
      <c r="AK19" s="1402"/>
      <c r="AL19" s="1418"/>
      <c r="AM19" s="1418"/>
      <c r="AN19" s="1418"/>
    </row>
    <row r="20" spans="1:40" s="1419" customFormat="1" ht="29.4" thickBot="1">
      <c r="A20" s="2777" t="s">
        <v>1798</v>
      </c>
      <c r="B20" s="2778" t="s">
        <v>937</v>
      </c>
      <c r="C20" s="2779" t="e">
        <f>ROUND(POWER(1+G20,J20-I20)*(POWER(1+G20,I20)-1)/(POWER(1+G20,J20)-1),4)</f>
        <v>#DIV/0!</v>
      </c>
      <c r="D20" s="2780" t="s">
        <v>938</v>
      </c>
      <c r="E20" s="3095">
        <f ca="1">存贷款利率!I4/100</f>
        <v>4.3499999999999997E-2</v>
      </c>
      <c r="F20" s="2780" t="s">
        <v>939</v>
      </c>
      <c r="G20" s="2781">
        <f>SUMIF(M15:P15,E2,M17:P17)</f>
        <v>0</v>
      </c>
      <c r="H20" s="2780" t="s">
        <v>940</v>
      </c>
      <c r="I20" s="2770" t="e">
        <f>SUMIF('数据-取费表'!C6:C15,E2,'数据-取费表'!F6:F15)/COUNTIF('数据-取费表'!C6:C15,E2)</f>
        <v>#DIV/0!</v>
      </c>
      <c r="J20" s="2782">
        <f>IF(E2="住宅",70,IF(E2="商业",40,50))</f>
        <v>50</v>
      </c>
      <c r="K20" s="1479"/>
      <c r="L20" s="3041" t="s">
        <v>2804</v>
      </c>
      <c r="M20" s="3042">
        <f>ROUND(SUMPRODUCT((地价!A4:A23=YEAR(G19)&amp;"-"&amp;ROUNDUP(MONTH(G19)/3,0))*(地价!B2:F2=E2)*(地价!B4:F23)),0)</f>
        <v>0</v>
      </c>
      <c r="N20" s="2788" t="s">
        <v>2607</v>
      </c>
      <c r="O20" s="2786" t="s">
        <v>2606</v>
      </c>
      <c r="P20" s="2787" t="s">
        <v>2612</v>
      </c>
      <c r="R20" s="2924"/>
      <c r="S20" s="2924"/>
      <c r="T20" s="2924"/>
      <c r="U20" s="2924"/>
      <c r="V20" s="2924"/>
      <c r="W20" s="2194"/>
      <c r="X20" s="2194"/>
      <c r="Y20" s="2194"/>
      <c r="Z20" s="2194"/>
      <c r="AA20" s="2194"/>
      <c r="AB20" s="2194"/>
      <c r="AC20" s="2194"/>
      <c r="AD20" s="1470"/>
      <c r="AE20" s="1470"/>
      <c r="AF20" s="1470"/>
      <c r="AG20" s="1470"/>
      <c r="AH20" s="1470"/>
      <c r="AI20" s="1470"/>
    </row>
    <row r="21" spans="1:40" s="1419" customFormat="1" ht="14.4">
      <c r="A21" s="1640" t="s">
        <v>1799</v>
      </c>
      <c r="B21" s="1478" t="s">
        <v>2723</v>
      </c>
      <c r="C21" s="1156">
        <f>IF(B21="容积率修正",IF(G3&lt;=10,D22,J22),C23)</f>
        <v>0</v>
      </c>
      <c r="D21" s="1479"/>
      <c r="E21" s="1479"/>
      <c r="F21" s="1479"/>
      <c r="G21" s="1479"/>
      <c r="H21" s="1479"/>
      <c r="I21" s="1479"/>
      <c r="J21" s="1480"/>
      <c r="K21" s="1479"/>
      <c r="L21" s="1479"/>
      <c r="M21" s="1479"/>
      <c r="N21" s="1476" t="s">
        <v>941</v>
      </c>
      <c r="O21" s="1540"/>
      <c r="P21" s="2768">
        <f>SUMPRODUCT((地价!A3:A23=YEAR(G19)&amp;"-"&amp;ROUNDUP(MONTH(G19)/3,0))*(地价!AD2:AH2=N21)*(地价!AD3:AH23))</f>
        <v>0</v>
      </c>
      <c r="R21" s="2924"/>
      <c r="S21" s="2924"/>
      <c r="T21" s="2924"/>
      <c r="U21" s="2924"/>
      <c r="V21" s="2924"/>
      <c r="W21" s="2194"/>
      <c r="X21" s="2194"/>
      <c r="Y21" s="2194"/>
      <c r="Z21" s="2194"/>
      <c r="AA21" s="2194"/>
      <c r="AB21" s="2194"/>
      <c r="AC21" s="2194"/>
      <c r="AD21" s="1401"/>
      <c r="AE21" s="1401"/>
      <c r="AF21" s="1401"/>
      <c r="AG21" s="1401"/>
      <c r="AH21" s="1470"/>
      <c r="AI21" s="1470"/>
    </row>
    <row r="22" spans="1:40" s="1419" customFormat="1" ht="14.4">
      <c r="A22" s="1641" t="s">
        <v>1832</v>
      </c>
      <c r="B22" s="1481" t="s">
        <v>942</v>
      </c>
      <c r="C22" s="1058" t="s">
        <v>1664</v>
      </c>
      <c r="D22" s="1058">
        <f>IF(E22=G22,F22,IF(G3&lt;=10,ROUND(F22+(H22-F22)*(G3-E22)/(G22-E22),4),"——"))</f>
        <v>0</v>
      </c>
      <c r="E22" s="1037">
        <f>ROUNDDOWN(G3,1)</f>
        <v>1.1000000000000001</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1.2000000000000002</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943</v>
      </c>
      <c r="J22" s="1058" t="str">
        <f>IF(G3&gt;10,D113,"——")</f>
        <v>——</v>
      </c>
      <c r="K22" s="1479"/>
      <c r="L22" s="1479"/>
      <c r="M22" s="1479"/>
      <c r="N22" s="1476" t="s">
        <v>944</v>
      </c>
      <c r="O22" s="1540"/>
      <c r="P22" s="2768">
        <f>SUMPRODUCT((地价!A3:A23=YEAR(G19)&amp;"-"&amp;ROUNDUP(MONTH(G19)/3,0))*(地价!AD2:AH2=N22)*(地价!AD3:AH23))</f>
        <v>0</v>
      </c>
      <c r="R22" s="2924"/>
      <c r="S22" s="2924"/>
      <c r="T22" s="2924"/>
      <c r="U22" s="2924"/>
      <c r="V22" s="2924"/>
      <c r="W22" s="2194"/>
      <c r="X22" s="2194"/>
      <c r="Y22" s="2194"/>
      <c r="Z22" s="2194"/>
      <c r="AA22" s="2194"/>
      <c r="AB22" s="2194"/>
      <c r="AC22" s="2194"/>
      <c r="AD22" s="1470"/>
      <c r="AE22" s="1470"/>
      <c r="AF22" s="1470"/>
      <c r="AG22" s="1470"/>
      <c r="AH22" s="1470"/>
      <c r="AI22" s="1470"/>
    </row>
    <row r="23" spans="1:40" ht="29.4" thickBot="1">
      <c r="A23" s="1641" t="s">
        <v>1833</v>
      </c>
      <c r="B23" s="1481" t="s">
        <v>945</v>
      </c>
      <c r="C23" s="1059">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888</v>
      </c>
      <c r="O23" s="1540"/>
      <c r="P23" s="2768">
        <f>SUMPRODUCT((地价!A3:A23=YEAR(G19)&amp;"-"&amp;ROUNDUP(MONTH(G19)/3,0))*(地价!AD2:AH2=N23)*(地价!AD3:AH23))</f>
        <v>0</v>
      </c>
      <c r="R23" s="2924"/>
      <c r="S23" s="2924"/>
      <c r="T23" s="2924"/>
      <c r="U23" s="2924"/>
      <c r="V23" s="2924"/>
      <c r="W23" s="2194"/>
      <c r="X23" s="2194"/>
      <c r="Y23" s="2194"/>
      <c r="Z23" s="2194"/>
      <c r="AA23" s="2194"/>
      <c r="AB23" s="2194"/>
      <c r="AC23" s="2194"/>
      <c r="AN23" s="1402"/>
    </row>
    <row r="24" spans="1:40" s="1419" customFormat="1" ht="15" thickBot="1">
      <c r="A24" s="1639" t="s">
        <v>1834</v>
      </c>
      <c r="B24" s="1413" t="s">
        <v>946</v>
      </c>
      <c r="C24" s="1060">
        <f>SUMIF(A44:A87,E2,B44:B87)</f>
        <v>0</v>
      </c>
      <c r="D24" s="1533"/>
      <c r="E24" s="1534"/>
      <c r="F24" s="1534"/>
      <c r="G24" s="1534"/>
      <c r="H24" s="1534"/>
      <c r="I24" s="1534"/>
      <c r="J24" s="1534"/>
      <c r="K24" s="1479"/>
      <c r="L24" s="1479"/>
      <c r="M24" s="1479"/>
      <c r="N24" s="1482" t="s">
        <v>947</v>
      </c>
      <c r="O24" s="1541"/>
      <c r="P24" s="1539">
        <f>SUMPRODUCT((地价!A3:A23=YEAR(G19)&amp;"-"&amp;ROUNDUP(MONTH(G19)/3,0))*(地价!AD2:AH2=N24)*(地价!AD3:AH23))</f>
        <v>0</v>
      </c>
      <c r="R24" s="2924"/>
      <c r="S24" s="2924"/>
      <c r="T24" s="2924"/>
      <c r="U24" s="2924"/>
      <c r="V24" s="2924"/>
      <c r="W24" s="2194"/>
      <c r="X24" s="2194"/>
      <c r="Y24" s="2194"/>
      <c r="Z24" s="2194"/>
      <c r="AA24" s="2194"/>
      <c r="AB24" s="2194"/>
      <c r="AC24" s="2194"/>
      <c r="AD24" s="1470"/>
      <c r="AE24" s="1470"/>
      <c r="AF24" s="1470"/>
      <c r="AG24" s="1470"/>
      <c r="AH24" s="1470"/>
      <c r="AI24" s="1470"/>
    </row>
    <row r="25" spans="1:40" ht="15" thickBot="1">
      <c r="A25" s="1639" t="s">
        <v>1835</v>
      </c>
      <c r="B25" s="1484" t="s">
        <v>948</v>
      </c>
      <c r="C25" s="1485"/>
      <c r="D25" s="1428"/>
      <c r="E25" s="1428"/>
      <c r="F25" s="1486"/>
      <c r="G25" s="1428"/>
      <c r="H25" s="1428"/>
      <c r="I25" s="1428"/>
      <c r="J25" s="1429"/>
      <c r="K25" s="1399"/>
      <c r="L25" s="2194"/>
      <c r="M25" s="2194"/>
      <c r="N25" s="2796" t="s">
        <v>2610</v>
      </c>
      <c r="O25" s="2194"/>
      <c r="P25" s="1539">
        <f>SUMPRODUCT((地价!A3:A23=YEAR(G19)&amp;"-"&amp;ROUNDUP(MONTH(G19)/3,0))*(地价!AD2:AH2=N25)*(地价!AD3:AH23))</f>
        <v>0</v>
      </c>
      <c r="R25" s="2924"/>
      <c r="S25" s="2924"/>
      <c r="T25" s="2924"/>
      <c r="U25" s="2924"/>
      <c r="V25" s="2924"/>
      <c r="W25" s="2194"/>
      <c r="X25" s="2194"/>
      <c r="Y25" s="2194"/>
      <c r="Z25" s="2194"/>
      <c r="AA25" s="2194"/>
      <c r="AB25" s="2194"/>
      <c r="AC25" s="2194"/>
    </row>
    <row r="26" spans="1:40" ht="14.4">
      <c r="A26" s="1487"/>
      <c r="B26" s="1481" t="s">
        <v>952</v>
      </c>
      <c r="C26" s="1061" t="e">
        <f>E29+SUM(E33:E39)</f>
        <v>#DIV/0!</v>
      </c>
      <c r="D26" s="1488"/>
      <c r="E26" s="1454"/>
      <c r="F26" s="1489"/>
      <c r="G26" s="1454"/>
      <c r="H26" s="1454"/>
      <c r="I26" s="1454"/>
      <c r="J26" s="1490"/>
      <c r="K26" s="1399"/>
      <c r="L26" s="2194"/>
      <c r="M26" s="2194"/>
      <c r="N26" s="2194"/>
      <c r="O26" s="2194"/>
      <c r="P26" s="2194"/>
      <c r="Q26" s="2194"/>
      <c r="R26" s="2924"/>
      <c r="S26" s="2924"/>
      <c r="T26" s="2924"/>
      <c r="U26" s="2924"/>
      <c r="V26" s="2924"/>
      <c r="W26" s="2194"/>
      <c r="X26" s="2194"/>
      <c r="Y26" s="2194"/>
      <c r="Z26" s="2194"/>
      <c r="AA26" s="2194"/>
      <c r="AB26" s="2194"/>
      <c r="AC26" s="2194"/>
      <c r="AD26" s="1470"/>
      <c r="AE26" s="1470"/>
      <c r="AF26" s="1470"/>
      <c r="AG26" s="1470"/>
    </row>
    <row r="27" spans="1:40" ht="15" thickBot="1">
      <c r="A27" s="1487"/>
      <c r="B27" s="1491" t="s">
        <v>954</v>
      </c>
      <c r="C27" s="1062" t="e">
        <f>E30+SUM(I33:I39)</f>
        <v>#DIV/0!</v>
      </c>
      <c r="D27" s="1492"/>
      <c r="E27" s="1493"/>
      <c r="F27" s="1494"/>
      <c r="G27" s="1493"/>
      <c r="H27" s="1493"/>
      <c r="I27" s="1493"/>
      <c r="J27" s="1495"/>
      <c r="K27" s="1399"/>
      <c r="L27" s="2194"/>
      <c r="M27" s="2194"/>
      <c r="N27" s="2194"/>
      <c r="O27" s="2194"/>
      <c r="P27" s="2194"/>
      <c r="Q27" s="2194"/>
      <c r="R27" s="2924"/>
      <c r="S27" s="2924"/>
      <c r="T27" s="2924"/>
      <c r="U27" s="2924"/>
      <c r="V27" s="2924"/>
      <c r="W27" s="2194"/>
      <c r="X27" s="2194"/>
      <c r="Y27" s="2194"/>
      <c r="Z27" s="2194"/>
      <c r="AA27" s="2194"/>
      <c r="AB27" s="2194"/>
      <c r="AC27" s="2194"/>
    </row>
    <row r="28" spans="1:40" ht="14.4">
      <c r="A28" s="1483"/>
      <c r="B28" s="1496" t="s">
        <v>955</v>
      </c>
      <c r="C28" s="1497" t="s">
        <v>956</v>
      </c>
      <c r="D28" s="1497" t="s">
        <v>957</v>
      </c>
      <c r="E28" s="1498" t="s">
        <v>958</v>
      </c>
      <c r="F28" s="1499"/>
      <c r="G28" s="1440"/>
      <c r="H28" s="1440"/>
      <c r="I28" s="1440"/>
      <c r="J28" s="1441"/>
      <c r="K28" s="1399"/>
      <c r="L28" s="2194"/>
      <c r="M28" s="2194"/>
      <c r="N28" s="2194"/>
      <c r="O28" s="2194"/>
      <c r="P28" s="2194"/>
      <c r="Q28" s="2194"/>
      <c r="R28" s="2924"/>
      <c r="S28" s="2924"/>
      <c r="T28" s="2924"/>
      <c r="U28" s="2924"/>
      <c r="V28" s="2924"/>
      <c r="W28" s="2194"/>
      <c r="X28" s="2194"/>
      <c r="Y28" s="2194"/>
      <c r="Z28" s="2194"/>
      <c r="AA28" s="2194"/>
      <c r="AB28" s="2194"/>
      <c r="AC28" s="2194"/>
      <c r="AD28" s="1470"/>
      <c r="AE28" s="1470"/>
      <c r="AF28" s="1470"/>
      <c r="AG28" s="1470"/>
    </row>
    <row r="29" spans="1:40" ht="24">
      <c r="A29" s="1500"/>
      <c r="B29" s="1501" t="s">
        <v>959</v>
      </c>
      <c r="C29" s="1061" t="e">
        <f>ROUND(C5*C18*C19*C20*C21*C24,0)</f>
        <v>#DIV/0!</v>
      </c>
      <c r="D29" s="1502"/>
      <c r="E29" s="1848" t="e">
        <f>ROUND(C29*D29/10000,0)</f>
        <v>#DIV/0!</v>
      </c>
      <c r="F29" s="1503" t="s">
        <v>1663</v>
      </c>
      <c r="G29" s="1504"/>
      <c r="H29" s="1504"/>
      <c r="I29" s="1504"/>
      <c r="J29" s="1505"/>
      <c r="K29" s="1399"/>
      <c r="L29" s="2194"/>
      <c r="M29" s="2194"/>
      <c r="N29" s="2194"/>
      <c r="O29" s="2194"/>
      <c r="P29" s="2194"/>
      <c r="Q29" s="2194"/>
      <c r="R29" s="2924"/>
      <c r="S29" s="2924"/>
      <c r="T29" s="2924"/>
      <c r="U29" s="2924"/>
      <c r="V29" s="2924"/>
      <c r="W29" s="2194"/>
      <c r="X29" s="2194"/>
      <c r="Y29" s="2194"/>
      <c r="Z29" s="2194"/>
      <c r="AA29" s="2194"/>
      <c r="AB29" s="2194"/>
      <c r="AC29" s="2194"/>
      <c r="AH29" s="1400"/>
      <c r="AI29" s="1400"/>
      <c r="AJ29" s="1403"/>
      <c r="AK29" s="1403"/>
      <c r="AL29" s="1403"/>
      <c r="AM29" s="1403"/>
    </row>
    <row r="30" spans="1:40" ht="24.6" thickBot="1">
      <c r="A30" s="1506"/>
      <c r="B30" s="1507" t="s">
        <v>960</v>
      </c>
      <c r="C30" s="1049" t="e">
        <f>ROUND(IF(E2="工业",C29*M39,C29*M38),0)</f>
        <v>#DIV/0!</v>
      </c>
      <c r="D30" s="1508"/>
      <c r="E30" s="1848" t="e">
        <f>ROUND(C30*D30/10000,0)</f>
        <v>#DIV/0!</v>
      </c>
      <c r="F30" s="1509" t="s">
        <v>961</v>
      </c>
      <c r="G30" s="1510"/>
      <c r="H30" s="1510"/>
      <c r="I30" s="1510"/>
      <c r="J30" s="1511"/>
      <c r="K30" s="1399"/>
      <c r="L30" s="2188"/>
      <c r="M30" s="2188"/>
      <c r="N30" s="2188"/>
      <c r="O30" s="2188"/>
      <c r="P30" s="2188"/>
      <c r="Q30" s="2188"/>
      <c r="R30" s="2189"/>
      <c r="S30" s="2189"/>
      <c r="T30" s="2189"/>
      <c r="U30" s="2189"/>
      <c r="V30" s="2189"/>
      <c r="W30" s="2188"/>
      <c r="X30" s="2188"/>
      <c r="Y30" s="2188"/>
      <c r="Z30" s="2188"/>
      <c r="AA30" s="2188"/>
      <c r="AB30" s="2188"/>
      <c r="AC30" s="2188"/>
      <c r="AD30" s="1470"/>
      <c r="AE30" s="1470"/>
      <c r="AF30" s="1470"/>
      <c r="AG30" s="1470"/>
      <c r="AH30" s="1400"/>
      <c r="AI30" s="1400"/>
      <c r="AJ30" s="1403"/>
      <c r="AK30" s="1403"/>
      <c r="AL30" s="1403"/>
      <c r="AM30" s="1403"/>
    </row>
    <row r="31" spans="1:40">
      <c r="A31" s="1512"/>
      <c r="B31" s="1513" t="s">
        <v>962</v>
      </c>
      <c r="C31" s="1514" t="s">
        <v>963</v>
      </c>
      <c r="D31" s="1440"/>
      <c r="E31" s="1514"/>
      <c r="F31" s="1514"/>
      <c r="G31" s="1438" t="s">
        <v>961</v>
      </c>
      <c r="H31" s="1440"/>
      <c r="I31" s="1515"/>
      <c r="J31" s="1441"/>
      <c r="K31" s="1399"/>
      <c r="L31" s="2188"/>
      <c r="M31" s="2188"/>
      <c r="N31" s="2188"/>
      <c r="O31" s="2188"/>
      <c r="P31" s="2188"/>
      <c r="Q31" s="2188"/>
      <c r="R31" s="2189"/>
      <c r="S31" s="2189"/>
      <c r="T31" s="2189"/>
      <c r="U31" s="2189"/>
      <c r="V31" s="2189"/>
      <c r="W31" s="2188"/>
      <c r="X31" s="2188"/>
      <c r="Y31" s="2188"/>
      <c r="Z31" s="2188"/>
      <c r="AA31" s="2188"/>
      <c r="AB31" s="2188"/>
      <c r="AC31" s="2188"/>
      <c r="AH31" s="1400"/>
      <c r="AI31" s="1400"/>
      <c r="AJ31" s="1403"/>
      <c r="AK31" s="1403"/>
      <c r="AL31" s="1403"/>
      <c r="AM31" s="1403"/>
    </row>
    <row r="32" spans="1:40" ht="36">
      <c r="A32" s="1500"/>
      <c r="B32" s="1516"/>
      <c r="C32" s="1517" t="s">
        <v>956</v>
      </c>
      <c r="D32" s="1518" t="s">
        <v>957</v>
      </c>
      <c r="E32" s="1518" t="s">
        <v>958</v>
      </c>
      <c r="F32" s="1519" t="s">
        <v>964</v>
      </c>
      <c r="G32" s="1477" t="s">
        <v>956</v>
      </c>
      <c r="H32" s="1477" t="s">
        <v>957</v>
      </c>
      <c r="I32" s="1477" t="s">
        <v>958</v>
      </c>
      <c r="J32" s="1520"/>
      <c r="K32" s="1399"/>
      <c r="L32" s="2188"/>
      <c r="M32" s="2188"/>
      <c r="N32" s="2188"/>
      <c r="O32" s="2188"/>
      <c r="P32" s="2188"/>
      <c r="Q32" s="2188"/>
      <c r="R32" s="2189"/>
      <c r="S32" s="2189"/>
      <c r="T32" s="2189"/>
      <c r="U32" s="2189"/>
      <c r="V32" s="2189"/>
      <c r="W32" s="2188"/>
      <c r="X32" s="2188"/>
      <c r="Y32" s="2188"/>
      <c r="Z32" s="2188"/>
      <c r="AA32" s="2188"/>
      <c r="AB32" s="2188"/>
      <c r="AC32" s="2188"/>
      <c r="AD32" s="1400"/>
      <c r="AE32" s="1400"/>
      <c r="AF32" s="1400"/>
      <c r="AG32" s="1400"/>
      <c r="AH32" s="1400"/>
      <c r="AI32" s="1400"/>
      <c r="AJ32" s="1403"/>
      <c r="AK32" s="1403"/>
      <c r="AL32" s="1403"/>
      <c r="AM32" s="1403"/>
    </row>
    <row r="33" spans="1:40" ht="13.2">
      <c r="A33" s="3428" t="s">
        <v>2922</v>
      </c>
      <c r="B33" s="1522" t="s">
        <v>965</v>
      </c>
      <c r="C33" s="1061" t="e">
        <f>ROUND(D5*C19*C20*C24*F33,0)</f>
        <v>#DIV/0!</v>
      </c>
      <c r="D33" s="1535"/>
      <c r="E33" s="1046" t="e">
        <f>ROUND(C33*D33/10000,0)</f>
        <v>#DIV/0!</v>
      </c>
      <c r="F33" s="1046">
        <f>SUMIF(修正!A45:A56,G2,修正!B45:B56)</f>
        <v>0</v>
      </c>
      <c r="G33" s="1046" t="e">
        <f t="shared" ref="G33" si="6">ROUND(IF(E2="工业",C33*$M$39,C33*$M$38),0)</f>
        <v>#DIV/0!</v>
      </c>
      <c r="H33" s="1046">
        <f>D33</f>
        <v>0</v>
      </c>
      <c r="I33" s="1046" t="e">
        <f>ROUND(G33*H33/10000,0)</f>
        <v>#DIV/0!</v>
      </c>
      <c r="J33" s="1523"/>
      <c r="K33" s="1399"/>
      <c r="L33" s="2188"/>
      <c r="M33" s="2188"/>
      <c r="N33" s="2188"/>
      <c r="O33" s="2188"/>
      <c r="P33" s="2188"/>
      <c r="Q33" s="2188"/>
      <c r="R33" s="2189"/>
      <c r="S33" s="2189"/>
      <c r="T33" s="2189"/>
      <c r="U33" s="2189"/>
      <c r="V33" s="2189"/>
      <c r="W33" s="2188"/>
      <c r="X33" s="2188"/>
      <c r="Y33" s="2188"/>
      <c r="Z33" s="2188"/>
      <c r="AA33" s="2188"/>
      <c r="AB33" s="2188"/>
      <c r="AC33" s="2189"/>
    </row>
    <row r="34" spans="1:40" ht="13.2">
      <c r="A34" s="3429"/>
      <c r="B34" s="1443" t="s">
        <v>966</v>
      </c>
      <c r="C34" s="1061" t="e">
        <f>ROUND(D5*C19*C20*C24*F34,0)</f>
        <v>#DIV/0!</v>
      </c>
      <c r="D34" s="1535"/>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23"/>
      <c r="K34" s="1399"/>
      <c r="L34" s="2188"/>
      <c r="M34" s="2188"/>
      <c r="N34" s="2188"/>
      <c r="O34" s="2188"/>
      <c r="P34" s="2188"/>
      <c r="Q34" s="2188"/>
      <c r="R34" s="2189"/>
      <c r="S34" s="2189"/>
      <c r="T34" s="2189"/>
      <c r="U34" s="2189"/>
      <c r="V34" s="2189"/>
      <c r="W34" s="2188"/>
      <c r="X34" s="2188"/>
      <c r="Y34" s="2188"/>
      <c r="Z34" s="2188"/>
      <c r="AA34" s="2188"/>
      <c r="AB34" s="2188"/>
      <c r="AC34" s="2189"/>
    </row>
    <row r="35" spans="1:40" ht="13.2">
      <c r="A35" s="3429"/>
      <c r="B35" s="1443" t="s">
        <v>967</v>
      </c>
      <c r="C35" s="1061" t="e">
        <f>ROUND(D5*C19*C20*C24*F35,0)</f>
        <v>#DIV/0!</v>
      </c>
      <c r="D35" s="1535"/>
      <c r="E35" s="1046" t="e">
        <f t="shared" si="7"/>
        <v>#DIV/0!</v>
      </c>
      <c r="F35" s="1046">
        <f>SUMIF(修正!A45:A56,G2,修正!D45:D56)</f>
        <v>0</v>
      </c>
      <c r="G35" s="1046" t="e">
        <f>ROUND(IF(E2="工业",C35*$M$39,C35*$M$38),0)</f>
        <v>#DIV/0!</v>
      </c>
      <c r="H35" s="1046">
        <f t="shared" si="8"/>
        <v>0</v>
      </c>
      <c r="I35" s="1046" t="e">
        <f t="shared" si="9"/>
        <v>#DIV/0!</v>
      </c>
      <c r="J35" s="1523"/>
      <c r="K35" s="1399"/>
      <c r="L35" s="2188"/>
      <c r="M35" s="2188"/>
      <c r="N35" s="2188"/>
      <c r="O35" s="2188"/>
      <c r="P35" s="2188"/>
      <c r="Q35" s="2188"/>
      <c r="R35" s="2189"/>
      <c r="S35" s="2189"/>
      <c r="T35" s="2189"/>
      <c r="U35" s="2189"/>
      <c r="V35" s="2189"/>
      <c r="W35" s="2188"/>
      <c r="X35" s="2188"/>
      <c r="Y35" s="2188"/>
      <c r="Z35" s="2188"/>
      <c r="AA35" s="2188"/>
      <c r="AB35" s="2188"/>
      <c r="AC35" s="2189"/>
    </row>
    <row r="36" spans="1:40" ht="13.8" thickBot="1">
      <c r="A36" s="3430"/>
      <c r="B36" s="1443" t="s">
        <v>968</v>
      </c>
      <c r="C36" s="1061" t="e">
        <f>ROUND(D5*C19*C20*C24*F36,0)</f>
        <v>#DIV/0!</v>
      </c>
      <c r="D36" s="1535"/>
      <c r="E36" s="1046" t="e">
        <f t="shared" si="7"/>
        <v>#DIV/0!</v>
      </c>
      <c r="F36" s="1046">
        <f>SUMIF(修正!A45:A56,G2,修正!E45:E56)</f>
        <v>0</v>
      </c>
      <c r="G36" s="1046" t="e">
        <f>ROUND(IF(E2="工业",C36*$M$39,C36*$M$38),0)</f>
        <v>#DIV/0!</v>
      </c>
      <c r="H36" s="1046">
        <f t="shared" si="8"/>
        <v>0</v>
      </c>
      <c r="I36" s="1046" t="e">
        <f t="shared" si="9"/>
        <v>#DIV/0!</v>
      </c>
      <c r="J36" s="1523"/>
      <c r="K36" s="1399"/>
      <c r="L36" s="2188"/>
      <c r="M36" s="2188"/>
      <c r="N36" s="2188"/>
      <c r="O36" s="2188"/>
      <c r="P36" s="2188"/>
      <c r="Q36" s="2188"/>
      <c r="R36" s="2189"/>
      <c r="S36" s="2189"/>
      <c r="T36" s="2189"/>
      <c r="U36" s="2189"/>
      <c r="V36" s="2189"/>
      <c r="W36" s="2188"/>
      <c r="X36" s="2188"/>
      <c r="Y36" s="2188"/>
      <c r="Z36" s="2188"/>
      <c r="AA36" s="2188"/>
      <c r="AB36" s="2188"/>
      <c r="AC36" s="2189"/>
    </row>
    <row r="37" spans="1:40" ht="13.2">
      <c r="A37" s="1521"/>
      <c r="B37" s="1443" t="s">
        <v>969</v>
      </c>
      <c r="C37" s="1046" t="e">
        <f>ROUND(C5*C19*C20*C24*F37,0)</f>
        <v>#DIV/0!</v>
      </c>
      <c r="D37" s="1535"/>
      <c r="E37" s="1046" t="e">
        <f t="shared" si="7"/>
        <v>#DIV/0!</v>
      </c>
      <c r="F37" s="1061">
        <f>SUMIF(修正!A45:A56,G2,修正!F45:F56)</f>
        <v>0</v>
      </c>
      <c r="G37" s="1046" t="e">
        <f>ROUND(IF(E2="工业",C37*$M$39,C37*$M$38),0)</f>
        <v>#DIV/0!</v>
      </c>
      <c r="H37" s="1046">
        <f t="shared" si="8"/>
        <v>0</v>
      </c>
      <c r="I37" s="1046" t="e">
        <f t="shared" si="9"/>
        <v>#DIV/0!</v>
      </c>
      <c r="J37" s="1523"/>
      <c r="K37" s="1399"/>
      <c r="L37" s="1542" t="s">
        <v>1665</v>
      </c>
      <c r="M37" s="1543"/>
      <c r="N37" s="2188"/>
      <c r="O37" s="2188"/>
      <c r="P37" s="2188"/>
      <c r="Q37" s="2188"/>
      <c r="R37" s="2189"/>
      <c r="S37" s="2189"/>
      <c r="T37" s="2189"/>
      <c r="U37" s="2189"/>
      <c r="V37" s="2189"/>
      <c r="W37" s="2188"/>
      <c r="X37" s="2188"/>
      <c r="Y37" s="2188"/>
      <c r="Z37" s="2188"/>
      <c r="AA37" s="2188"/>
      <c r="AB37" s="2188"/>
      <c r="AC37" s="2189"/>
    </row>
    <row r="38" spans="1:40" ht="13.2">
      <c r="A38" s="1521"/>
      <c r="B38" s="1443" t="s">
        <v>970</v>
      </c>
      <c r="C38" s="1046" t="e">
        <f>ROUND(C5*C19*C20*C24*F38,0)</f>
        <v>#DIV/0!</v>
      </c>
      <c r="D38" s="1535"/>
      <c r="E38" s="1046" t="e">
        <f t="shared" si="7"/>
        <v>#DIV/0!</v>
      </c>
      <c r="F38" s="1061">
        <f>SUMIF(修正!A45:A56,G2,修正!G45:G56)</f>
        <v>0</v>
      </c>
      <c r="G38" s="1046" t="e">
        <f>ROUND(IF(E2="工业",C38*$M$39,C38*$M$38),0)</f>
        <v>#DIV/0!</v>
      </c>
      <c r="H38" s="1046">
        <f t="shared" si="8"/>
        <v>0</v>
      </c>
      <c r="I38" s="1046" t="e">
        <f t="shared" si="9"/>
        <v>#DIV/0!</v>
      </c>
      <c r="J38" s="1523"/>
      <c r="K38" s="1399"/>
      <c r="L38" s="1544" t="s">
        <v>1667</v>
      </c>
      <c r="M38" s="1545">
        <v>0.25</v>
      </c>
      <c r="N38" s="2188"/>
      <c r="O38" s="2188"/>
      <c r="P38" s="2188"/>
      <c r="Q38" s="2188"/>
      <c r="R38" s="2189"/>
      <c r="S38" s="2189"/>
      <c r="T38" s="2189"/>
      <c r="U38" s="2189"/>
      <c r="V38" s="2189"/>
      <c r="W38" s="2188"/>
      <c r="X38" s="2188"/>
      <c r="Y38" s="2188"/>
      <c r="Z38" s="2188"/>
      <c r="AA38" s="2188"/>
      <c r="AB38" s="2188"/>
      <c r="AC38" s="2189"/>
    </row>
    <row r="39" spans="1:40" ht="13.8" thickBot="1">
      <c r="A39" s="1506"/>
      <c r="B39" s="1524" t="s">
        <v>971</v>
      </c>
      <c r="C39" s="1049" t="e">
        <f>ROUND(C5*C19*C20*C24*F39,0)</f>
        <v>#DIV/0!</v>
      </c>
      <c r="D39" s="1536"/>
      <c r="E39" s="1049" t="e">
        <f t="shared" si="7"/>
        <v>#DIV/0!</v>
      </c>
      <c r="F39" s="1063">
        <f>SUMIF(修正!A45:A56,G2,修正!H45:H56)</f>
        <v>0</v>
      </c>
      <c r="G39" s="1049" t="e">
        <f>ROUND(IF(E2="工业",C39*$M$39,C39*$M$38),0)</f>
        <v>#DIV/0!</v>
      </c>
      <c r="H39" s="1049">
        <f t="shared" si="8"/>
        <v>0</v>
      </c>
      <c r="I39" s="1049" t="e">
        <f t="shared" si="9"/>
        <v>#DIV/0!</v>
      </c>
      <c r="J39" s="1525"/>
      <c r="K39" s="1399"/>
      <c r="L39" s="1546" t="s">
        <v>1666</v>
      </c>
      <c r="M39" s="1547">
        <v>0.15</v>
      </c>
      <c r="N39" s="2188"/>
      <c r="O39" s="2188"/>
      <c r="P39" s="2188"/>
      <c r="Q39" s="2188"/>
      <c r="R39" s="2189"/>
      <c r="S39" s="2189"/>
      <c r="T39" s="2189"/>
      <c r="U39" s="2189"/>
      <c r="V39" s="2189"/>
      <c r="W39" s="2188"/>
      <c r="X39" s="2188"/>
      <c r="Y39" s="2188"/>
      <c r="Z39" s="2188"/>
      <c r="AA39" s="2188"/>
      <c r="AB39" s="2188"/>
      <c r="AC39" s="2189"/>
    </row>
    <row r="40" spans="1:40" s="1400"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1"/>
      <c r="AE40" s="1401"/>
      <c r="AF40" s="1401"/>
      <c r="AG40" s="1401"/>
      <c r="AH40" s="1401"/>
      <c r="AI40" s="1401"/>
      <c r="AJ40" s="1401"/>
      <c r="AK40" s="1401"/>
      <c r="AL40" s="1401"/>
      <c r="AM40" s="1401"/>
    </row>
    <row r="41" spans="1:40" s="1400" customFormat="1">
      <c r="A41" s="1401"/>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1"/>
      <c r="AE41" s="1401"/>
      <c r="AF41" s="1401"/>
      <c r="AG41" s="1401"/>
      <c r="AH41" s="1401"/>
      <c r="AI41" s="1401"/>
      <c r="AJ41" s="1401"/>
      <c r="AK41" s="1401"/>
      <c r="AL41" s="1401"/>
      <c r="AM41" s="1401"/>
    </row>
    <row r="42" spans="1:40" s="1400" customFormat="1">
      <c r="A42" s="1401"/>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1"/>
      <c r="AE42" s="1401"/>
      <c r="AF42" s="1401"/>
      <c r="AG42" s="1401"/>
      <c r="AH42" s="1401"/>
      <c r="AI42" s="1401"/>
      <c r="AJ42" s="1401"/>
      <c r="AK42" s="1401"/>
      <c r="AL42" s="1401"/>
      <c r="AM42" s="1401"/>
    </row>
    <row r="43" spans="1:40" s="1400" customFormat="1">
      <c r="A43" s="1401"/>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1"/>
      <c r="AE43" s="1401"/>
      <c r="AF43" s="1401"/>
      <c r="AG43" s="1401"/>
      <c r="AH43" s="1401"/>
      <c r="AI43" s="1401"/>
      <c r="AJ43" s="1401"/>
      <c r="AK43" s="1401"/>
      <c r="AL43" s="1401"/>
      <c r="AM43" s="1401"/>
    </row>
    <row r="44" spans="1:40" s="1400" customFormat="1" ht="15" thickBot="1">
      <c r="A44" s="2418" t="s">
        <v>972</v>
      </c>
      <c r="B44" s="2419"/>
      <c r="C44" s="2420"/>
      <c r="D44" s="2421"/>
      <c r="E44" s="2421"/>
      <c r="F44" s="2422"/>
      <c r="G44" s="1064"/>
      <c r="H44" s="2422"/>
      <c r="I44" s="1064"/>
      <c r="J44" s="1064"/>
      <c r="K44" s="1064"/>
      <c r="L44" s="1064"/>
      <c r="M44" s="1064"/>
      <c r="O44" s="2195"/>
      <c r="P44" s="2195"/>
      <c r="Q44" s="2195"/>
      <c r="R44" s="2196"/>
      <c r="S44" s="2196"/>
      <c r="T44" s="2196"/>
      <c r="U44" s="2196"/>
      <c r="V44" s="2196"/>
      <c r="W44" s="2195"/>
      <c r="X44" s="2195"/>
      <c r="Y44" s="2195"/>
      <c r="Z44" s="2195"/>
      <c r="AA44" s="2195"/>
      <c r="AB44" s="2195"/>
      <c r="AC44" s="2196"/>
      <c r="AD44" s="1401"/>
      <c r="AE44" s="1401"/>
      <c r="AF44" s="1401"/>
      <c r="AG44" s="1401"/>
      <c r="AH44" s="1401"/>
      <c r="AI44" s="1401"/>
      <c r="AJ44" s="1401"/>
      <c r="AK44" s="1401"/>
      <c r="AL44" s="1401"/>
      <c r="AM44" s="1401"/>
    </row>
    <row r="45" spans="1:40" s="1400" customFormat="1" ht="14.4">
      <c r="A45" s="2423" t="s">
        <v>973</v>
      </c>
      <c r="B45" s="2424">
        <f>1+E47</f>
        <v>1</v>
      </c>
      <c r="C45" s="2425"/>
      <c r="D45" s="2426"/>
      <c r="E45" s="2427"/>
      <c r="F45" s="2428"/>
      <c r="G45" s="2422"/>
      <c r="H45" s="2422"/>
      <c r="I45" s="1064"/>
      <c r="J45" s="1064"/>
      <c r="K45" s="1064"/>
      <c r="L45" s="1064"/>
      <c r="M45" s="1064"/>
      <c r="O45" s="2195"/>
      <c r="P45" s="2195"/>
      <c r="Q45" s="2195"/>
      <c r="R45" s="2196"/>
      <c r="S45" s="2196"/>
      <c r="T45" s="2196"/>
      <c r="U45" s="2196"/>
      <c r="V45" s="2196"/>
      <c r="W45" s="2195"/>
      <c r="X45" s="2195"/>
      <c r="Y45" s="2195"/>
      <c r="Z45" s="2195"/>
      <c r="AA45" s="2195"/>
      <c r="AB45" s="2195"/>
      <c r="AC45" s="2196"/>
      <c r="AD45" s="1401"/>
      <c r="AE45" s="1401"/>
      <c r="AF45" s="1401"/>
      <c r="AG45" s="1401"/>
      <c r="AH45" s="1401"/>
      <c r="AI45" s="1401"/>
      <c r="AJ45" s="1401"/>
      <c r="AK45" s="1401"/>
      <c r="AL45" s="1401"/>
      <c r="AM45" s="1401"/>
    </row>
    <row r="46" spans="1:40" s="1400" customFormat="1" ht="24">
      <c r="A46" s="1065" t="s">
        <v>974</v>
      </c>
      <c r="B46" s="2407" t="s">
        <v>975</v>
      </c>
      <c r="C46" s="2429" t="s">
        <v>976</v>
      </c>
      <c r="D46" s="2430" t="s">
        <v>977</v>
      </c>
      <c r="E46" s="2431" t="s">
        <v>979</v>
      </c>
      <c r="F46" s="2432" t="s">
        <v>2212</v>
      </c>
      <c r="G46" s="2430" t="s">
        <v>980</v>
      </c>
      <c r="H46" s="2413" t="s">
        <v>2380</v>
      </c>
      <c r="I46" s="2430" t="s">
        <v>978</v>
      </c>
      <c r="J46" s="2433" t="s">
        <v>981</v>
      </c>
      <c r="K46" s="2433" t="s">
        <v>982</v>
      </c>
      <c r="L46" s="2433" t="s">
        <v>983</v>
      </c>
      <c r="M46" s="2433" t="s">
        <v>984</v>
      </c>
      <c r="N46" s="2433" t="s">
        <v>985</v>
      </c>
      <c r="P46" s="2195"/>
      <c r="Q46" s="2195"/>
      <c r="R46" s="2196"/>
      <c r="S46" s="2196"/>
      <c r="T46" s="2196"/>
      <c r="U46" s="2196"/>
      <c r="V46" s="2196"/>
      <c r="W46" s="2195"/>
      <c r="X46" s="2195"/>
      <c r="Y46" s="2195"/>
      <c r="Z46" s="2195"/>
      <c r="AA46" s="2195"/>
      <c r="AB46" s="2195"/>
      <c r="AC46" s="2195"/>
      <c r="AD46" s="2196"/>
      <c r="AE46" s="1401"/>
      <c r="AF46" s="1401"/>
      <c r="AG46" s="1401"/>
      <c r="AH46" s="1401"/>
      <c r="AI46" s="1401"/>
      <c r="AJ46" s="1401"/>
      <c r="AK46" s="1401"/>
      <c r="AL46" s="1401"/>
      <c r="AM46" s="1401"/>
      <c r="AN46" s="1401"/>
    </row>
    <row r="47" spans="1:40" s="1400" customFormat="1" ht="48">
      <c r="A47" s="1065" t="s">
        <v>986</v>
      </c>
      <c r="B47" s="2410" t="str">
        <f>估价对象房地状况!C16</f>
        <v>估价对象位于XX商圈，周边商业氛围成熟，人流量大，商业繁华度好</v>
      </c>
      <c r="C47" s="1048"/>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1"/>
      <c r="AF47" s="1401"/>
      <c r="AG47" s="1401"/>
      <c r="AH47" s="1401"/>
      <c r="AI47" s="1401"/>
      <c r="AJ47" s="1401"/>
      <c r="AK47" s="1401"/>
      <c r="AL47" s="1401"/>
      <c r="AM47" s="1401"/>
      <c r="AN47" s="1401"/>
    </row>
    <row r="48" spans="1:40" s="1400" customFormat="1" ht="60">
      <c r="A48" s="1065" t="s">
        <v>987</v>
      </c>
      <c r="B48" s="2407" t="str">
        <f>估价对象房地状况!C18</f>
        <v>估价对象周边道路状况、公共交通通达情况、停车便捷程度，综合评价交通便捷度较好</v>
      </c>
      <c r="C48" s="1048"/>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1"/>
      <c r="AF48" s="1401"/>
      <c r="AG48" s="1401"/>
      <c r="AH48" s="1401"/>
      <c r="AI48" s="1401"/>
      <c r="AJ48" s="1401"/>
      <c r="AK48" s="1401"/>
      <c r="AL48" s="1401"/>
      <c r="AM48" s="1401"/>
      <c r="AN48" s="1401"/>
    </row>
    <row r="49" spans="1:40" s="1400" customFormat="1" ht="24">
      <c r="A49" s="1065" t="s">
        <v>988</v>
      </c>
      <c r="B49" s="2407">
        <f>估价对象房地状况!C19</f>
        <v>0</v>
      </c>
      <c r="C49" s="1048"/>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1"/>
      <c r="AF49" s="1401"/>
      <c r="AG49" s="1401"/>
      <c r="AH49" s="1401"/>
      <c r="AI49" s="1401"/>
      <c r="AJ49" s="1401"/>
      <c r="AK49" s="1401"/>
      <c r="AL49" s="1401"/>
      <c r="AM49" s="1401"/>
      <c r="AN49" s="1401"/>
    </row>
    <row r="50" spans="1:40" s="1400" customFormat="1" ht="48">
      <c r="A50" s="1065" t="s">
        <v>989</v>
      </c>
      <c r="B50" s="3097" t="s">
        <v>2899</v>
      </c>
      <c r="C50" s="1048"/>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1"/>
      <c r="AF50" s="1401"/>
      <c r="AG50" s="1401"/>
      <c r="AH50" s="1401"/>
      <c r="AI50" s="1401"/>
      <c r="AJ50" s="1401"/>
      <c r="AK50" s="1401"/>
      <c r="AL50" s="1401"/>
      <c r="AM50" s="1401"/>
      <c r="AN50" s="1401"/>
    </row>
    <row r="51" spans="1:40" s="1400" customFormat="1" ht="24">
      <c r="A51" s="1065" t="s">
        <v>990</v>
      </c>
      <c r="B51" s="2407">
        <f>估价对象房地状况!C24</f>
        <v>0</v>
      </c>
      <c r="C51" s="1048"/>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1"/>
      <c r="AF51" s="1401"/>
      <c r="AG51" s="1401"/>
      <c r="AH51" s="1401"/>
      <c r="AI51" s="1401"/>
      <c r="AJ51" s="1401"/>
      <c r="AK51" s="1401"/>
      <c r="AL51" s="1401"/>
      <c r="AM51" s="1401"/>
      <c r="AN51" s="1401"/>
    </row>
    <row r="52" spans="1:40" s="1400" customFormat="1" ht="36">
      <c r="A52" s="1065" t="s">
        <v>991</v>
      </c>
      <c r="B52" s="3096" t="s">
        <v>2898</v>
      </c>
      <c r="C52" s="1048"/>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1"/>
      <c r="AF52" s="1401"/>
      <c r="AG52" s="1401"/>
      <c r="AH52" s="1401"/>
      <c r="AI52" s="1401"/>
      <c r="AJ52" s="1401"/>
      <c r="AK52" s="1401"/>
      <c r="AL52" s="1401"/>
      <c r="AM52" s="1401"/>
      <c r="AN52" s="1401"/>
    </row>
    <row r="53" spans="1:40" s="1400" customFormat="1" ht="24">
      <c r="A53" s="2439" t="s">
        <v>992</v>
      </c>
      <c r="B53" s="2408" t="str">
        <f>估价对象房地状况!C21</f>
        <v>估价对象所在区域公共配套设施齐备情况</v>
      </c>
      <c r="C53" s="1048"/>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1"/>
      <c r="AF53" s="1401"/>
      <c r="AG53" s="1401"/>
      <c r="AH53" s="1401"/>
      <c r="AI53" s="1401"/>
      <c r="AJ53" s="1401"/>
      <c r="AK53" s="1401"/>
      <c r="AL53" s="1401"/>
      <c r="AM53" s="1401"/>
      <c r="AN53" s="1401"/>
    </row>
    <row r="54" spans="1:40" s="1400" customFormat="1" ht="24">
      <c r="A54" s="2439" t="s">
        <v>993</v>
      </c>
      <c r="B54" s="2407" t="str">
        <f>估价对象房地状况!C22</f>
        <v>估价对象所在区域基础设施水平</v>
      </c>
      <c r="C54" s="1048"/>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1"/>
      <c r="AF54" s="1401"/>
      <c r="AG54" s="1401"/>
      <c r="AH54" s="1401"/>
      <c r="AI54" s="1401"/>
      <c r="AJ54" s="1401"/>
      <c r="AK54" s="1401"/>
      <c r="AL54" s="1401"/>
      <c r="AM54" s="1401"/>
      <c r="AN54" s="1401"/>
    </row>
    <row r="55" spans="1:40" s="1400" customFormat="1" ht="36.6" thickBot="1">
      <c r="A55" s="2440" t="s">
        <v>994</v>
      </c>
      <c r="B55" s="2411" t="str">
        <f>估价对象房地状况!C20</f>
        <v>区域自然环境：；人文环境；综合评价环境状况一般</v>
      </c>
      <c r="C55" s="1048"/>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1"/>
      <c r="AF55" s="1401"/>
      <c r="AG55" s="1401"/>
      <c r="AH55" s="1401"/>
      <c r="AI55" s="1401"/>
      <c r="AJ55" s="1401"/>
      <c r="AK55" s="1401"/>
      <c r="AL55" s="1401"/>
      <c r="AM55" s="1401"/>
      <c r="AN55" s="1401"/>
    </row>
    <row r="56" spans="1:40" s="1400" customFormat="1" ht="14.4">
      <c r="A56" s="2423" t="s">
        <v>995</v>
      </c>
      <c r="B56" s="2424">
        <f>1+E58</f>
        <v>1</v>
      </c>
      <c r="C56" s="2443"/>
      <c r="D56" s="2426"/>
      <c r="E56" s="2427"/>
      <c r="F56" s="2428"/>
      <c r="G56" s="2422"/>
      <c r="H56" s="2422"/>
      <c r="I56" s="2422"/>
      <c r="J56" s="1064"/>
      <c r="K56" s="1064"/>
      <c r="L56" s="1064"/>
      <c r="M56" s="1064"/>
      <c r="N56" s="1064"/>
      <c r="P56" s="2195"/>
      <c r="Q56" s="2195"/>
      <c r="R56" s="2196"/>
      <c r="S56" s="2196"/>
      <c r="T56" s="2196"/>
      <c r="U56" s="2196"/>
      <c r="V56" s="2196"/>
      <c r="W56" s="2195"/>
      <c r="X56" s="2195"/>
      <c r="Y56" s="2195"/>
      <c r="Z56" s="2195"/>
      <c r="AA56" s="2195"/>
      <c r="AB56" s="2195"/>
      <c r="AC56" s="2195"/>
      <c r="AD56" s="2196"/>
      <c r="AE56" s="1401"/>
      <c r="AF56" s="1401"/>
      <c r="AG56" s="1401"/>
      <c r="AH56" s="1401"/>
      <c r="AI56" s="1401"/>
      <c r="AJ56" s="1401"/>
      <c r="AK56" s="1401"/>
      <c r="AL56" s="1401"/>
      <c r="AM56" s="1401"/>
      <c r="AN56" s="1401"/>
    </row>
    <row r="57" spans="1:40" s="1400" customFormat="1" ht="24">
      <c r="A57" s="1065" t="s">
        <v>974</v>
      </c>
      <c r="B57" s="2407"/>
      <c r="C57" s="2429" t="s">
        <v>976</v>
      </c>
      <c r="D57" s="2430" t="s">
        <v>977</v>
      </c>
      <c r="E57" s="2431" t="s">
        <v>979</v>
      </c>
      <c r="F57" s="2432" t="s">
        <v>2213</v>
      </c>
      <c r="G57" s="2430" t="s">
        <v>980</v>
      </c>
      <c r="H57" s="2413" t="s">
        <v>2380</v>
      </c>
      <c r="I57" s="2430" t="s">
        <v>978</v>
      </c>
      <c r="J57" s="2433" t="s">
        <v>981</v>
      </c>
      <c r="K57" s="2433" t="s">
        <v>982</v>
      </c>
      <c r="L57" s="2433" t="s">
        <v>983</v>
      </c>
      <c r="M57" s="2433" t="s">
        <v>984</v>
      </c>
      <c r="N57" s="2433" t="s">
        <v>985</v>
      </c>
      <c r="P57" s="2195"/>
      <c r="Q57" s="2195"/>
      <c r="R57" s="2196"/>
      <c r="S57" s="2196"/>
      <c r="T57" s="2196"/>
      <c r="U57" s="2196"/>
      <c r="V57" s="2196"/>
      <c r="W57" s="2195"/>
      <c r="X57" s="2195"/>
      <c r="Y57" s="2195"/>
      <c r="Z57" s="2195"/>
      <c r="AA57" s="2195"/>
      <c r="AB57" s="2195"/>
      <c r="AC57" s="2195"/>
      <c r="AD57" s="2196"/>
      <c r="AE57" s="1401"/>
      <c r="AF57" s="1401"/>
      <c r="AG57" s="1401"/>
      <c r="AH57" s="1401"/>
      <c r="AI57" s="1401"/>
      <c r="AJ57" s="1401"/>
      <c r="AK57" s="1401"/>
      <c r="AL57" s="1401"/>
      <c r="AM57" s="1401"/>
      <c r="AN57" s="1401"/>
    </row>
    <row r="58" spans="1:40" s="1400" customFormat="1" ht="48">
      <c r="A58" s="1065" t="s">
        <v>996</v>
      </c>
      <c r="B58" s="2410" t="str">
        <f>估价对象房地状况!C17</f>
        <v>估价对象位于XX商圈，周边办公楼项目较多，入驻率高，办公集聚程度较好</v>
      </c>
      <c r="C58" s="1048"/>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1"/>
      <c r="AF58" s="1401"/>
      <c r="AG58" s="1401"/>
      <c r="AH58" s="1401"/>
      <c r="AI58" s="1401"/>
      <c r="AJ58" s="1401"/>
      <c r="AK58" s="1401"/>
      <c r="AL58" s="1401"/>
      <c r="AM58" s="1401"/>
      <c r="AN58" s="1401"/>
    </row>
    <row r="59" spans="1:40" s="1400" customFormat="1" ht="60">
      <c r="A59" s="1065" t="s">
        <v>987</v>
      </c>
      <c r="B59" s="2407" t="str">
        <f>估价对象房地状况!C18</f>
        <v>估价对象周边道路状况、公共交通通达情况、停车便捷程度，综合评价交通便捷度较好</v>
      </c>
      <c r="C59" s="1048"/>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1"/>
      <c r="AF59" s="1401"/>
      <c r="AG59" s="1401"/>
      <c r="AH59" s="1401"/>
      <c r="AI59" s="1401"/>
      <c r="AJ59" s="1401"/>
      <c r="AK59" s="1401"/>
      <c r="AL59" s="1401"/>
      <c r="AM59" s="1401"/>
      <c r="AN59" s="1401"/>
    </row>
    <row r="60" spans="1:40" s="1400" customFormat="1" ht="24">
      <c r="A60" s="1065" t="s">
        <v>988</v>
      </c>
      <c r="B60" s="2407">
        <f>估价对象房地状况!C19</f>
        <v>0</v>
      </c>
      <c r="C60" s="1048"/>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1"/>
      <c r="AF60" s="1401"/>
      <c r="AG60" s="1401"/>
      <c r="AH60" s="1401"/>
      <c r="AI60" s="1401"/>
      <c r="AJ60" s="1401"/>
      <c r="AK60" s="1401"/>
      <c r="AL60" s="1401"/>
      <c r="AM60" s="1401"/>
      <c r="AN60" s="1401"/>
    </row>
    <row r="61" spans="1:40" s="1400" customFormat="1" ht="48">
      <c r="A61" s="1065" t="s">
        <v>989</v>
      </c>
      <c r="B61" s="3097" t="s">
        <v>2900</v>
      </c>
      <c r="C61" s="1048"/>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1"/>
      <c r="AF61" s="1401"/>
      <c r="AG61" s="1401"/>
      <c r="AH61" s="1401"/>
      <c r="AI61" s="1401"/>
      <c r="AJ61" s="1401"/>
      <c r="AK61" s="1401"/>
      <c r="AL61" s="1401"/>
      <c r="AM61" s="1401"/>
      <c r="AN61" s="1401"/>
    </row>
    <row r="62" spans="1:40" s="1400" customFormat="1" ht="24">
      <c r="A62" s="1065" t="s">
        <v>990</v>
      </c>
      <c r="B62" s="2407">
        <f>估价对象房地状况!C24</f>
        <v>0</v>
      </c>
      <c r="C62" s="1048"/>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1"/>
      <c r="AF62" s="1401"/>
      <c r="AG62" s="1401"/>
      <c r="AH62" s="1401"/>
      <c r="AI62" s="1401"/>
      <c r="AJ62" s="1401"/>
      <c r="AK62" s="1401"/>
      <c r="AL62" s="1401"/>
      <c r="AM62" s="1401"/>
      <c r="AN62" s="1401"/>
    </row>
    <row r="63" spans="1:40" s="1400" customFormat="1" ht="36">
      <c r="A63" s="1065" t="s">
        <v>991</v>
      </c>
      <c r="B63" s="3096" t="s">
        <v>2898</v>
      </c>
      <c r="C63" s="1048"/>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1"/>
      <c r="AF63" s="1401"/>
      <c r="AG63" s="1401"/>
      <c r="AH63" s="1401"/>
      <c r="AI63" s="1401"/>
      <c r="AJ63" s="1401"/>
      <c r="AK63" s="1401"/>
      <c r="AL63" s="1401"/>
      <c r="AM63" s="1401"/>
      <c r="AN63" s="1401"/>
    </row>
    <row r="64" spans="1:40" s="1400" customFormat="1" ht="24">
      <c r="A64" s="1065" t="s">
        <v>992</v>
      </c>
      <c r="B64" s="2408" t="str">
        <f>估价对象房地状况!C21</f>
        <v>估价对象所在区域公共配套设施齐备情况</v>
      </c>
      <c r="C64" s="1048"/>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1"/>
      <c r="AF64" s="1401"/>
      <c r="AG64" s="1401"/>
      <c r="AH64" s="1401"/>
      <c r="AI64" s="1401"/>
      <c r="AJ64" s="1401"/>
      <c r="AK64" s="1401"/>
      <c r="AL64" s="1401"/>
      <c r="AM64" s="1401"/>
      <c r="AN64" s="1401"/>
    </row>
    <row r="65" spans="1:40" s="1400" customFormat="1" ht="24">
      <c r="A65" s="1065" t="s">
        <v>993</v>
      </c>
      <c r="B65" s="2408" t="str">
        <f>估价对象房地状况!C22</f>
        <v>估价对象所在区域基础设施水平</v>
      </c>
      <c r="C65" s="1048"/>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1"/>
      <c r="AF65" s="1401"/>
      <c r="AG65" s="1401"/>
      <c r="AH65" s="1401"/>
      <c r="AI65" s="1401"/>
      <c r="AJ65" s="1401"/>
      <c r="AK65" s="1401"/>
      <c r="AL65" s="1401"/>
      <c r="AM65" s="1401"/>
      <c r="AN65" s="1401"/>
    </row>
    <row r="66" spans="1:40" s="1400" customFormat="1" ht="36.6" thickBot="1">
      <c r="A66" s="2440" t="s">
        <v>994</v>
      </c>
      <c r="B66" s="2412" t="str">
        <f>估价对象房地状况!C20</f>
        <v>区域自然环境：；人文环境；综合评价环境状况一般</v>
      </c>
      <c r="C66" s="1048"/>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1"/>
      <c r="AF66" s="1401"/>
      <c r="AG66" s="1401"/>
      <c r="AH66" s="1401"/>
      <c r="AI66" s="1401"/>
      <c r="AJ66" s="1401"/>
      <c r="AK66" s="1401"/>
      <c r="AL66" s="1401"/>
      <c r="AM66" s="1401"/>
      <c r="AN66" s="1401"/>
    </row>
    <row r="67" spans="1:40" s="1400" customFormat="1" ht="14.4">
      <c r="A67" s="2423" t="s">
        <v>997</v>
      </c>
      <c r="B67" s="2424">
        <f>1+E69</f>
        <v>1</v>
      </c>
      <c r="C67" s="2443"/>
      <c r="D67" s="2426"/>
      <c r="E67" s="2427"/>
      <c r="F67" s="2428"/>
      <c r="G67" s="2422"/>
      <c r="H67" s="2422"/>
      <c r="I67" s="2422"/>
      <c r="J67" s="1064"/>
      <c r="K67" s="1064"/>
      <c r="L67" s="1064"/>
      <c r="M67" s="1064"/>
      <c r="N67" s="1064"/>
      <c r="P67" s="2195"/>
      <c r="Q67" s="2195"/>
      <c r="R67" s="2196"/>
      <c r="S67" s="2196"/>
      <c r="T67" s="2196"/>
      <c r="U67" s="2196"/>
      <c r="V67" s="2196"/>
      <c r="W67" s="2195"/>
      <c r="X67" s="2195"/>
      <c r="Y67" s="2195"/>
      <c r="Z67" s="2195"/>
      <c r="AA67" s="2195"/>
      <c r="AB67" s="2195"/>
      <c r="AC67" s="2195"/>
      <c r="AD67" s="2196"/>
      <c r="AE67" s="1401"/>
      <c r="AF67" s="1401"/>
      <c r="AG67" s="1401"/>
      <c r="AH67" s="1401"/>
      <c r="AI67" s="1401"/>
      <c r="AJ67" s="1401"/>
      <c r="AK67" s="1401"/>
      <c r="AL67" s="1401"/>
      <c r="AM67" s="1401"/>
      <c r="AN67" s="1401"/>
    </row>
    <row r="68" spans="1:40" s="1400" customFormat="1" ht="24">
      <c r="A68" s="1065" t="s">
        <v>974</v>
      </c>
      <c r="B68" s="2407"/>
      <c r="C68" s="2429" t="s">
        <v>976</v>
      </c>
      <c r="D68" s="2430" t="s">
        <v>977</v>
      </c>
      <c r="E68" s="2431" t="s">
        <v>979</v>
      </c>
      <c r="F68" s="2432" t="s">
        <v>2214</v>
      </c>
      <c r="G68" s="2430" t="s">
        <v>980</v>
      </c>
      <c r="H68" s="2413" t="s">
        <v>2380</v>
      </c>
      <c r="I68" s="2430" t="s">
        <v>978</v>
      </c>
      <c r="J68" s="2433" t="s">
        <v>981</v>
      </c>
      <c r="K68" s="2433" t="s">
        <v>982</v>
      </c>
      <c r="L68" s="2433" t="s">
        <v>983</v>
      </c>
      <c r="M68" s="2433" t="s">
        <v>984</v>
      </c>
      <c r="N68" s="2433" t="s">
        <v>985</v>
      </c>
      <c r="P68" s="2195"/>
      <c r="Q68" s="2195"/>
      <c r="R68" s="2196"/>
      <c r="S68" s="2196"/>
      <c r="T68" s="2196"/>
      <c r="U68" s="2196"/>
      <c r="V68" s="2196"/>
      <c r="W68" s="2195"/>
      <c r="X68" s="2195"/>
      <c r="Y68" s="2195"/>
      <c r="Z68" s="2195"/>
      <c r="AA68" s="2195"/>
      <c r="AB68" s="2195"/>
      <c r="AC68" s="2195"/>
      <c r="AD68" s="2196"/>
      <c r="AE68" s="1401"/>
      <c r="AF68" s="1401"/>
      <c r="AG68" s="1401"/>
      <c r="AH68" s="1401"/>
      <c r="AI68" s="1401"/>
      <c r="AJ68" s="1401"/>
      <c r="AK68" s="1401"/>
      <c r="AL68" s="1401"/>
      <c r="AM68" s="1401"/>
      <c r="AN68" s="1401"/>
    </row>
    <row r="69" spans="1:40" s="1400" customFormat="1" ht="60">
      <c r="A69" s="1065" t="s">
        <v>998</v>
      </c>
      <c r="B69" s="2410" t="str">
        <f>估价对象房地状况!C15</f>
        <v>估价对象周边居住用地比例、居住小区规模和社区发展完善程度，综合评价居住社区成熟度一般</v>
      </c>
      <c r="C69" s="1157"/>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1"/>
      <c r="AF69" s="1401"/>
      <c r="AG69" s="1401"/>
      <c r="AH69" s="1401"/>
      <c r="AI69" s="1401"/>
      <c r="AJ69" s="1401"/>
      <c r="AK69" s="1401"/>
      <c r="AL69" s="1401"/>
      <c r="AM69" s="1401"/>
      <c r="AN69" s="1401"/>
    </row>
    <row r="70" spans="1:40" s="1400" customFormat="1" ht="60">
      <c r="A70" s="1065" t="s">
        <v>999</v>
      </c>
      <c r="B70" s="2407" t="str">
        <f>估价对象房地状况!C18</f>
        <v>估价对象周边道路状况、公共交通通达情况、停车便捷程度，综合评价交通便捷度较好</v>
      </c>
      <c r="C70" s="1157"/>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1"/>
      <c r="AF70" s="1401"/>
      <c r="AG70" s="1401"/>
      <c r="AH70" s="1401"/>
      <c r="AI70" s="1401"/>
      <c r="AJ70" s="1401"/>
      <c r="AK70" s="1401"/>
      <c r="AL70" s="1401"/>
      <c r="AM70" s="1401"/>
      <c r="AN70" s="1401"/>
    </row>
    <row r="71" spans="1:40" s="1400" customFormat="1" ht="24">
      <c r="A71" s="1065" t="s">
        <v>988</v>
      </c>
      <c r="B71" s="2407">
        <f>估价对象房地状况!C19</f>
        <v>0</v>
      </c>
      <c r="C71" s="1157"/>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1"/>
      <c r="AF71" s="1401"/>
      <c r="AG71" s="1401"/>
      <c r="AH71" s="1401"/>
      <c r="AI71" s="1401"/>
      <c r="AJ71" s="1401"/>
      <c r="AK71" s="1401"/>
      <c r="AL71" s="1401"/>
      <c r="AM71" s="1401"/>
      <c r="AN71" s="1401"/>
    </row>
    <row r="72" spans="1:40" s="1400" customFormat="1" ht="13.8">
      <c r="A72" s="1065" t="s">
        <v>1000</v>
      </c>
      <c r="B72" s="2407">
        <f>估价对象房地状况!C24</f>
        <v>0</v>
      </c>
      <c r="C72" s="1157"/>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1"/>
      <c r="AF72" s="1401"/>
      <c r="AG72" s="1401"/>
      <c r="AH72" s="1401"/>
      <c r="AI72" s="1401"/>
      <c r="AJ72" s="1401"/>
      <c r="AK72" s="1401"/>
      <c r="AL72" s="1401"/>
      <c r="AM72" s="1401"/>
      <c r="AN72" s="1401"/>
    </row>
    <row r="73" spans="1:40" s="1400" customFormat="1" ht="24">
      <c r="A73" s="1065" t="s">
        <v>992</v>
      </c>
      <c r="B73" s="2408" t="str">
        <f>估价对象房地状况!C21</f>
        <v>估价对象所在区域公共配套设施齐备情况</v>
      </c>
      <c r="C73" s="1157"/>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1"/>
      <c r="AF73" s="1401"/>
      <c r="AG73" s="1401"/>
      <c r="AH73" s="1401"/>
      <c r="AI73" s="1401"/>
      <c r="AJ73" s="1401"/>
      <c r="AK73" s="1401"/>
      <c r="AL73" s="1401"/>
      <c r="AM73" s="1401"/>
      <c r="AN73" s="1401"/>
    </row>
    <row r="74" spans="1:40" s="1400" customFormat="1" ht="24">
      <c r="A74" s="1065" t="s">
        <v>993</v>
      </c>
      <c r="B74" s="2408" t="str">
        <f>估价对象房地状况!C22</f>
        <v>估价对象所在区域基础设施水平</v>
      </c>
      <c r="C74" s="1157"/>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1"/>
      <c r="AF74" s="1401"/>
      <c r="AG74" s="1401"/>
      <c r="AH74" s="1401"/>
      <c r="AI74" s="1401"/>
      <c r="AJ74" s="1401"/>
      <c r="AK74" s="1401"/>
      <c r="AL74" s="1401"/>
      <c r="AM74" s="1401"/>
      <c r="AN74" s="1401"/>
    </row>
    <row r="75" spans="1:40" s="1400" customFormat="1" ht="36">
      <c r="A75" s="1065" t="s">
        <v>991</v>
      </c>
      <c r="B75" s="3096" t="s">
        <v>2898</v>
      </c>
      <c r="C75" s="1157"/>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1"/>
      <c r="AF75" s="1401"/>
      <c r="AG75" s="1401"/>
      <c r="AH75" s="1401"/>
      <c r="AI75" s="1401"/>
      <c r="AJ75" s="1401"/>
      <c r="AK75" s="1401"/>
      <c r="AL75" s="1401"/>
      <c r="AM75" s="1401"/>
      <c r="AN75" s="1401"/>
    </row>
    <row r="76" spans="1:40" ht="36">
      <c r="A76" s="1065" t="s">
        <v>994</v>
      </c>
      <c r="B76" s="2410" t="str">
        <f>估价对象房地状况!C20</f>
        <v>区域自然环境：；人文环境；综合评价环境状况一般</v>
      </c>
      <c r="C76" s="1157"/>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1"/>
      <c r="AN76" s="1402"/>
    </row>
    <row r="77" spans="1:40" ht="36.6" thickBot="1">
      <c r="A77" s="2440" t="s">
        <v>1001</v>
      </c>
      <c r="B77" s="1849"/>
      <c r="C77" s="1157"/>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3"/>
      <c r="AD77" s="1402"/>
      <c r="AJ77" s="1401"/>
      <c r="AN77" s="1402"/>
    </row>
    <row r="78" spans="1:40" ht="14.4">
      <c r="A78" s="2423" t="s">
        <v>1002</v>
      </c>
      <c r="B78" s="2424">
        <f>1+E80</f>
        <v>1</v>
      </c>
      <c r="C78" s="2443"/>
      <c r="D78" s="2426"/>
      <c r="E78" s="2427"/>
      <c r="F78" s="2428"/>
      <c r="G78" s="2422"/>
      <c r="H78" s="2422"/>
      <c r="I78" s="2422"/>
      <c r="J78" s="1064"/>
      <c r="K78" s="1064"/>
      <c r="L78" s="1064"/>
      <c r="M78" s="1064"/>
      <c r="N78" s="1064"/>
      <c r="AC78" s="1403"/>
      <c r="AD78" s="1402"/>
      <c r="AJ78" s="1401"/>
      <c r="AN78" s="1402"/>
    </row>
    <row r="79" spans="1:40" ht="24">
      <c r="A79" s="1065" t="s">
        <v>974</v>
      </c>
      <c r="B79" s="2407"/>
      <c r="C79" s="2429" t="s">
        <v>976</v>
      </c>
      <c r="D79" s="2430" t="s">
        <v>977</v>
      </c>
      <c r="E79" s="2431" t="s">
        <v>979</v>
      </c>
      <c r="F79" s="2432" t="s">
        <v>2215</v>
      </c>
      <c r="G79" s="2430" t="s">
        <v>980</v>
      </c>
      <c r="H79" s="2413" t="s">
        <v>2380</v>
      </c>
      <c r="I79" s="2430" t="s">
        <v>978</v>
      </c>
      <c r="J79" s="2433" t="s">
        <v>981</v>
      </c>
      <c r="K79" s="2433" t="s">
        <v>982</v>
      </c>
      <c r="L79" s="2433" t="s">
        <v>983</v>
      </c>
      <c r="M79" s="2433" t="s">
        <v>984</v>
      </c>
      <c r="N79" s="2433" t="s">
        <v>985</v>
      </c>
      <c r="AC79" s="1403"/>
      <c r="AD79" s="1402"/>
      <c r="AJ79" s="1401"/>
      <c r="AN79" s="1402"/>
    </row>
    <row r="80" spans="1:40" ht="36">
      <c r="A80" s="1065" t="s">
        <v>1003</v>
      </c>
      <c r="B80" s="2407" t="str">
        <f>估价对象房地状况!G15</f>
        <v>估价对象位于XX开发区，园区建设成熟度XX，产业集聚程度XX</v>
      </c>
      <c r="C80" s="1048"/>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3"/>
      <c r="AD80" s="1402"/>
      <c r="AJ80" s="1401"/>
      <c r="AN80" s="1402"/>
    </row>
    <row r="81" spans="1:40" ht="60">
      <c r="A81" s="1065" t="s">
        <v>999</v>
      </c>
      <c r="B81" s="2407" t="str">
        <f>估价对象房地状况!G16</f>
        <v>估价对象周边道路状况、公共交通通达情况、停车便捷程度，综合评价交通便捷度较好</v>
      </c>
      <c r="C81" s="1048"/>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3"/>
      <c r="AD81" s="1402"/>
      <c r="AJ81" s="1401"/>
      <c r="AN81" s="1402"/>
    </row>
    <row r="82" spans="1:40" ht="24">
      <c r="A82" s="1065" t="s">
        <v>988</v>
      </c>
      <c r="B82" s="2407">
        <f>估价对象房地状况!G17</f>
        <v>0</v>
      </c>
      <c r="C82" s="1048"/>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3"/>
      <c r="AD82" s="1402"/>
      <c r="AJ82" s="1401"/>
      <c r="AN82" s="1402"/>
    </row>
    <row r="83" spans="1:40" ht="13.8">
      <c r="A83" s="1065" t="s">
        <v>1000</v>
      </c>
      <c r="B83" s="2407">
        <f>估价对象房地状况!G22</f>
        <v>0</v>
      </c>
      <c r="C83" s="1048"/>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3"/>
      <c r="AD83" s="1402"/>
      <c r="AJ83" s="1401"/>
      <c r="AN83" s="1402"/>
    </row>
    <row r="84" spans="1:40" ht="24">
      <c r="A84" s="1065" t="s">
        <v>992</v>
      </c>
      <c r="B84" s="2408" t="str">
        <f>估价对象房地状况!G19</f>
        <v>估价对象所在区域公共配套设施齐备情况</v>
      </c>
      <c r="C84" s="1048"/>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3"/>
      <c r="AD84" s="1402"/>
      <c r="AJ84" s="1401"/>
      <c r="AN84" s="1402"/>
    </row>
    <row r="85" spans="1:40" ht="24">
      <c r="A85" s="1065" t="s">
        <v>993</v>
      </c>
      <c r="B85" s="2408" t="str">
        <f>估价对象房地状况!G20</f>
        <v>估价对象所在区域基础设施水平</v>
      </c>
      <c r="C85" s="1048"/>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3"/>
      <c r="AD85" s="1402"/>
      <c r="AJ85" s="1401"/>
      <c r="AN85" s="1402"/>
    </row>
    <row r="86" spans="1:40" ht="36">
      <c r="A86" s="1065" t="s">
        <v>991</v>
      </c>
      <c r="B86" s="3096" t="s">
        <v>2898</v>
      </c>
      <c r="C86" s="1048"/>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3"/>
      <c r="AD86" s="1402"/>
      <c r="AJ86" s="1401"/>
      <c r="AN86" s="1402"/>
    </row>
    <row r="87" spans="1:40" ht="48.6" thickBot="1">
      <c r="A87" s="2440" t="s">
        <v>1004</v>
      </c>
      <c r="B87" s="2409" t="str">
        <f>估价对象房地状况!G18</f>
        <v>该园区内是否有污染型企业，绿化情况，卫生条件，整体环境状况判断</v>
      </c>
      <c r="C87" s="1048"/>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3"/>
      <c r="AD87" s="1402"/>
      <c r="AJ87" s="1401"/>
      <c r="AN87" s="1402"/>
    </row>
    <row r="90" spans="1:40">
      <c r="A90" s="3426" t="s">
        <v>1599</v>
      </c>
      <c r="B90" s="3426"/>
      <c r="C90" s="3426"/>
      <c r="D90" s="3426"/>
      <c r="E90" s="3426"/>
      <c r="F90" s="3426"/>
      <c r="G90" s="3426"/>
      <c r="H90" s="3426"/>
      <c r="I90" s="3426"/>
      <c r="J90" s="3426"/>
      <c r="K90" s="2449"/>
      <c r="L90" s="2449"/>
      <c r="M90" s="2449"/>
      <c r="N90" s="2449"/>
    </row>
    <row r="91" spans="1:40">
      <c r="A91" s="3427" t="s">
        <v>1409</v>
      </c>
      <c r="B91" s="3427" t="s">
        <v>1600</v>
      </c>
      <c r="C91" s="1138" t="s">
        <v>1601</v>
      </c>
      <c r="D91" s="1139"/>
      <c r="E91" s="1139"/>
      <c r="F91" s="1139"/>
      <c r="G91" s="1139"/>
      <c r="H91" s="1139"/>
      <c r="I91" s="1139"/>
      <c r="J91" s="1140"/>
      <c r="K91" s="1132"/>
      <c r="L91" s="1132"/>
      <c r="M91" s="1132"/>
      <c r="N91" s="1132"/>
    </row>
    <row r="92" spans="1:40">
      <c r="A92" s="3427"/>
      <c r="B92" s="3427"/>
      <c r="C92" s="2448" t="s">
        <v>872</v>
      </c>
      <c r="D92" s="2448" t="s">
        <v>850</v>
      </c>
      <c r="E92" s="2448" t="s">
        <v>851</v>
      </c>
      <c r="F92" s="2448" t="s">
        <v>875</v>
      </c>
      <c r="G92" s="2448" t="s">
        <v>853</v>
      </c>
      <c r="H92" s="2448" t="s">
        <v>854</v>
      </c>
      <c r="I92" s="2448" t="s">
        <v>855</v>
      </c>
      <c r="J92" s="2448" t="s">
        <v>856</v>
      </c>
      <c r="K92" s="2448" t="s">
        <v>880</v>
      </c>
      <c r="L92" s="2448" t="s">
        <v>858</v>
      </c>
      <c r="M92" s="2448" t="s">
        <v>859</v>
      </c>
      <c r="N92" s="2448" t="s">
        <v>883</v>
      </c>
    </row>
    <row r="93" spans="1:40">
      <c r="A93" s="3416" t="s">
        <v>2726</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17"/>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17"/>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17"/>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17"/>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17"/>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17"/>
      <c r="B99" s="1141" t="s">
        <v>1602</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18"/>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16" t="s">
        <v>1603</v>
      </c>
      <c r="B101" s="1145" t="s">
        <v>871</v>
      </c>
      <c r="C101" s="1146">
        <f>$G$3</f>
        <v>1.19</v>
      </c>
      <c r="D101" s="1146">
        <f t="shared" ref="D101:N101" si="31">$G$3</f>
        <v>1.19</v>
      </c>
      <c r="E101" s="1146">
        <f t="shared" si="31"/>
        <v>1.19</v>
      </c>
      <c r="F101" s="1146">
        <f t="shared" si="31"/>
        <v>1.19</v>
      </c>
      <c r="G101" s="1146">
        <f t="shared" si="31"/>
        <v>1.19</v>
      </c>
      <c r="H101" s="1146">
        <f t="shared" si="31"/>
        <v>1.19</v>
      </c>
      <c r="I101" s="1146">
        <f t="shared" si="31"/>
        <v>1.19</v>
      </c>
      <c r="J101" s="1146">
        <f t="shared" si="31"/>
        <v>1.19</v>
      </c>
      <c r="K101" s="1146">
        <f t="shared" si="31"/>
        <v>1.19</v>
      </c>
      <c r="L101" s="1146">
        <f t="shared" si="31"/>
        <v>1.19</v>
      </c>
      <c r="M101" s="1146">
        <f t="shared" si="31"/>
        <v>1.19</v>
      </c>
      <c r="N101" s="1146">
        <f t="shared" si="31"/>
        <v>1.19</v>
      </c>
    </row>
    <row r="102" spans="1:14">
      <c r="A102" s="3417"/>
      <c r="B102" s="1141">
        <v>1</v>
      </c>
      <c r="C102" s="1142">
        <f>1.9362/C101</f>
        <v>1.6270588235294117</v>
      </c>
      <c r="D102" s="1142">
        <f>1.9362/D101</f>
        <v>1.6270588235294117</v>
      </c>
      <c r="E102" s="1142">
        <f>1.8629/E101</f>
        <v>1.5654621848739496</v>
      </c>
      <c r="F102" s="1142">
        <f>1.8629/F101</f>
        <v>1.5654621848739496</v>
      </c>
      <c r="G102" s="1142">
        <f>1.8629/G101</f>
        <v>1.5654621848739496</v>
      </c>
      <c r="H102" s="1142">
        <f>1.8629/H101</f>
        <v>1.5654621848739496</v>
      </c>
      <c r="I102" s="1142">
        <f>1.8629/I101</f>
        <v>1.5654621848739496</v>
      </c>
      <c r="J102" s="1142">
        <f>1.942/J101</f>
        <v>1.6319327731092437</v>
      </c>
      <c r="K102" s="1142">
        <f>1.942/K101</f>
        <v>1.6319327731092437</v>
      </c>
      <c r="L102" s="1142">
        <f>1.942/L101</f>
        <v>1.6319327731092437</v>
      </c>
      <c r="M102" s="1142">
        <f>1.942/M101</f>
        <v>1.6319327731092437</v>
      </c>
      <c r="N102" s="1142">
        <f>1.942/N101</f>
        <v>1.6319327731092437</v>
      </c>
    </row>
    <row r="103" spans="1:14">
      <c r="A103" s="3417"/>
      <c r="B103" s="1141">
        <v>2</v>
      </c>
      <c r="C103" s="1142">
        <f>1.4198/C101</f>
        <v>1.1931092436974791</v>
      </c>
      <c r="D103" s="1142">
        <f>1.4198/D101</f>
        <v>1.1931092436974791</v>
      </c>
      <c r="E103" s="1142">
        <f>1.3372/E101</f>
        <v>1.1236974789915966</v>
      </c>
      <c r="F103" s="1142">
        <f>1.3372/F101</f>
        <v>1.1236974789915966</v>
      </c>
      <c r="G103" s="1142">
        <f>1.3372/G101</f>
        <v>1.1236974789915966</v>
      </c>
      <c r="H103" s="1142">
        <f>1.3372/H101</f>
        <v>1.1236974789915966</v>
      </c>
      <c r="I103" s="1142">
        <f>1.3372/I101</f>
        <v>1.1236974789915966</v>
      </c>
      <c r="J103" s="1142">
        <f>1.2799/J101</f>
        <v>1.075546218487395</v>
      </c>
      <c r="K103" s="1142">
        <f>1.2799/K101</f>
        <v>1.075546218487395</v>
      </c>
      <c r="L103" s="1142">
        <f>1.2799/L101</f>
        <v>1.075546218487395</v>
      </c>
      <c r="M103" s="1142">
        <f>1.2799/M101</f>
        <v>1.075546218487395</v>
      </c>
      <c r="N103" s="1142">
        <f>1.2799/N101</f>
        <v>1.075546218487395</v>
      </c>
    </row>
    <row r="104" spans="1:14">
      <c r="A104" s="3417"/>
      <c r="B104" s="1141">
        <v>3</v>
      </c>
      <c r="C104" s="1142">
        <f>1.1594/C101</f>
        <v>0.97428571428571431</v>
      </c>
      <c r="D104" s="1142">
        <f>1.1594/D101</f>
        <v>0.97428571428571431</v>
      </c>
      <c r="E104" s="1142">
        <f>1.0788/E101</f>
        <v>0.90655462184873947</v>
      </c>
      <c r="F104" s="1142">
        <f>1.0788/F101</f>
        <v>0.90655462184873947</v>
      </c>
      <c r="G104" s="1142">
        <f>1.0788/G101</f>
        <v>0.90655462184873947</v>
      </c>
      <c r="H104" s="1142">
        <f>1.0788/H101</f>
        <v>0.90655462184873947</v>
      </c>
      <c r="I104" s="1142">
        <f>1.0788/I101</f>
        <v>0.90655462184873947</v>
      </c>
      <c r="J104" s="1142">
        <f>1.0072/J101</f>
        <v>0.84638655462184886</v>
      </c>
      <c r="K104" s="1142">
        <f>1.0072/K101</f>
        <v>0.84638655462184886</v>
      </c>
      <c r="L104" s="1142">
        <f>1.0072/L101</f>
        <v>0.84638655462184886</v>
      </c>
      <c r="M104" s="1142">
        <f>1.0072/M101</f>
        <v>0.84638655462184886</v>
      </c>
      <c r="N104" s="1142">
        <f>1.0072/N101</f>
        <v>0.84638655462184886</v>
      </c>
    </row>
    <row r="105" spans="1:14">
      <c r="A105" s="3417"/>
      <c r="B105" s="1141">
        <v>4</v>
      </c>
      <c r="C105" s="1142">
        <f>0.9622/C101</f>
        <v>0.80857142857142861</v>
      </c>
      <c r="D105" s="1142">
        <f>0.9622/D101</f>
        <v>0.80857142857142861</v>
      </c>
      <c r="E105" s="1142">
        <f>0.8656/E101</f>
        <v>0.72739495798319331</v>
      </c>
      <c r="F105" s="1142">
        <f>0.8656/F101</f>
        <v>0.72739495798319331</v>
      </c>
      <c r="G105" s="1142">
        <f>0.8656/G101</f>
        <v>0.72739495798319331</v>
      </c>
      <c r="H105" s="1142">
        <f>0.8656/H101</f>
        <v>0.72739495798319331</v>
      </c>
      <c r="I105" s="1142">
        <f>0.8656/I101</f>
        <v>0.72739495798319331</v>
      </c>
      <c r="J105" s="1142">
        <f>0.7525/J101</f>
        <v>0.63235294117647056</v>
      </c>
      <c r="K105" s="1142">
        <f>0.7525/K101</f>
        <v>0.63235294117647056</v>
      </c>
      <c r="L105" s="1142">
        <f>0.7525/L101</f>
        <v>0.63235294117647056</v>
      </c>
      <c r="M105" s="1142">
        <f>0.7525/M101</f>
        <v>0.63235294117647056</v>
      </c>
      <c r="N105" s="1142">
        <f>0.7525/N101</f>
        <v>0.63235294117647056</v>
      </c>
    </row>
    <row r="106" spans="1:14">
      <c r="A106" s="3417"/>
      <c r="B106" s="1141">
        <v>5</v>
      </c>
      <c r="C106" s="1142">
        <f>0.8417/C101</f>
        <v>0.70731092436974796</v>
      </c>
      <c r="D106" s="1142">
        <f>0.8417/D101</f>
        <v>0.70731092436974796</v>
      </c>
      <c r="E106" s="1142">
        <f>0.7371/E101</f>
        <v>0.61941176470588233</v>
      </c>
      <c r="F106" s="1142">
        <f>0.7371/F101</f>
        <v>0.61941176470588233</v>
      </c>
      <c r="G106" s="1142">
        <f>0.7371/G101</f>
        <v>0.61941176470588233</v>
      </c>
      <c r="H106" s="1142">
        <f>0.7371/H101</f>
        <v>0.61941176470588233</v>
      </c>
      <c r="I106" s="1142">
        <f>0.7371/I101</f>
        <v>0.61941176470588233</v>
      </c>
      <c r="J106" s="1142">
        <f>0.5659/J101</f>
        <v>0.47554621848739492</v>
      </c>
      <c r="K106" s="1142">
        <f>0.5659/K101</f>
        <v>0.47554621848739492</v>
      </c>
      <c r="L106" s="1142">
        <f>0.5659/L101</f>
        <v>0.47554621848739492</v>
      </c>
      <c r="M106" s="1142">
        <f>0.5659/M101</f>
        <v>0.47554621848739492</v>
      </c>
      <c r="N106" s="1142">
        <f>0.5659/N101</f>
        <v>0.47554621848739492</v>
      </c>
    </row>
    <row r="107" spans="1:14">
      <c r="A107" s="3417"/>
      <c r="B107" s="1141">
        <v>6</v>
      </c>
      <c r="C107" s="1142">
        <f>0.7608/C101</f>
        <v>0.63932773109243701</v>
      </c>
      <c r="D107" s="1142">
        <f>0.7608/D101</f>
        <v>0.63932773109243701</v>
      </c>
      <c r="E107" s="1142">
        <f>0.6482/E101</f>
        <v>0.54470588235294115</v>
      </c>
      <c r="F107" s="1142">
        <f>0.6482/F101</f>
        <v>0.54470588235294115</v>
      </c>
      <c r="G107" s="1142">
        <f>0.6482/G101</f>
        <v>0.54470588235294115</v>
      </c>
      <c r="H107" s="1142">
        <f>0.6482/H101</f>
        <v>0.54470588235294115</v>
      </c>
      <c r="I107" s="1142">
        <f>0.6482/I101</f>
        <v>0.54470588235294115</v>
      </c>
      <c r="J107" s="1142">
        <f>0.4525/J101</f>
        <v>0.38025210084033617</v>
      </c>
      <c r="K107" s="1142">
        <f>0.4525/K101</f>
        <v>0.38025210084033617</v>
      </c>
      <c r="L107" s="1142">
        <f>0.4525/L101</f>
        <v>0.38025210084033617</v>
      </c>
      <c r="M107" s="1142">
        <f>0.4525/M101</f>
        <v>0.38025210084033617</v>
      </c>
      <c r="N107" s="1142">
        <f>0.4525/N101</f>
        <v>0.38025210084033617</v>
      </c>
    </row>
    <row r="108" spans="1:14">
      <c r="A108" s="3417"/>
      <c r="B108" s="3419" t="s">
        <v>1604</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18"/>
      <c r="B109" s="3420"/>
      <c r="C109" s="1144">
        <f>(-0.163*(C108^2)-0.59*C108+7617)*(10^(-4))/C101</f>
        <v>0.63881075630252104</v>
      </c>
      <c r="D109" s="1144">
        <f>(-0.163*(D108^2)-0.59*D108+7617)*(10^(-4))/D101</f>
        <v>0.63881075630252104</v>
      </c>
      <c r="E109" s="1144">
        <f>(-0.161*(E108^2)-7.509*E108+6533)*(10^(-4))/E101</f>
        <v>0.54307764705882355</v>
      </c>
      <c r="F109" s="1144">
        <f>(-0.161*(F108^2)-7.509*F108+6533)*(10^(-4))/F101</f>
        <v>0.54307764705882355</v>
      </c>
      <c r="G109" s="1144">
        <f>(-0.161*(G108^2)-7.509*G108+6533)*(10^(-4))/G101</f>
        <v>0.54307764705882355</v>
      </c>
      <c r="H109" s="1144">
        <f>(-0.161*(H108^2)-7.509*H108+6533)*(10^(-4))/H101</f>
        <v>0.54307764705882355</v>
      </c>
      <c r="I109" s="1144">
        <f>(-0.161*(I108^2)-7.509*I108+6533)*(10^(-4))/I101</f>
        <v>0.54307764705882355</v>
      </c>
      <c r="J109" s="1144">
        <f>(-0.214*(J108^2)-21.991*J108+4665)*(10^(-4))/J101</f>
        <v>0.37608201680672276</v>
      </c>
      <c r="K109" s="1144">
        <f>(-0.214*(K108^2)-21.991*K108+4665)*(10^(-4))/K101</f>
        <v>0.37608201680672276</v>
      </c>
      <c r="L109" s="1144">
        <f>(-0.214*(L108^2)-21.991*L108+4665)*(10^(-4))/L101</f>
        <v>0.37608201680672276</v>
      </c>
      <c r="M109" s="1144">
        <f>(-0.214*(M108^2)-21.991*M108+4665)*(10^(-4))/M101</f>
        <v>0.37608201680672276</v>
      </c>
      <c r="N109" s="1144">
        <f>(-0.214*(N108^2)-21.991*N108+4665)*(10^(-4))/N101</f>
        <v>0.37608201680672276</v>
      </c>
    </row>
    <row r="110" spans="1:14">
      <c r="A110" s="3421" t="s">
        <v>1605</v>
      </c>
      <c r="B110" s="3421"/>
      <c r="C110" s="3421"/>
      <c r="D110" s="3421"/>
      <c r="E110" s="3421"/>
      <c r="F110" s="3421"/>
      <c r="G110" s="3421"/>
      <c r="H110" s="3421"/>
      <c r="I110" s="3421"/>
      <c r="J110" s="3421"/>
      <c r="K110" s="2447"/>
      <c r="L110" s="2447"/>
      <c r="M110" s="2447"/>
      <c r="N110" s="2447"/>
    </row>
    <row r="112" spans="1:14" ht="12.6" thickBot="1"/>
    <row r="113" spans="1:13" ht="25.8" thickBot="1">
      <c r="A113" s="1014" t="s">
        <v>861</v>
      </c>
      <c r="B113" s="2450">
        <f>G3</f>
        <v>1.19</v>
      </c>
      <c r="C113" s="1015" t="s">
        <v>862</v>
      </c>
      <c r="D113" s="1016">
        <f>SUMPRODUCT((A115:A118=F113)*(B114:M114=H113)*B115:M118)</f>
        <v>0</v>
      </c>
      <c r="E113" s="1017" t="s">
        <v>863</v>
      </c>
      <c r="F113" s="1018">
        <f>E2</f>
        <v>0</v>
      </c>
      <c r="G113" s="1017" t="s">
        <v>864</v>
      </c>
      <c r="H113" s="1018">
        <f>G2</f>
        <v>0</v>
      </c>
      <c r="I113" s="1017"/>
      <c r="J113" s="1009"/>
      <c r="K113" s="1009"/>
      <c r="L113" s="1009"/>
      <c r="M113" s="1009"/>
    </row>
    <row r="114" spans="1:13" ht="13.2">
      <c r="A114" s="1021"/>
      <c r="B114" s="1022" t="s">
        <v>849</v>
      </c>
      <c r="C114" s="1022" t="s">
        <v>850</v>
      </c>
      <c r="D114" s="1022" t="s">
        <v>851</v>
      </c>
      <c r="E114" s="1023" t="s">
        <v>852</v>
      </c>
      <c r="F114" s="1023" t="s">
        <v>853</v>
      </c>
      <c r="G114" s="1023" t="s">
        <v>854</v>
      </c>
      <c r="H114" s="1024" t="s">
        <v>855</v>
      </c>
      <c r="I114" s="1024" t="s">
        <v>856</v>
      </c>
      <c r="J114" s="1025" t="s">
        <v>857</v>
      </c>
      <c r="K114" s="1025" t="s">
        <v>858</v>
      </c>
      <c r="L114" s="1025" t="s">
        <v>859</v>
      </c>
      <c r="M114" s="1026" t="s">
        <v>860</v>
      </c>
    </row>
    <row r="115" spans="1:13" ht="13.2">
      <c r="A115" s="1027" t="s">
        <v>865</v>
      </c>
      <c r="B115" s="1028">
        <f>ROUND(0.9335-0.0094*B113,4)</f>
        <v>0.92230000000000001</v>
      </c>
      <c r="C115" s="1028">
        <f>B115</f>
        <v>0.92230000000000001</v>
      </c>
      <c r="D115" s="1028">
        <f>ROUND(0.8331-0.0109*B113,4)</f>
        <v>0.82010000000000005</v>
      </c>
      <c r="E115" s="1028">
        <f>D115</f>
        <v>0.82010000000000005</v>
      </c>
      <c r="F115" s="1028">
        <f>E115</f>
        <v>0.82010000000000005</v>
      </c>
      <c r="G115" s="1028">
        <f>F115</f>
        <v>0.82010000000000005</v>
      </c>
      <c r="H115" s="1028">
        <f>G115</f>
        <v>0.82010000000000005</v>
      </c>
      <c r="I115" s="1028">
        <f>ROUND(0.689-0.0155*B113,4)</f>
        <v>0.67059999999999997</v>
      </c>
      <c r="J115" s="1028">
        <f t="shared" ref="J115:M118" si="33">I115</f>
        <v>0.67059999999999997</v>
      </c>
      <c r="K115" s="1028">
        <f t="shared" si="33"/>
        <v>0.67059999999999997</v>
      </c>
      <c r="L115" s="1028">
        <f t="shared" si="33"/>
        <v>0.67059999999999997</v>
      </c>
      <c r="M115" s="1029">
        <f t="shared" si="33"/>
        <v>0.67059999999999997</v>
      </c>
    </row>
    <row r="116" spans="1:13" ht="13.2">
      <c r="A116" s="1027" t="s">
        <v>866</v>
      </c>
      <c r="B116" s="1028">
        <f>ROUND(0.949-0.012*B113,4)</f>
        <v>0.93469999999999998</v>
      </c>
      <c r="C116" s="1028">
        <f>B116</f>
        <v>0.93469999999999998</v>
      </c>
      <c r="D116" s="1028">
        <f>ROUND(0.8567-0.013*B113,4)</f>
        <v>0.84119999999999995</v>
      </c>
      <c r="E116" s="1028">
        <f t="shared" ref="E116:H117" si="34">D116</f>
        <v>0.84119999999999995</v>
      </c>
      <c r="F116" s="1028">
        <f t="shared" si="34"/>
        <v>0.84119999999999995</v>
      </c>
      <c r="G116" s="1028">
        <f t="shared" si="34"/>
        <v>0.84119999999999995</v>
      </c>
      <c r="H116" s="1028">
        <f t="shared" si="34"/>
        <v>0.84119999999999995</v>
      </c>
      <c r="I116" s="1028">
        <f>ROUND(0.7694-0.014*B113,4)</f>
        <v>0.75270000000000004</v>
      </c>
      <c r="J116" s="1028">
        <f t="shared" si="33"/>
        <v>0.75270000000000004</v>
      </c>
      <c r="K116" s="1028">
        <f t="shared" si="33"/>
        <v>0.75270000000000004</v>
      </c>
      <c r="L116" s="1028">
        <f t="shared" si="33"/>
        <v>0.75270000000000004</v>
      </c>
      <c r="M116" s="1029">
        <f t="shared" si="33"/>
        <v>0.75270000000000004</v>
      </c>
    </row>
    <row r="117" spans="1:13" ht="13.2">
      <c r="A117" s="1030" t="s">
        <v>867</v>
      </c>
      <c r="B117" s="1028">
        <f>ROUND(0.8808-0.006*B113,4)</f>
        <v>0.87370000000000003</v>
      </c>
      <c r="C117" s="1028">
        <f>B117</f>
        <v>0.87370000000000003</v>
      </c>
      <c r="D117" s="1028">
        <f>ROUND(0.8748-0.008*B113,4)</f>
        <v>0.86529999999999996</v>
      </c>
      <c r="E117" s="1028">
        <f t="shared" si="34"/>
        <v>0.86529999999999996</v>
      </c>
      <c r="F117" s="1028">
        <f t="shared" si="34"/>
        <v>0.86529999999999996</v>
      </c>
      <c r="G117" s="1028">
        <f t="shared" si="34"/>
        <v>0.86529999999999996</v>
      </c>
      <c r="H117" s="1028">
        <f t="shared" si="34"/>
        <v>0.86529999999999996</v>
      </c>
      <c r="I117" s="1028">
        <f>ROUND(0.7412-0.0095*B113,4)</f>
        <v>0.72989999999999999</v>
      </c>
      <c r="J117" s="1028">
        <f t="shared" si="33"/>
        <v>0.72989999999999999</v>
      </c>
      <c r="K117" s="1028">
        <f t="shared" si="33"/>
        <v>0.72989999999999999</v>
      </c>
      <c r="L117" s="1028">
        <f t="shared" si="33"/>
        <v>0.72989999999999999</v>
      </c>
      <c r="M117" s="1029">
        <f t="shared" si="33"/>
        <v>0.72989999999999999</v>
      </c>
    </row>
    <row r="118" spans="1:13" ht="13.8" thickBot="1">
      <c r="A118" s="1031" t="s">
        <v>868</v>
      </c>
      <c r="B118" s="1032">
        <f>ROUND(0.7275-0.01*B113,4)</f>
        <v>0.71560000000000001</v>
      </c>
      <c r="C118" s="1032">
        <f>B118</f>
        <v>0.71560000000000001</v>
      </c>
      <c r="D118" s="1032">
        <f>ROUND(0.7043-0.012*B113,4)</f>
        <v>0.69</v>
      </c>
      <c r="E118" s="1032">
        <f>D118</f>
        <v>0.69</v>
      </c>
      <c r="F118" s="1032">
        <f>E118</f>
        <v>0.69</v>
      </c>
      <c r="G118" s="1032">
        <f>ROUND(0.6299-0.0122*B113,4)</f>
        <v>0.61539999999999995</v>
      </c>
      <c r="H118" s="1032">
        <f>G118</f>
        <v>0.61539999999999995</v>
      </c>
      <c r="I118" s="1032">
        <f>ROUND(0.5667-0.0136*B113,4)</f>
        <v>0.55049999999999999</v>
      </c>
      <c r="J118" s="1032">
        <f t="shared" si="33"/>
        <v>0.55049999999999999</v>
      </c>
      <c r="K118" s="1032">
        <f t="shared" si="33"/>
        <v>0.55049999999999999</v>
      </c>
      <c r="L118" s="1032">
        <f t="shared" si="33"/>
        <v>0.55049999999999999</v>
      </c>
      <c r="M118" s="1033">
        <f t="shared" si="33"/>
        <v>0.55049999999999999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4" customWidth="1"/>
    <col min="2" max="9" width="8.21875" style="1103" customWidth="1"/>
    <col min="10" max="13" width="8.21875" style="1064"/>
    <col min="14" max="14" width="10" style="1064" customWidth="1"/>
    <col min="15" max="16" width="8.21875" style="1064"/>
    <col min="17" max="17" width="34.109375" style="1064" customWidth="1"/>
    <col min="18" max="18" width="8.21875" style="1064" customWidth="1"/>
    <col min="19" max="19" width="8.21875" style="1064"/>
    <col min="20" max="20" width="11.6640625" style="1064" customWidth="1"/>
    <col min="21" max="16384" width="8.21875" style="1064"/>
  </cols>
  <sheetData>
    <row r="1" spans="1:13" ht="19.5" customHeight="1" thickBot="1">
      <c r="A1" s="1104" t="s">
        <v>1397</v>
      </c>
      <c r="B1" s="1070" t="s">
        <v>872</v>
      </c>
      <c r="C1" s="1070" t="s">
        <v>873</v>
      </c>
      <c r="D1" s="1070" t="s">
        <v>874</v>
      </c>
      <c r="E1" s="1070" t="s">
        <v>875</v>
      </c>
      <c r="F1" s="1070" t="s">
        <v>876</v>
      </c>
      <c r="G1" s="1070" t="s">
        <v>877</v>
      </c>
      <c r="H1" s="1070" t="s">
        <v>878</v>
      </c>
      <c r="I1" s="1070" t="s">
        <v>879</v>
      </c>
      <c r="J1" s="1070" t="s">
        <v>880</v>
      </c>
      <c r="K1" s="1070" t="s">
        <v>881</v>
      </c>
      <c r="L1" s="1070" t="s">
        <v>882</v>
      </c>
      <c r="M1" s="1071" t="s">
        <v>883</v>
      </c>
    </row>
    <row r="2" spans="1:13" ht="19.5" customHeight="1">
      <c r="A2" s="1105" t="s">
        <v>973</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995</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997</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1398</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1399</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1400</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1401</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1402</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1403</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1404</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1405</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1406</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1407</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1408</v>
      </c>
      <c r="B16" s="1124"/>
      <c r="C16" s="1125"/>
      <c r="D16" s="1125"/>
      <c r="E16" s="1124"/>
      <c r="F16" s="1125"/>
      <c r="G16" s="1125"/>
    </row>
    <row r="17" spans="1:9" ht="19.5" customHeight="1">
      <c r="A17" s="1066" t="s">
        <v>1409</v>
      </c>
      <c r="B17" s="1126" t="s">
        <v>1410</v>
      </c>
      <c r="C17" s="1126" t="s">
        <v>1608</v>
      </c>
      <c r="D17" s="1127"/>
      <c r="E17" s="1066" t="s">
        <v>1411</v>
      </c>
      <c r="F17" s="1128"/>
      <c r="G17" s="1128"/>
    </row>
    <row r="18" spans="1:9" s="1597" customFormat="1" ht="19.5" customHeight="1">
      <c r="A18" s="3427" t="s">
        <v>973</v>
      </c>
      <c r="B18" s="1152" t="s">
        <v>1412</v>
      </c>
      <c r="C18" s="1129" t="s">
        <v>1413</v>
      </c>
      <c r="D18" s="1130"/>
      <c r="E18" s="1152">
        <v>1</v>
      </c>
      <c r="F18" s="1131" t="s">
        <v>1414</v>
      </c>
      <c r="G18" s="1132"/>
      <c r="H18" s="1103"/>
      <c r="I18" s="1103"/>
    </row>
    <row r="19" spans="1:9" s="1597" customFormat="1" ht="19.5" customHeight="1">
      <c r="A19" s="3427"/>
      <c r="B19" s="3427" t="s">
        <v>1415</v>
      </c>
      <c r="C19" s="1129" t="s">
        <v>1416</v>
      </c>
      <c r="D19" s="1130"/>
      <c r="E19" s="1152">
        <v>0.9</v>
      </c>
      <c r="F19" s="1131" t="s">
        <v>1417</v>
      </c>
      <c r="G19" s="1132"/>
      <c r="H19" s="1103"/>
      <c r="I19" s="1103"/>
    </row>
    <row r="20" spans="1:9" s="1597" customFormat="1" ht="19.5" customHeight="1">
      <c r="A20" s="3427"/>
      <c r="B20" s="3427"/>
      <c r="C20" s="1129" t="s">
        <v>1418</v>
      </c>
      <c r="D20" s="1130"/>
      <c r="E20" s="1152">
        <v>1.1000000000000001</v>
      </c>
      <c r="F20" s="1131" t="s">
        <v>1419</v>
      </c>
      <c r="G20" s="1132"/>
      <c r="H20" s="1103"/>
      <c r="I20" s="1103"/>
    </row>
    <row r="21" spans="1:9" s="1597" customFormat="1" ht="19.5" customHeight="1">
      <c r="A21" s="3427"/>
      <c r="B21" s="3427"/>
      <c r="C21" s="1129" t="s">
        <v>1420</v>
      </c>
      <c r="D21" s="1130"/>
      <c r="E21" s="1152">
        <v>0.8</v>
      </c>
      <c r="F21" s="1131" t="s">
        <v>1421</v>
      </c>
      <c r="G21" s="1132"/>
      <c r="H21" s="1103"/>
      <c r="I21" s="1103"/>
    </row>
    <row r="22" spans="1:9" s="1597" customFormat="1" ht="19.5" customHeight="1">
      <c r="A22" s="3427"/>
      <c r="B22" s="3427"/>
      <c r="C22" s="1129" t="s">
        <v>1422</v>
      </c>
      <c r="D22" s="1130"/>
      <c r="E22" s="1152">
        <v>0.5</v>
      </c>
      <c r="F22" s="1131"/>
      <c r="G22" s="1132"/>
      <c r="H22" s="1103"/>
      <c r="I22" s="1103"/>
    </row>
    <row r="23" spans="1:9" s="1597" customFormat="1" ht="19.5" customHeight="1">
      <c r="A23" s="3427" t="s">
        <v>995</v>
      </c>
      <c r="B23" s="1152" t="s">
        <v>1412</v>
      </c>
      <c r="C23" s="1129" t="s">
        <v>1423</v>
      </c>
      <c r="D23" s="1130"/>
      <c r="E23" s="1152">
        <v>1</v>
      </c>
      <c r="F23" s="1131" t="s">
        <v>1424</v>
      </c>
      <c r="G23" s="1132"/>
      <c r="H23" s="1103"/>
      <c r="I23" s="1103"/>
    </row>
    <row r="24" spans="1:9" s="1597" customFormat="1" ht="19.5" customHeight="1">
      <c r="A24" s="3427"/>
      <c r="B24" s="3427" t="s">
        <v>1415</v>
      </c>
      <c r="C24" s="1129" t="s">
        <v>1425</v>
      </c>
      <c r="D24" s="1130"/>
      <c r="E24" s="1152">
        <v>0.5</v>
      </c>
      <c r="F24" s="1131"/>
      <c r="G24" s="1132"/>
      <c r="H24" s="1103"/>
      <c r="I24" s="1103"/>
    </row>
    <row r="25" spans="1:9" s="1597" customFormat="1" ht="19.5" customHeight="1">
      <c r="A25" s="3427"/>
      <c r="B25" s="3427"/>
      <c r="C25" s="1129" t="s">
        <v>1426</v>
      </c>
      <c r="D25" s="1130"/>
      <c r="E25" s="1152">
        <v>1.1000000000000001</v>
      </c>
      <c r="F25" s="1131"/>
      <c r="G25" s="1132"/>
      <c r="H25" s="1103"/>
      <c r="I25" s="1103"/>
    </row>
    <row r="26" spans="1:9" s="1597" customFormat="1" ht="19.5" customHeight="1">
      <c r="A26" s="3427"/>
      <c r="B26" s="3427"/>
      <c r="C26" s="1129" t="s">
        <v>1427</v>
      </c>
      <c r="D26" s="1130"/>
      <c r="E26" s="1152">
        <v>1.1000000000000001</v>
      </c>
      <c r="F26" s="1131"/>
      <c r="G26" s="1132"/>
      <c r="H26" s="1103"/>
      <c r="I26" s="1103"/>
    </row>
    <row r="27" spans="1:9" s="1597" customFormat="1" ht="19.5" customHeight="1">
      <c r="A27" s="3427"/>
      <c r="B27" s="3427"/>
      <c r="C27" s="1129" t="s">
        <v>1428</v>
      </c>
      <c r="D27" s="1130"/>
      <c r="E27" s="1152">
        <v>0.9</v>
      </c>
      <c r="F27" s="1131" t="s">
        <v>1429</v>
      </c>
      <c r="G27" s="1132"/>
      <c r="H27" s="1103"/>
      <c r="I27" s="1103"/>
    </row>
    <row r="28" spans="1:9" s="1597" customFormat="1" ht="19.5" customHeight="1">
      <c r="A28" s="3427"/>
      <c r="B28" s="3427"/>
      <c r="C28" s="1129" t="s">
        <v>1430</v>
      </c>
      <c r="D28" s="1130"/>
      <c r="E28" s="1152">
        <v>0.9</v>
      </c>
      <c r="F28" s="1131" t="s">
        <v>1431</v>
      </c>
      <c r="G28" s="1132"/>
      <c r="H28" s="1103"/>
      <c r="I28" s="1103"/>
    </row>
    <row r="29" spans="1:9" s="1597" customFormat="1" ht="19.5" customHeight="1">
      <c r="A29" s="3427"/>
      <c r="B29" s="3427"/>
      <c r="C29" s="1129" t="s">
        <v>1432</v>
      </c>
      <c r="D29" s="1130"/>
      <c r="E29" s="1152">
        <v>0.9</v>
      </c>
      <c r="F29" s="1131" t="s">
        <v>1433</v>
      </c>
      <c r="G29" s="1132"/>
      <c r="H29" s="1103"/>
      <c r="I29" s="1103"/>
    </row>
    <row r="30" spans="1:9" s="1597" customFormat="1" ht="19.5" customHeight="1">
      <c r="A30" s="3427"/>
      <c r="B30" s="3427"/>
      <c r="C30" s="1129" t="s">
        <v>1434</v>
      </c>
      <c r="D30" s="1130"/>
      <c r="E30" s="1152">
        <v>0.9</v>
      </c>
      <c r="F30" s="1131" t="s">
        <v>1435</v>
      </c>
      <c r="G30" s="1132"/>
      <c r="H30" s="1103"/>
      <c r="I30" s="1103"/>
    </row>
    <row r="31" spans="1:9" s="1597" customFormat="1" ht="19.5" customHeight="1">
      <c r="A31" s="3427"/>
      <c r="B31" s="3427"/>
      <c r="C31" s="1129" t="s">
        <v>1436</v>
      </c>
      <c r="D31" s="1130"/>
      <c r="E31" s="1152">
        <v>0.8</v>
      </c>
      <c r="F31" s="1131" t="s">
        <v>1437</v>
      </c>
      <c r="G31" s="1132"/>
      <c r="H31" s="1103"/>
      <c r="I31" s="1103"/>
    </row>
    <row r="32" spans="1:9" s="1597" customFormat="1" ht="19.5" customHeight="1">
      <c r="A32" s="3427"/>
      <c r="B32" s="3427"/>
      <c r="C32" s="1129" t="s">
        <v>1438</v>
      </c>
      <c r="D32" s="1130"/>
      <c r="E32" s="1152">
        <v>0.8</v>
      </c>
      <c r="F32" s="1131" t="s">
        <v>1439</v>
      </c>
      <c r="G32" s="1132"/>
      <c r="H32" s="1103"/>
      <c r="I32" s="1103"/>
    </row>
    <row r="33" spans="1:9" s="1597" customFormat="1" ht="19.5" customHeight="1">
      <c r="A33" s="3427" t="s">
        <v>1440</v>
      </c>
      <c r="B33" s="1152" t="s">
        <v>1412</v>
      </c>
      <c r="C33" s="1129" t="s">
        <v>1441</v>
      </c>
      <c r="D33" s="1130"/>
      <c r="E33" s="1152">
        <v>1</v>
      </c>
      <c r="F33" s="1131" t="s">
        <v>1442</v>
      </c>
      <c r="G33" s="1132"/>
      <c r="H33" s="1103"/>
      <c r="I33" s="1103"/>
    </row>
    <row r="34" spans="1:9" s="1597" customFormat="1" ht="19.5" customHeight="1">
      <c r="A34" s="3427"/>
      <c r="B34" s="1152" t="s">
        <v>1415</v>
      </c>
      <c r="C34" s="1129" t="s">
        <v>1443</v>
      </c>
      <c r="D34" s="1130"/>
      <c r="E34" s="1152">
        <v>1.5</v>
      </c>
      <c r="F34" s="1131" t="s">
        <v>1444</v>
      </c>
      <c r="G34" s="1132"/>
      <c r="H34" s="1103"/>
      <c r="I34" s="1103"/>
    </row>
    <row r="35" spans="1:9" s="1597" customFormat="1" ht="19.5" customHeight="1">
      <c r="A35" s="3427" t="s">
        <v>1398</v>
      </c>
      <c r="B35" s="1152" t="s">
        <v>1412</v>
      </c>
      <c r="C35" s="1129" t="s">
        <v>1445</v>
      </c>
      <c r="D35" s="1130"/>
      <c r="E35" s="1152">
        <v>1</v>
      </c>
      <c r="F35" s="1131" t="s">
        <v>1446</v>
      </c>
      <c r="G35" s="1132"/>
      <c r="H35" s="1103"/>
      <c r="I35" s="1103"/>
    </row>
    <row r="36" spans="1:9" s="1597" customFormat="1" ht="19.5" customHeight="1">
      <c r="A36" s="3427"/>
      <c r="B36" s="3427" t="s">
        <v>1415</v>
      </c>
      <c r="C36" s="1129" t="s">
        <v>1447</v>
      </c>
      <c r="D36" s="1130"/>
      <c r="E36" s="1152">
        <v>1</v>
      </c>
      <c r="F36" s="1131" t="s">
        <v>1448</v>
      </c>
      <c r="G36" s="1132"/>
      <c r="H36" s="1103"/>
      <c r="I36" s="1103"/>
    </row>
    <row r="37" spans="1:9" s="1597" customFormat="1" ht="19.5" customHeight="1">
      <c r="A37" s="3427"/>
      <c r="B37" s="3427"/>
      <c r="C37" s="1129" t="s">
        <v>1449</v>
      </c>
      <c r="D37" s="1130"/>
      <c r="E37" s="1152">
        <v>1.5</v>
      </c>
      <c r="F37" s="1131" t="s">
        <v>1450</v>
      </c>
      <c r="G37" s="1132"/>
      <c r="H37" s="1103"/>
      <c r="I37" s="1103"/>
    </row>
    <row r="38" spans="1:9" s="1597" customFormat="1" ht="19.5" customHeight="1">
      <c r="A38" s="3427"/>
      <c r="B38" s="3427"/>
      <c r="C38" s="1129" t="s">
        <v>1451</v>
      </c>
      <c r="D38" s="1130"/>
      <c r="E38" s="1152">
        <v>1</v>
      </c>
      <c r="F38" s="1131" t="s">
        <v>1452</v>
      </c>
      <c r="G38" s="1132"/>
      <c r="H38" s="1103"/>
      <c r="I38" s="1103"/>
    </row>
    <row r="39" spans="1:9" s="1597" customFormat="1" ht="19.5" customHeight="1">
      <c r="A39" s="3427"/>
      <c r="B39" s="3427"/>
      <c r="C39" s="1129" t="s">
        <v>1453</v>
      </c>
      <c r="D39" s="1130"/>
      <c r="E39" s="1152">
        <v>1</v>
      </c>
      <c r="F39" s="1131" t="s">
        <v>1454</v>
      </c>
      <c r="G39" s="1132"/>
      <c r="H39" s="1103"/>
      <c r="I39" s="1103"/>
    </row>
    <row r="40" spans="1:9" s="1597" customFormat="1" ht="19.5" customHeight="1">
      <c r="A40" s="1598" t="s">
        <v>1455</v>
      </c>
      <c r="B40" s="1598"/>
      <c r="C40" s="1598"/>
      <c r="D40" s="1598"/>
      <c r="E40" s="1598"/>
      <c r="F40" s="1131"/>
      <c r="G40" s="1131"/>
      <c r="H40" s="1103"/>
      <c r="I40" s="1103"/>
    </row>
    <row r="42" spans="1:9" ht="19.5" customHeight="1">
      <c r="A42" s="1133"/>
      <c r="B42" s="1066" t="s">
        <v>1456</v>
      </c>
      <c r="C42" s="1066" t="s">
        <v>1456</v>
      </c>
      <c r="D42" s="1066" t="s">
        <v>1456</v>
      </c>
      <c r="E42" s="1151" t="s">
        <v>1456</v>
      </c>
      <c r="F42" s="1151" t="s">
        <v>1456</v>
      </c>
      <c r="G42" s="1151" t="s">
        <v>1457</v>
      </c>
      <c r="H42" s="1151" t="s">
        <v>1456</v>
      </c>
    </row>
    <row r="43" spans="1:9" ht="19.5" customHeight="1">
      <c r="A43" s="1134"/>
      <c r="B43" s="1151" t="s">
        <v>973</v>
      </c>
      <c r="C43" s="1151" t="s">
        <v>973</v>
      </c>
      <c r="D43" s="1151" t="s">
        <v>973</v>
      </c>
      <c r="E43" s="1151" t="s">
        <v>973</v>
      </c>
      <c r="F43" s="1066" t="s">
        <v>995</v>
      </c>
      <c r="G43" s="1066" t="s">
        <v>1398</v>
      </c>
      <c r="H43" s="1066" t="s">
        <v>1458</v>
      </c>
    </row>
    <row r="44" spans="1:9" ht="19.5" customHeight="1">
      <c r="A44" s="1135"/>
      <c r="B44" s="1066">
        <v>1</v>
      </c>
      <c r="C44" s="1066">
        <v>2</v>
      </c>
      <c r="D44" s="1066">
        <v>3</v>
      </c>
      <c r="E44" s="1151">
        <v>4</v>
      </c>
      <c r="F44" s="1127" t="s">
        <v>1459</v>
      </c>
      <c r="G44" s="1127" t="s">
        <v>1459</v>
      </c>
      <c r="H44" s="1127" t="s">
        <v>1459</v>
      </c>
    </row>
    <row r="45" spans="1:9" ht="19.5" customHeight="1">
      <c r="A45" s="1150" t="s">
        <v>872</v>
      </c>
      <c r="B45" s="1066">
        <v>0.8</v>
      </c>
      <c r="C45" s="1066">
        <v>0.5</v>
      </c>
      <c r="D45" s="1066">
        <v>0.36</v>
      </c>
      <c r="E45" s="1066">
        <v>0.3</v>
      </c>
      <c r="F45" s="1127">
        <v>0.3</v>
      </c>
      <c r="G45" s="1066">
        <v>0.3</v>
      </c>
      <c r="H45" s="1066">
        <v>0.25</v>
      </c>
    </row>
    <row r="46" spans="1:9" ht="19.5" customHeight="1">
      <c r="A46" s="1150" t="s">
        <v>873</v>
      </c>
      <c r="B46" s="1066">
        <v>0.8</v>
      </c>
      <c r="C46" s="1066">
        <v>0.5</v>
      </c>
      <c r="D46" s="1066">
        <v>0.36</v>
      </c>
      <c r="E46" s="1066">
        <v>0.3</v>
      </c>
      <c r="F46" s="1066">
        <v>0.3</v>
      </c>
      <c r="G46" s="1066">
        <v>0.3</v>
      </c>
      <c r="H46" s="1066">
        <v>0.25</v>
      </c>
    </row>
    <row r="47" spans="1:9" ht="19.5" customHeight="1">
      <c r="A47" s="1150" t="s">
        <v>874</v>
      </c>
      <c r="B47" s="1066">
        <v>0.7</v>
      </c>
      <c r="C47" s="1066">
        <v>0.4</v>
      </c>
      <c r="D47" s="1066">
        <v>0.28000000000000003</v>
      </c>
      <c r="E47" s="1066">
        <v>0.25</v>
      </c>
      <c r="F47" s="1066">
        <v>0.25</v>
      </c>
      <c r="G47" s="1066">
        <v>0.25</v>
      </c>
      <c r="H47" s="1066">
        <v>0.2</v>
      </c>
    </row>
    <row r="48" spans="1:9" ht="19.5" customHeight="1">
      <c r="A48" s="1150" t="s">
        <v>875</v>
      </c>
      <c r="B48" s="1066">
        <v>0.7</v>
      </c>
      <c r="C48" s="1066">
        <v>0.4</v>
      </c>
      <c r="D48" s="1066">
        <v>0.28000000000000003</v>
      </c>
      <c r="E48" s="1066">
        <v>0.25</v>
      </c>
      <c r="F48" s="1066">
        <v>0.25</v>
      </c>
      <c r="G48" s="1066">
        <v>0.25</v>
      </c>
      <c r="H48" s="1066">
        <v>0.2</v>
      </c>
    </row>
    <row r="49" spans="1:8" s="1103" customFormat="1" ht="19.5" customHeight="1">
      <c r="A49" s="1150" t="s">
        <v>876</v>
      </c>
      <c r="B49" s="1066">
        <v>0.7</v>
      </c>
      <c r="C49" s="1066">
        <v>0.4</v>
      </c>
      <c r="D49" s="1066">
        <v>0.28000000000000003</v>
      </c>
      <c r="E49" s="1066">
        <v>0.25</v>
      </c>
      <c r="F49" s="1066">
        <v>0.25</v>
      </c>
      <c r="G49" s="1066">
        <v>0.25</v>
      </c>
      <c r="H49" s="1066">
        <v>0.2</v>
      </c>
    </row>
    <row r="50" spans="1:8" s="1103" customFormat="1" ht="19.5" customHeight="1">
      <c r="A50" s="1150" t="s">
        <v>877</v>
      </c>
      <c r="B50" s="1066">
        <v>0.7</v>
      </c>
      <c r="C50" s="1066">
        <v>0.4</v>
      </c>
      <c r="D50" s="1066">
        <v>0.28000000000000003</v>
      </c>
      <c r="E50" s="1066">
        <v>0.25</v>
      </c>
      <c r="F50" s="1066">
        <v>0.25</v>
      </c>
      <c r="G50" s="1066">
        <v>0.25</v>
      </c>
      <c r="H50" s="1066">
        <v>0.2</v>
      </c>
    </row>
    <row r="51" spans="1:8" s="1103" customFormat="1" ht="19.5" customHeight="1">
      <c r="A51" s="1150" t="s">
        <v>878</v>
      </c>
      <c r="B51" s="1066">
        <v>0.7</v>
      </c>
      <c r="C51" s="1066">
        <v>0.4</v>
      </c>
      <c r="D51" s="1066">
        <v>0.28000000000000003</v>
      </c>
      <c r="E51" s="1066">
        <v>0.25</v>
      </c>
      <c r="F51" s="1066">
        <v>0.25</v>
      </c>
      <c r="G51" s="1066">
        <v>0.25</v>
      </c>
      <c r="H51" s="1066">
        <v>0.2</v>
      </c>
    </row>
    <row r="52" spans="1:8" s="1103" customFormat="1" ht="19.5" customHeight="1">
      <c r="A52" s="1150" t="s">
        <v>879</v>
      </c>
      <c r="B52" s="1066">
        <v>0.6</v>
      </c>
      <c r="C52" s="1066">
        <v>0.3</v>
      </c>
      <c r="D52" s="1066">
        <v>0.2</v>
      </c>
      <c r="E52" s="1066">
        <v>0.2</v>
      </c>
      <c r="F52" s="1066">
        <v>0.2</v>
      </c>
      <c r="G52" s="1066">
        <v>0.2</v>
      </c>
      <c r="H52" s="1066">
        <v>0.15</v>
      </c>
    </row>
    <row r="53" spans="1:8" s="1103" customFormat="1" ht="19.5" customHeight="1">
      <c r="A53" s="1150" t="s">
        <v>880</v>
      </c>
      <c r="B53" s="1066">
        <v>0.6</v>
      </c>
      <c r="C53" s="1066">
        <v>0.3</v>
      </c>
      <c r="D53" s="1066">
        <v>0.2</v>
      </c>
      <c r="E53" s="1066">
        <v>0.2</v>
      </c>
      <c r="F53" s="1066">
        <v>0.2</v>
      </c>
      <c r="G53" s="1066">
        <v>0.2</v>
      </c>
      <c r="H53" s="1066">
        <v>0.15</v>
      </c>
    </row>
    <row r="54" spans="1:8" s="1103" customFormat="1" ht="19.5" customHeight="1">
      <c r="A54" s="1150" t="s">
        <v>881</v>
      </c>
      <c r="B54" s="1066">
        <v>0.6</v>
      </c>
      <c r="C54" s="1066">
        <v>0.3</v>
      </c>
      <c r="D54" s="1066">
        <v>0.2</v>
      </c>
      <c r="E54" s="1066">
        <v>0.2</v>
      </c>
      <c r="F54" s="1066">
        <v>0.2</v>
      </c>
      <c r="G54" s="1066">
        <v>0.2</v>
      </c>
      <c r="H54" s="1066">
        <v>0.15</v>
      </c>
    </row>
    <row r="55" spans="1:8" s="1103" customFormat="1" ht="19.5" customHeight="1">
      <c r="A55" s="1150" t="s">
        <v>882</v>
      </c>
      <c r="B55" s="1066">
        <v>0.6</v>
      </c>
      <c r="C55" s="1066">
        <v>0.3</v>
      </c>
      <c r="D55" s="1066">
        <v>0.2</v>
      </c>
      <c r="E55" s="1066">
        <v>0.2</v>
      </c>
      <c r="F55" s="1066">
        <v>0.2</v>
      </c>
      <c r="G55" s="1066">
        <v>0.2</v>
      </c>
      <c r="H55" s="1066">
        <v>0.15</v>
      </c>
    </row>
    <row r="56" spans="1:8" s="1103" customFormat="1" ht="19.5" customHeight="1">
      <c r="A56" s="1150" t="s">
        <v>883</v>
      </c>
      <c r="B56" s="1066">
        <v>0.6</v>
      </c>
      <c r="C56" s="1066">
        <v>0.3</v>
      </c>
      <c r="D56" s="1066">
        <v>0.2</v>
      </c>
      <c r="E56" s="1066">
        <v>0.2</v>
      </c>
      <c r="F56" s="1066">
        <v>0.2</v>
      </c>
      <c r="G56" s="1066">
        <v>0.2</v>
      </c>
      <c r="H56" s="1066">
        <v>0.15</v>
      </c>
    </row>
    <row r="58" spans="1:8" s="1103" customFormat="1" ht="19.5" customHeight="1">
      <c r="A58" s="1136"/>
      <c r="B58" s="1124"/>
      <c r="C58" s="1124"/>
      <c r="D58" s="1124" t="s">
        <v>1460</v>
      </c>
      <c r="E58" s="1124"/>
      <c r="F58" s="1124"/>
    </row>
    <row r="59" spans="1:8" s="1103" customFormat="1" ht="19.5" customHeight="1">
      <c r="A59" s="1152" t="s">
        <v>1461</v>
      </c>
      <c r="B59" s="1152" t="s">
        <v>1462</v>
      </c>
      <c r="C59" s="1152" t="s">
        <v>1463</v>
      </c>
      <c r="D59" s="1152" t="s">
        <v>1464</v>
      </c>
      <c r="E59" s="1152" t="s">
        <v>1465</v>
      </c>
      <c r="F59" s="1152" t="s">
        <v>1466</v>
      </c>
    </row>
    <row r="60" spans="1:8" s="1103" customFormat="1" ht="19.5" customHeight="1">
      <c r="A60" s="1152"/>
      <c r="B60" s="1152"/>
      <c r="C60" s="1152" t="s">
        <v>1598</v>
      </c>
      <c r="D60" s="1152"/>
      <c r="E60" s="1137" t="s">
        <v>1407</v>
      </c>
      <c r="F60" s="1152" t="s">
        <v>1407</v>
      </c>
    </row>
    <row r="61" spans="1:8" s="1103" customFormat="1" ht="36">
      <c r="A61" s="1152">
        <v>1</v>
      </c>
      <c r="B61" s="3427" t="s">
        <v>1467</v>
      </c>
      <c r="C61" s="1066" t="s">
        <v>1468</v>
      </c>
      <c r="D61" s="1066" t="s">
        <v>1469</v>
      </c>
      <c r="E61" s="1137">
        <v>0.5</v>
      </c>
      <c r="F61" s="1152">
        <v>80</v>
      </c>
      <c r="H61" s="1103">
        <f>SUMIF(C59:C119,基准地价!C8,E59:E119)</f>
        <v>0</v>
      </c>
    </row>
    <row r="62" spans="1:8" s="1103" customFormat="1" ht="36">
      <c r="A62" s="1152">
        <v>2</v>
      </c>
      <c r="B62" s="3427"/>
      <c r="C62" s="1066" t="s">
        <v>1470</v>
      </c>
      <c r="D62" s="1066" t="s">
        <v>1471</v>
      </c>
      <c r="E62" s="1137">
        <v>0.5</v>
      </c>
      <c r="F62" s="1152">
        <v>80</v>
      </c>
    </row>
    <row r="63" spans="1:8" s="1103" customFormat="1" ht="48">
      <c r="A63" s="1152">
        <v>3</v>
      </c>
      <c r="B63" s="3427"/>
      <c r="C63" s="1066" t="s">
        <v>1472</v>
      </c>
      <c r="D63" s="1066" t="s">
        <v>1473</v>
      </c>
      <c r="E63" s="1137">
        <v>0.5</v>
      </c>
      <c r="F63" s="1152">
        <v>80</v>
      </c>
    </row>
    <row r="64" spans="1:8" s="1103" customFormat="1" ht="48">
      <c r="A64" s="1152">
        <v>4</v>
      </c>
      <c r="B64" s="3427"/>
      <c r="C64" s="1066" t="s">
        <v>1474</v>
      </c>
      <c r="D64" s="1066" t="s">
        <v>1475</v>
      </c>
      <c r="E64" s="1137">
        <v>0.4</v>
      </c>
      <c r="F64" s="1152">
        <v>60</v>
      </c>
    </row>
    <row r="65" spans="1:6" s="1103" customFormat="1" ht="48">
      <c r="A65" s="1152">
        <v>5</v>
      </c>
      <c r="B65" s="3427"/>
      <c r="C65" s="1066" t="s">
        <v>1476</v>
      </c>
      <c r="D65" s="1066" t="s">
        <v>1477</v>
      </c>
      <c r="E65" s="1137">
        <v>0.2</v>
      </c>
      <c r="F65" s="1152">
        <v>30</v>
      </c>
    </row>
    <row r="66" spans="1:6" s="1103" customFormat="1" ht="48">
      <c r="A66" s="1152">
        <v>6</v>
      </c>
      <c r="B66" s="3427"/>
      <c r="C66" s="1066" t="s">
        <v>1478</v>
      </c>
      <c r="D66" s="1066" t="s">
        <v>1479</v>
      </c>
      <c r="E66" s="1137">
        <v>0.3</v>
      </c>
      <c r="F66" s="1152">
        <v>50</v>
      </c>
    </row>
    <row r="67" spans="1:6" s="1103" customFormat="1" ht="48">
      <c r="A67" s="1152">
        <v>7</v>
      </c>
      <c r="B67" s="3427"/>
      <c r="C67" s="1066" t="s">
        <v>1480</v>
      </c>
      <c r="D67" s="1066" t="s">
        <v>1481</v>
      </c>
      <c r="E67" s="1137">
        <v>0.2</v>
      </c>
      <c r="F67" s="1152">
        <v>30</v>
      </c>
    </row>
    <row r="68" spans="1:6" s="1103" customFormat="1" ht="48">
      <c r="A68" s="1152">
        <v>8</v>
      </c>
      <c r="B68" s="3427"/>
      <c r="C68" s="1066" t="s">
        <v>1482</v>
      </c>
      <c r="D68" s="1066" t="s">
        <v>1483</v>
      </c>
      <c r="E68" s="1137">
        <v>0.2</v>
      </c>
      <c r="F68" s="1152">
        <v>30</v>
      </c>
    </row>
    <row r="69" spans="1:6" s="1103" customFormat="1" ht="48">
      <c r="A69" s="1152">
        <v>9</v>
      </c>
      <c r="B69" s="3427"/>
      <c r="C69" s="1066" t="s">
        <v>1484</v>
      </c>
      <c r="D69" s="1066" t="s">
        <v>1485</v>
      </c>
      <c r="E69" s="1137">
        <v>0.2</v>
      </c>
      <c r="F69" s="1152">
        <v>30</v>
      </c>
    </row>
    <row r="70" spans="1:6" s="1103" customFormat="1" ht="60">
      <c r="A70" s="1152">
        <v>10</v>
      </c>
      <c r="B70" s="3427"/>
      <c r="C70" s="1066" t="s">
        <v>1486</v>
      </c>
      <c r="D70" s="1066" t="s">
        <v>1487</v>
      </c>
      <c r="E70" s="1137">
        <v>0.2</v>
      </c>
      <c r="F70" s="1152">
        <v>30</v>
      </c>
    </row>
    <row r="71" spans="1:6" s="1103" customFormat="1" ht="60">
      <c r="A71" s="1152">
        <v>11</v>
      </c>
      <c r="B71" s="3427"/>
      <c r="C71" s="1066" t="s">
        <v>1488</v>
      </c>
      <c r="D71" s="1066" t="s">
        <v>1489</v>
      </c>
      <c r="E71" s="1137">
        <v>0.2</v>
      </c>
      <c r="F71" s="1152">
        <v>30</v>
      </c>
    </row>
    <row r="72" spans="1:6" s="1103" customFormat="1" ht="36">
      <c r="A72" s="1152">
        <v>12</v>
      </c>
      <c r="B72" s="3427"/>
      <c r="C72" s="1066" t="s">
        <v>1490</v>
      </c>
      <c r="D72" s="1066" t="s">
        <v>1491</v>
      </c>
      <c r="E72" s="1137">
        <v>0.5</v>
      </c>
      <c r="F72" s="1152">
        <v>80</v>
      </c>
    </row>
    <row r="73" spans="1:6" s="1103" customFormat="1" ht="36">
      <c r="A73" s="1152">
        <v>13</v>
      </c>
      <c r="B73" s="3427"/>
      <c r="C73" s="1066" t="s">
        <v>1492</v>
      </c>
      <c r="D73" s="1066" t="s">
        <v>1493</v>
      </c>
      <c r="E73" s="1137">
        <v>0.4</v>
      </c>
      <c r="F73" s="1152">
        <v>60</v>
      </c>
    </row>
    <row r="74" spans="1:6" s="1103" customFormat="1" ht="36">
      <c r="A74" s="1152">
        <v>14</v>
      </c>
      <c r="B74" s="3427"/>
      <c r="C74" s="1066" t="s">
        <v>1494</v>
      </c>
      <c r="D74" s="1066" t="s">
        <v>1495</v>
      </c>
      <c r="E74" s="1137">
        <v>0.2</v>
      </c>
      <c r="F74" s="1152">
        <v>30</v>
      </c>
    </row>
    <row r="75" spans="1:6" s="1103" customFormat="1" ht="36">
      <c r="A75" s="1152">
        <v>15</v>
      </c>
      <c r="B75" s="3427"/>
      <c r="C75" s="1066" t="s">
        <v>1496</v>
      </c>
      <c r="D75" s="1066" t="s">
        <v>1497</v>
      </c>
      <c r="E75" s="1137">
        <v>0.2</v>
      </c>
      <c r="F75" s="1152">
        <v>30</v>
      </c>
    </row>
    <row r="76" spans="1:6" s="1103" customFormat="1" ht="36">
      <c r="A76" s="1152">
        <v>16</v>
      </c>
      <c r="B76" s="3427" t="s">
        <v>1498</v>
      </c>
      <c r="C76" s="1066" t="s">
        <v>1499</v>
      </c>
      <c r="D76" s="1066" t="s">
        <v>1500</v>
      </c>
      <c r="E76" s="1137">
        <v>0.5</v>
      </c>
      <c r="F76" s="1152">
        <v>80</v>
      </c>
    </row>
    <row r="77" spans="1:6" s="1103" customFormat="1" ht="36">
      <c r="A77" s="1152">
        <v>17</v>
      </c>
      <c r="B77" s="3427"/>
      <c r="C77" s="1066" t="s">
        <v>1501</v>
      </c>
      <c r="D77" s="1066" t="s">
        <v>1502</v>
      </c>
      <c r="E77" s="1137">
        <v>0.5</v>
      </c>
      <c r="F77" s="1152">
        <v>80</v>
      </c>
    </row>
    <row r="78" spans="1:6" s="1103" customFormat="1" ht="36">
      <c r="A78" s="1152">
        <v>18</v>
      </c>
      <c r="B78" s="3427"/>
      <c r="C78" s="1066" t="s">
        <v>1503</v>
      </c>
      <c r="D78" s="1066" t="s">
        <v>1504</v>
      </c>
      <c r="E78" s="1137">
        <v>0.2</v>
      </c>
      <c r="F78" s="1152">
        <v>30</v>
      </c>
    </row>
    <row r="79" spans="1:6" s="1103" customFormat="1" ht="36">
      <c r="A79" s="1152">
        <v>19</v>
      </c>
      <c r="B79" s="3427"/>
      <c r="C79" s="1066" t="s">
        <v>1505</v>
      </c>
      <c r="D79" s="1066" t="s">
        <v>1506</v>
      </c>
      <c r="E79" s="1137">
        <v>0.5</v>
      </c>
      <c r="F79" s="1152">
        <v>80</v>
      </c>
    </row>
    <row r="80" spans="1:6" s="1103" customFormat="1" ht="36">
      <c r="A80" s="1152">
        <v>20</v>
      </c>
      <c r="B80" s="3427"/>
      <c r="C80" s="1066" t="s">
        <v>1507</v>
      </c>
      <c r="D80" s="1066" t="s">
        <v>1508</v>
      </c>
      <c r="E80" s="1137">
        <v>0.2</v>
      </c>
      <c r="F80" s="1152">
        <v>30</v>
      </c>
    </row>
    <row r="81" spans="1:6" s="1103" customFormat="1" ht="36">
      <c r="A81" s="1152">
        <v>21</v>
      </c>
      <c r="B81" s="3427"/>
      <c r="C81" s="1066" t="s">
        <v>1509</v>
      </c>
      <c r="D81" s="1066" t="s">
        <v>1510</v>
      </c>
      <c r="E81" s="1137">
        <v>0.2</v>
      </c>
      <c r="F81" s="1152">
        <v>30</v>
      </c>
    </row>
    <row r="82" spans="1:6" s="1103" customFormat="1" ht="60">
      <c r="A82" s="1152">
        <v>22</v>
      </c>
      <c r="B82" s="3427"/>
      <c r="C82" s="1066" t="s">
        <v>1511</v>
      </c>
      <c r="D82" s="1066" t="s">
        <v>1512</v>
      </c>
      <c r="E82" s="1137">
        <v>0.2</v>
      </c>
      <c r="F82" s="1152">
        <v>30</v>
      </c>
    </row>
    <row r="83" spans="1:6" s="1103" customFormat="1" ht="60">
      <c r="A83" s="1152">
        <v>23</v>
      </c>
      <c r="B83" s="3427"/>
      <c r="C83" s="1066" t="s">
        <v>1513</v>
      </c>
      <c r="D83" s="1066" t="s">
        <v>1514</v>
      </c>
      <c r="E83" s="1137">
        <v>0.2</v>
      </c>
      <c r="F83" s="1152">
        <v>30</v>
      </c>
    </row>
    <row r="84" spans="1:6" s="1103" customFormat="1" ht="48">
      <c r="A84" s="1152">
        <v>24</v>
      </c>
      <c r="B84" s="3427"/>
      <c r="C84" s="1066" t="s">
        <v>1515</v>
      </c>
      <c r="D84" s="1066" t="s">
        <v>1516</v>
      </c>
      <c r="E84" s="1137">
        <v>0.2</v>
      </c>
      <c r="F84" s="1152">
        <v>30</v>
      </c>
    </row>
    <row r="85" spans="1:6" s="1103" customFormat="1" ht="36">
      <c r="A85" s="1152">
        <v>25</v>
      </c>
      <c r="B85" s="3427"/>
      <c r="C85" s="1066" t="s">
        <v>1517</v>
      </c>
      <c r="D85" s="1066" t="s">
        <v>1518</v>
      </c>
      <c r="E85" s="1137">
        <v>0.5</v>
      </c>
      <c r="F85" s="1152">
        <v>80</v>
      </c>
    </row>
    <row r="86" spans="1:6" s="1103" customFormat="1" ht="36">
      <c r="A86" s="1152">
        <v>26</v>
      </c>
      <c r="B86" s="3427"/>
      <c r="C86" s="1066" t="s">
        <v>1519</v>
      </c>
      <c r="D86" s="1066" t="s">
        <v>1520</v>
      </c>
      <c r="E86" s="1137">
        <v>0.2</v>
      </c>
      <c r="F86" s="1152">
        <v>30</v>
      </c>
    </row>
    <row r="87" spans="1:6" s="1103" customFormat="1" ht="36">
      <c r="A87" s="1152">
        <v>27</v>
      </c>
      <c r="B87" s="3427"/>
      <c r="C87" s="1066" t="s">
        <v>1521</v>
      </c>
      <c r="D87" s="1066" t="s">
        <v>1522</v>
      </c>
      <c r="E87" s="1137">
        <v>0.2</v>
      </c>
      <c r="F87" s="1152">
        <v>30</v>
      </c>
    </row>
    <row r="88" spans="1:6" s="1103" customFormat="1" ht="36">
      <c r="A88" s="1152">
        <v>28</v>
      </c>
      <c r="B88" s="3427"/>
      <c r="C88" s="1066" t="s">
        <v>1523</v>
      </c>
      <c r="D88" s="1066" t="s">
        <v>1524</v>
      </c>
      <c r="E88" s="1137">
        <v>0.2</v>
      </c>
      <c r="F88" s="1152">
        <v>30</v>
      </c>
    </row>
    <row r="89" spans="1:6" s="1103" customFormat="1" ht="36">
      <c r="A89" s="1152">
        <v>29</v>
      </c>
      <c r="B89" s="3427"/>
      <c r="C89" s="1066" t="s">
        <v>1525</v>
      </c>
      <c r="D89" s="1066" t="s">
        <v>1526</v>
      </c>
      <c r="E89" s="1137">
        <v>0.2</v>
      </c>
      <c r="F89" s="1152">
        <v>30</v>
      </c>
    </row>
    <row r="90" spans="1:6" s="1103" customFormat="1" ht="36">
      <c r="A90" s="1152">
        <v>30</v>
      </c>
      <c r="B90" s="3427"/>
      <c r="C90" s="1066" t="s">
        <v>1527</v>
      </c>
      <c r="D90" s="1066" t="s">
        <v>1528</v>
      </c>
      <c r="E90" s="1137">
        <v>0.2</v>
      </c>
      <c r="F90" s="1152">
        <v>30</v>
      </c>
    </row>
    <row r="91" spans="1:6" s="1103" customFormat="1" ht="48">
      <c r="A91" s="1152">
        <v>31</v>
      </c>
      <c r="B91" s="3427"/>
      <c r="C91" s="1066" t="s">
        <v>1529</v>
      </c>
      <c r="D91" s="1066" t="s">
        <v>1530</v>
      </c>
      <c r="E91" s="1137">
        <v>0.2</v>
      </c>
      <c r="F91" s="1152">
        <v>30</v>
      </c>
    </row>
    <row r="92" spans="1:6" s="1103" customFormat="1" ht="36">
      <c r="A92" s="1152">
        <v>32</v>
      </c>
      <c r="B92" s="3427" t="s">
        <v>1531</v>
      </c>
      <c r="C92" s="1152" t="s">
        <v>1532</v>
      </c>
      <c r="D92" s="1066" t="s">
        <v>1533</v>
      </c>
      <c r="E92" s="1137">
        <v>0.2</v>
      </c>
      <c r="F92" s="1152">
        <v>30</v>
      </c>
    </row>
    <row r="93" spans="1:6" s="1103" customFormat="1" ht="36">
      <c r="A93" s="1152">
        <v>33</v>
      </c>
      <c r="B93" s="3427"/>
      <c r="C93" s="1152" t="s">
        <v>1534</v>
      </c>
      <c r="D93" s="1066" t="s">
        <v>1535</v>
      </c>
      <c r="E93" s="1137">
        <v>0.2</v>
      </c>
      <c r="F93" s="1152">
        <v>30</v>
      </c>
    </row>
    <row r="94" spans="1:6" s="1103" customFormat="1" ht="60">
      <c r="A94" s="1152">
        <v>34</v>
      </c>
      <c r="B94" s="3427"/>
      <c r="C94" s="1152" t="s">
        <v>1536</v>
      </c>
      <c r="D94" s="1066" t="s">
        <v>1537</v>
      </c>
      <c r="E94" s="1137">
        <v>0.2</v>
      </c>
      <c r="F94" s="1152">
        <v>30</v>
      </c>
    </row>
    <row r="95" spans="1:6" s="1103" customFormat="1" ht="48">
      <c r="A95" s="1152">
        <v>35</v>
      </c>
      <c r="B95" s="3427"/>
      <c r="C95" s="1152" t="s">
        <v>1538</v>
      </c>
      <c r="D95" s="1066" t="s">
        <v>1539</v>
      </c>
      <c r="E95" s="1137">
        <v>0.2</v>
      </c>
      <c r="F95" s="1152">
        <v>30</v>
      </c>
    </row>
    <row r="96" spans="1:6" s="1103" customFormat="1" ht="72">
      <c r="A96" s="1152">
        <v>36</v>
      </c>
      <c r="B96" s="3427"/>
      <c r="C96" s="1066" t="s">
        <v>1540</v>
      </c>
      <c r="D96" s="1066" t="s">
        <v>1541</v>
      </c>
      <c r="E96" s="1137">
        <v>0.2</v>
      </c>
      <c r="F96" s="1152">
        <v>30</v>
      </c>
    </row>
    <row r="97" spans="1:6" s="1103" customFormat="1" ht="36">
      <c r="A97" s="1152">
        <v>37</v>
      </c>
      <c r="B97" s="3427"/>
      <c r="C97" s="1152" t="s">
        <v>1542</v>
      </c>
      <c r="D97" s="1066" t="s">
        <v>1543</v>
      </c>
      <c r="E97" s="1137">
        <v>0.2</v>
      </c>
      <c r="F97" s="1152">
        <v>30</v>
      </c>
    </row>
    <row r="98" spans="1:6" s="1103" customFormat="1" ht="36">
      <c r="A98" s="1152">
        <v>38</v>
      </c>
      <c r="B98" s="3427"/>
      <c r="C98" s="1152" t="s">
        <v>1544</v>
      </c>
      <c r="D98" s="1066" t="s">
        <v>1545</v>
      </c>
      <c r="E98" s="1137">
        <v>0.2</v>
      </c>
      <c r="F98" s="1152">
        <v>30</v>
      </c>
    </row>
    <row r="99" spans="1:6" s="1103" customFormat="1" ht="36">
      <c r="A99" s="1152">
        <v>39</v>
      </c>
      <c r="B99" s="3427" t="s">
        <v>1546</v>
      </c>
      <c r="C99" s="1152" t="s">
        <v>1547</v>
      </c>
      <c r="D99" s="1066" t="s">
        <v>1548</v>
      </c>
      <c r="E99" s="1137">
        <v>0.3</v>
      </c>
      <c r="F99" s="1152">
        <v>50</v>
      </c>
    </row>
    <row r="100" spans="1:6" s="1103" customFormat="1" ht="36">
      <c r="A100" s="1152">
        <v>40</v>
      </c>
      <c r="B100" s="3427"/>
      <c r="C100" s="1152" t="s">
        <v>1549</v>
      </c>
      <c r="D100" s="1066" t="s">
        <v>1550</v>
      </c>
      <c r="E100" s="1137">
        <v>0.2</v>
      </c>
      <c r="F100" s="1152">
        <v>30</v>
      </c>
    </row>
    <row r="101" spans="1:6" s="1103" customFormat="1" ht="36">
      <c r="A101" s="1152">
        <v>41</v>
      </c>
      <c r="B101" s="3427"/>
      <c r="C101" s="1152" t="s">
        <v>1551</v>
      </c>
      <c r="D101" s="1066" t="s">
        <v>1548</v>
      </c>
      <c r="E101" s="1137">
        <v>0.2</v>
      </c>
      <c r="F101" s="1152">
        <v>30</v>
      </c>
    </row>
    <row r="102" spans="1:6" s="1103" customFormat="1" ht="72">
      <c r="A102" s="1152">
        <v>42</v>
      </c>
      <c r="B102" s="1152" t="s">
        <v>1552</v>
      </c>
      <c r="C102" s="1066" t="s">
        <v>1553</v>
      </c>
      <c r="D102" s="1066" t="s">
        <v>1554</v>
      </c>
      <c r="E102" s="1137">
        <v>0.2</v>
      </c>
      <c r="F102" s="1152">
        <v>30</v>
      </c>
    </row>
    <row r="103" spans="1:6" s="1103" customFormat="1" ht="36">
      <c r="A103" s="1152">
        <v>43</v>
      </c>
      <c r="B103" s="1152" t="s">
        <v>1555</v>
      </c>
      <c r="C103" s="1152" t="s">
        <v>1556</v>
      </c>
      <c r="D103" s="1066" t="s">
        <v>1557</v>
      </c>
      <c r="E103" s="1137">
        <v>0.2</v>
      </c>
      <c r="F103" s="1152">
        <v>30</v>
      </c>
    </row>
    <row r="104" spans="1:6" s="1103" customFormat="1" ht="36">
      <c r="A104" s="1152">
        <v>44</v>
      </c>
      <c r="B104" s="1152" t="s">
        <v>1558</v>
      </c>
      <c r="C104" s="1152" t="s">
        <v>1559</v>
      </c>
      <c r="D104" s="1066" t="s">
        <v>1560</v>
      </c>
      <c r="E104" s="1137">
        <v>0.2</v>
      </c>
      <c r="F104" s="1152">
        <v>30</v>
      </c>
    </row>
    <row r="105" spans="1:6" s="1103" customFormat="1" ht="48">
      <c r="A105" s="1152">
        <v>45</v>
      </c>
      <c r="B105" s="3427" t="s">
        <v>1561</v>
      </c>
      <c r="C105" s="1152" t="s">
        <v>1562</v>
      </c>
      <c r="D105" s="1066" t="s">
        <v>1563</v>
      </c>
      <c r="E105" s="1137">
        <v>0.2</v>
      </c>
      <c r="F105" s="1152">
        <v>30</v>
      </c>
    </row>
    <row r="106" spans="1:6" s="1103" customFormat="1" ht="48">
      <c r="A106" s="1152">
        <v>46</v>
      </c>
      <c r="B106" s="3427"/>
      <c r="C106" s="1152" t="s">
        <v>1564</v>
      </c>
      <c r="D106" s="1066" t="s">
        <v>1565</v>
      </c>
      <c r="E106" s="1137">
        <v>0.2</v>
      </c>
      <c r="F106" s="1152">
        <v>30</v>
      </c>
    </row>
    <row r="107" spans="1:6" s="1103" customFormat="1" ht="36">
      <c r="A107" s="1152">
        <v>47</v>
      </c>
      <c r="B107" s="3427" t="s">
        <v>1566</v>
      </c>
      <c r="C107" s="1152" t="s">
        <v>1567</v>
      </c>
      <c r="D107" s="1066" t="s">
        <v>1568</v>
      </c>
      <c r="E107" s="1137">
        <v>0.3</v>
      </c>
      <c r="F107" s="1152">
        <v>50</v>
      </c>
    </row>
    <row r="108" spans="1:6" s="1103" customFormat="1" ht="48">
      <c r="A108" s="1152">
        <v>48</v>
      </c>
      <c r="B108" s="3427"/>
      <c r="C108" s="1152" t="s">
        <v>1569</v>
      </c>
      <c r="D108" s="1066" t="s">
        <v>1570</v>
      </c>
      <c r="E108" s="1137">
        <v>0.2</v>
      </c>
      <c r="F108" s="1152">
        <v>30</v>
      </c>
    </row>
    <row r="109" spans="1:6" s="1103" customFormat="1" ht="36">
      <c r="A109" s="1152">
        <v>49</v>
      </c>
      <c r="B109" s="1152" t="s">
        <v>1571</v>
      </c>
      <c r="C109" s="1152" t="s">
        <v>1572</v>
      </c>
      <c r="D109" s="1066" t="s">
        <v>1573</v>
      </c>
      <c r="E109" s="1137">
        <v>0.2</v>
      </c>
      <c r="F109" s="1152">
        <v>30</v>
      </c>
    </row>
    <row r="110" spans="1:6" s="1103" customFormat="1" ht="48">
      <c r="A110" s="1152">
        <v>50</v>
      </c>
      <c r="B110" s="1152" t="s">
        <v>1574</v>
      </c>
      <c r="C110" s="1152" t="s">
        <v>1575</v>
      </c>
      <c r="D110" s="1066" t="s">
        <v>1576</v>
      </c>
      <c r="E110" s="1137">
        <v>0.2</v>
      </c>
      <c r="F110" s="1152">
        <v>30</v>
      </c>
    </row>
    <row r="111" spans="1:6" s="1103" customFormat="1" ht="48">
      <c r="A111" s="1152">
        <v>51</v>
      </c>
      <c r="B111" s="3427" t="s">
        <v>1577</v>
      </c>
      <c r="C111" s="1152" t="s">
        <v>1578</v>
      </c>
      <c r="D111" s="1066" t="s">
        <v>1579</v>
      </c>
      <c r="E111" s="1137">
        <v>0.2</v>
      </c>
      <c r="F111" s="1152">
        <v>30</v>
      </c>
    </row>
    <row r="112" spans="1:6" s="1103" customFormat="1" ht="36">
      <c r="A112" s="1152">
        <v>52</v>
      </c>
      <c r="B112" s="3427"/>
      <c r="C112" s="1152" t="s">
        <v>1580</v>
      </c>
      <c r="D112" s="1066" t="s">
        <v>1581</v>
      </c>
      <c r="E112" s="1137">
        <v>0.2</v>
      </c>
      <c r="F112" s="1152">
        <v>30</v>
      </c>
    </row>
    <row r="113" spans="1:14" s="1103" customFormat="1" ht="36">
      <c r="A113" s="1152">
        <v>53</v>
      </c>
      <c r="B113" s="3427"/>
      <c r="C113" s="1152" t="s">
        <v>1582</v>
      </c>
      <c r="D113" s="1066" t="s">
        <v>1583</v>
      </c>
      <c r="E113" s="1137">
        <v>0.2</v>
      </c>
      <c r="F113" s="1152">
        <v>30</v>
      </c>
    </row>
    <row r="114" spans="1:14" ht="48">
      <c r="A114" s="1152">
        <v>54</v>
      </c>
      <c r="B114" s="1152" t="s">
        <v>1584</v>
      </c>
      <c r="C114" s="1152" t="s">
        <v>1585</v>
      </c>
      <c r="D114" s="1066" t="s">
        <v>1586</v>
      </c>
      <c r="E114" s="1137">
        <v>0.2</v>
      </c>
      <c r="F114" s="1152">
        <v>30</v>
      </c>
    </row>
    <row r="115" spans="1:14" ht="36">
      <c r="A115" s="1152">
        <v>55</v>
      </c>
      <c r="B115" s="1152" t="s">
        <v>1587</v>
      </c>
      <c r="C115" s="1152" t="s">
        <v>1588</v>
      </c>
      <c r="D115" s="1066" t="s">
        <v>1589</v>
      </c>
      <c r="E115" s="1137">
        <v>0.2</v>
      </c>
      <c r="F115" s="1152">
        <v>30</v>
      </c>
    </row>
    <row r="116" spans="1:14" ht="36">
      <c r="A116" s="1152">
        <v>56</v>
      </c>
      <c r="B116" s="3427" t="s">
        <v>1590</v>
      </c>
      <c r="C116" s="1152" t="s">
        <v>1591</v>
      </c>
      <c r="D116" s="1066" t="s">
        <v>1592</v>
      </c>
      <c r="E116" s="1137">
        <v>0.2</v>
      </c>
      <c r="F116" s="1152">
        <v>30</v>
      </c>
    </row>
    <row r="117" spans="1:14" ht="36">
      <c r="A117" s="1152">
        <v>57</v>
      </c>
      <c r="B117" s="3427"/>
      <c r="C117" s="1152" t="s">
        <v>1593</v>
      </c>
      <c r="D117" s="1066" t="s">
        <v>1594</v>
      </c>
      <c r="E117" s="1137">
        <v>0.2</v>
      </c>
      <c r="F117" s="1152">
        <v>30</v>
      </c>
    </row>
    <row r="118" spans="1:14" ht="36">
      <c r="A118" s="1152">
        <v>58</v>
      </c>
      <c r="B118" s="1152" t="s">
        <v>1595</v>
      </c>
      <c r="C118" s="1152" t="s">
        <v>1596</v>
      </c>
      <c r="D118" s="1066" t="s">
        <v>1597</v>
      </c>
      <c r="E118" s="1137">
        <v>0.2</v>
      </c>
      <c r="F118" s="1152">
        <v>30</v>
      </c>
    </row>
    <row r="119" spans="1:14" ht="14.4">
      <c r="A119" s="1152"/>
      <c r="B119" s="1152"/>
      <c r="C119" s="1152"/>
      <c r="D119" s="1152"/>
      <c r="E119" s="1137"/>
      <c r="F119" s="1152"/>
    </row>
    <row r="121" spans="1:14" ht="19.5" customHeight="1">
      <c r="A121" s="3426" t="s">
        <v>1599</v>
      </c>
      <c r="B121" s="3426"/>
      <c r="C121" s="3426"/>
      <c r="D121" s="3426"/>
      <c r="E121" s="3426"/>
      <c r="F121" s="3426"/>
      <c r="G121" s="3426"/>
      <c r="H121" s="3426"/>
      <c r="I121" s="3426"/>
      <c r="J121" s="3426"/>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3" customWidth="1"/>
    <col min="2" max="5" width="10.21875" style="1064" customWidth="1"/>
    <col min="6" max="6" width="9" style="1064"/>
    <col min="7" max="7" width="9" style="1067"/>
    <col min="8" max="8" width="9" style="1064"/>
    <col min="9" max="9" width="9" style="1067"/>
    <col min="10" max="16384" width="9" style="1064"/>
  </cols>
  <sheetData>
    <row r="1" spans="1:20">
      <c r="A1" s="3431" t="s">
        <v>1005</v>
      </c>
      <c r="B1" s="3431"/>
      <c r="C1" s="3431"/>
      <c r="D1" s="3431"/>
      <c r="E1" s="3431"/>
      <c r="F1" s="3431"/>
      <c r="H1" s="1068"/>
      <c r="I1" s="1069" t="s">
        <v>1006</v>
      </c>
      <c r="J1" s="1070" t="s">
        <v>1007</v>
      </c>
      <c r="K1" s="1070" t="s">
        <v>1008</v>
      </c>
      <c r="L1" s="1070" t="s">
        <v>1009</v>
      </c>
      <c r="M1" s="1070" t="s">
        <v>1010</v>
      </c>
      <c r="N1" s="1070" t="s">
        <v>1011</v>
      </c>
      <c r="O1" s="1070" t="s">
        <v>1012</v>
      </c>
      <c r="P1" s="1070" t="s">
        <v>1013</v>
      </c>
      <c r="Q1" s="1070" t="s">
        <v>1014</v>
      </c>
      <c r="R1" s="1070" t="s">
        <v>1015</v>
      </c>
      <c r="S1" s="1070" t="s">
        <v>1016</v>
      </c>
      <c r="T1" s="1071" t="s">
        <v>1017</v>
      </c>
    </row>
    <row r="2" spans="1:20" ht="15" thickBot="1">
      <c r="A2" s="3432" t="s">
        <v>1018</v>
      </c>
      <c r="B2" s="3432"/>
      <c r="C2" s="3432"/>
      <c r="D2" s="3432"/>
      <c r="E2" s="3432"/>
      <c r="F2" s="3432"/>
      <c r="I2" s="1072" t="s">
        <v>1019</v>
      </c>
      <c r="J2" s="1073" t="s">
        <v>1020</v>
      </c>
      <c r="K2" s="1073" t="s">
        <v>1021</v>
      </c>
      <c r="L2" s="1073" t="s">
        <v>1022</v>
      </c>
      <c r="M2" s="1073" t="s">
        <v>1023</v>
      </c>
      <c r="N2" s="1073" t="s">
        <v>1024</v>
      </c>
      <c r="O2" s="1073" t="s">
        <v>1025</v>
      </c>
      <c r="P2" s="1073" t="s">
        <v>1026</v>
      </c>
      <c r="Q2" s="1073" t="s">
        <v>1027</v>
      </c>
      <c r="R2" s="1073" t="s">
        <v>1028</v>
      </c>
      <c r="S2" s="1073" t="s">
        <v>1029</v>
      </c>
      <c r="T2" s="1073" t="s">
        <v>1030</v>
      </c>
    </row>
    <row r="3" spans="1:20" s="1068" customFormat="1" ht="19.5" customHeight="1">
      <c r="A3" s="3433" t="s">
        <v>1031</v>
      </c>
      <c r="B3" s="1074"/>
      <c r="C3" s="1075" t="s">
        <v>1032</v>
      </c>
      <c r="D3" s="1075" t="s">
        <v>1033</v>
      </c>
      <c r="E3" s="1075" t="s">
        <v>1034</v>
      </c>
      <c r="F3" s="1075" t="s">
        <v>1035</v>
      </c>
      <c r="G3" s="1076"/>
      <c r="I3" s="1072" t="s">
        <v>1036</v>
      </c>
      <c r="J3" s="1073" t="s">
        <v>1037</v>
      </c>
      <c r="K3" s="1073" t="s">
        <v>1038</v>
      </c>
      <c r="L3" s="1073" t="s">
        <v>1039</v>
      </c>
      <c r="M3" s="1073" t="s">
        <v>1040</v>
      </c>
      <c r="N3" s="1073" t="s">
        <v>1041</v>
      </c>
      <c r="O3" s="1073" t="s">
        <v>1042</v>
      </c>
      <c r="P3" s="1073" t="s">
        <v>1043</v>
      </c>
      <c r="Q3" s="1073" t="s">
        <v>1044</v>
      </c>
      <c r="R3" s="1073" t="s">
        <v>1045</v>
      </c>
      <c r="S3" s="1073" t="s">
        <v>1046</v>
      </c>
      <c r="T3" s="1073" t="s">
        <v>1047</v>
      </c>
    </row>
    <row r="4" spans="1:20" s="1068" customFormat="1" ht="19.5" customHeight="1" thickBot="1">
      <c r="A4" s="3434"/>
      <c r="B4" s="1077" t="s">
        <v>1048</v>
      </c>
      <c r="C4" s="1077" t="s">
        <v>1049</v>
      </c>
      <c r="D4" s="1077" t="s">
        <v>1049</v>
      </c>
      <c r="E4" s="1077" t="s">
        <v>1049</v>
      </c>
      <c r="F4" s="1078" t="s">
        <v>1049</v>
      </c>
      <c r="G4" s="1076"/>
      <c r="I4" s="1072" t="s">
        <v>1050</v>
      </c>
      <c r="J4" s="1073" t="s">
        <v>1051</v>
      </c>
      <c r="K4" s="1073" t="s">
        <v>1052</v>
      </c>
      <c r="L4" s="1073" t="s">
        <v>1053</v>
      </c>
      <c r="M4" s="1073" t="s">
        <v>1054</v>
      </c>
      <c r="N4" s="1073" t="s">
        <v>1055</v>
      </c>
      <c r="O4" s="1073" t="s">
        <v>1056</v>
      </c>
      <c r="P4" s="1073" t="s">
        <v>1057</v>
      </c>
      <c r="Q4" s="1073" t="s">
        <v>1058</v>
      </c>
      <c r="R4" s="1073" t="s">
        <v>1059</v>
      </c>
      <c r="S4" s="1073" t="s">
        <v>1060</v>
      </c>
      <c r="T4" s="1073" t="s">
        <v>1061</v>
      </c>
    </row>
    <row r="5" spans="1:20" ht="14.25" customHeight="1" thickBot="1">
      <c r="A5" s="1079" t="s">
        <v>1062</v>
      </c>
      <c r="B5" s="1080" t="s">
        <v>1019</v>
      </c>
      <c r="C5" s="1080">
        <v>29530</v>
      </c>
      <c r="D5" s="1080">
        <v>28130</v>
      </c>
      <c r="E5" s="1080">
        <v>27930</v>
      </c>
      <c r="F5" s="1081">
        <v>11300</v>
      </c>
      <c r="G5" s="1082" t="s">
        <v>1006</v>
      </c>
      <c r="H5" s="1083">
        <f>SUMPRODUCT((B5:B9=基准地价!I2)*(C3:F3=基准地价!E2)*(C5:F9))</f>
        <v>0</v>
      </c>
      <c r="I5" s="1072" t="s">
        <v>1063</v>
      </c>
      <c r="J5" s="1073" t="s">
        <v>1064</v>
      </c>
      <c r="K5" s="1073" t="s">
        <v>1065</v>
      </c>
      <c r="L5" s="1073" t="s">
        <v>1066</v>
      </c>
      <c r="M5" s="1073" t="s">
        <v>1067</v>
      </c>
      <c r="N5" s="1073" t="s">
        <v>1068</v>
      </c>
      <c r="O5" s="1073" t="s">
        <v>1069</v>
      </c>
      <c r="P5" s="1073" t="s">
        <v>1070</v>
      </c>
      <c r="Q5" s="1073" t="s">
        <v>1071</v>
      </c>
      <c r="R5" s="1073" t="s">
        <v>1072</v>
      </c>
      <c r="S5" s="1073" t="s">
        <v>1073</v>
      </c>
      <c r="T5" s="1073" t="s">
        <v>1074</v>
      </c>
    </row>
    <row r="6" spans="1:20" ht="14.25" customHeight="1" thickBot="1">
      <c r="A6" s="1079" t="s">
        <v>1062</v>
      </c>
      <c r="B6" s="1073" t="s">
        <v>1075</v>
      </c>
      <c r="C6" s="1073">
        <v>30290</v>
      </c>
      <c r="D6" s="1073">
        <v>29210</v>
      </c>
      <c r="E6" s="1073">
        <v>28860</v>
      </c>
      <c r="F6" s="1084">
        <v>12600</v>
      </c>
      <c r="G6" s="1085" t="s">
        <v>1076</v>
      </c>
      <c r="H6" s="1086">
        <f>SUMPRODUCT((B10:B28=基准地价!I2)*(C3:F3=基准地价!E2)*(C10:F28))</f>
        <v>0</v>
      </c>
      <c r="I6" s="1072" t="s">
        <v>1077</v>
      </c>
      <c r="J6" s="1073" t="s">
        <v>1078</v>
      </c>
      <c r="K6" s="1073" t="s">
        <v>1079</v>
      </c>
      <c r="L6" s="1073" t="s">
        <v>1080</v>
      </c>
      <c r="M6" s="1073" t="s">
        <v>1081</v>
      </c>
      <c r="N6" s="1073" t="s">
        <v>1082</v>
      </c>
      <c r="O6" s="1073" t="s">
        <v>1083</v>
      </c>
      <c r="P6" s="1073" t="s">
        <v>1084</v>
      </c>
      <c r="Q6" s="1073" t="s">
        <v>1085</v>
      </c>
      <c r="R6" s="1073" t="s">
        <v>1086</v>
      </c>
      <c r="S6" s="1073" t="s">
        <v>1087</v>
      </c>
      <c r="T6" s="1073" t="s">
        <v>1088</v>
      </c>
    </row>
    <row r="7" spans="1:20" ht="14.25" customHeight="1" thickBot="1">
      <c r="A7" s="1079" t="s">
        <v>1062</v>
      </c>
      <c r="B7" s="1087" t="s">
        <v>1050</v>
      </c>
      <c r="C7" s="1073">
        <v>29350</v>
      </c>
      <c r="D7" s="1073">
        <v>28410</v>
      </c>
      <c r="E7" s="1073">
        <v>27990</v>
      </c>
      <c r="F7" s="1084">
        <v>12300</v>
      </c>
      <c r="G7" s="1085" t="s">
        <v>874</v>
      </c>
      <c r="H7" s="1086">
        <f>SUMPRODUCT((B29:B48=基准地价!I2)*(C3:F3=基准地价!E2)*(C29:F48))</f>
        <v>0</v>
      </c>
      <c r="J7" s="1073" t="s">
        <v>1089</v>
      </c>
      <c r="K7" s="1073" t="s">
        <v>1090</v>
      </c>
      <c r="L7" s="1073" t="s">
        <v>1091</v>
      </c>
      <c r="M7" s="1073" t="s">
        <v>1092</v>
      </c>
      <c r="N7" s="1073" t="s">
        <v>1093</v>
      </c>
      <c r="O7" s="1073" t="s">
        <v>1094</v>
      </c>
      <c r="P7" s="1073" t="s">
        <v>1095</v>
      </c>
      <c r="Q7" s="1073" t="s">
        <v>1096</v>
      </c>
      <c r="R7" s="1073" t="s">
        <v>1097</v>
      </c>
      <c r="S7" s="1073" t="s">
        <v>1098</v>
      </c>
      <c r="T7" s="1087" t="s">
        <v>1099</v>
      </c>
    </row>
    <row r="8" spans="1:20" ht="14.25" customHeight="1" thickBot="1">
      <c r="A8" s="1079" t="s">
        <v>1062</v>
      </c>
      <c r="B8" s="1073" t="s">
        <v>1063</v>
      </c>
      <c r="C8" s="1073">
        <v>30890</v>
      </c>
      <c r="D8" s="1073">
        <v>29780</v>
      </c>
      <c r="E8" s="1073">
        <v>29270</v>
      </c>
      <c r="F8" s="1084">
        <v>11600</v>
      </c>
      <c r="G8" s="1085" t="s">
        <v>875</v>
      </c>
      <c r="H8" s="1086">
        <f>SUMPRODUCT((B49:B75=基准地价!I2)*(C3:F3=基准地价!E2)*(C49:F75))</f>
        <v>0</v>
      </c>
      <c r="J8" s="1073" t="s">
        <v>1100</v>
      </c>
      <c r="K8" s="1073" t="s">
        <v>1101</v>
      </c>
      <c r="L8" s="1073" t="s">
        <v>1102</v>
      </c>
      <c r="M8" s="1073" t="s">
        <v>1103</v>
      </c>
      <c r="N8" s="1073" t="s">
        <v>1104</v>
      </c>
      <c r="O8" s="1073" t="s">
        <v>1105</v>
      </c>
      <c r="P8" s="1073" t="s">
        <v>1106</v>
      </c>
      <c r="Q8" s="1073" t="s">
        <v>1107</v>
      </c>
      <c r="R8" s="1073" t="s">
        <v>1108</v>
      </c>
      <c r="S8" s="1073" t="s">
        <v>1109</v>
      </c>
      <c r="T8" s="1073" t="s">
        <v>1110</v>
      </c>
    </row>
    <row r="9" spans="1:20" ht="14.25" customHeight="1" thickBot="1">
      <c r="A9" s="1079" t="s">
        <v>1062</v>
      </c>
      <c r="B9" s="1088" t="s">
        <v>1077</v>
      </c>
      <c r="C9" s="1089">
        <v>28140</v>
      </c>
      <c r="D9" s="1089"/>
      <c r="E9" s="1089"/>
      <c r="F9" s="1090"/>
      <c r="G9" s="1085" t="s">
        <v>876</v>
      </c>
      <c r="H9" s="1086">
        <f>SUMPRODUCT((B76:B109=基准地价!I2)*(C3:F3=基准地价!E2)*(C76:F109))</f>
        <v>0</v>
      </c>
      <c r="J9" s="1073" t="s">
        <v>1111</v>
      </c>
      <c r="K9" s="1073" t="s">
        <v>1112</v>
      </c>
      <c r="L9" s="1073" t="s">
        <v>1113</v>
      </c>
      <c r="M9" s="1073" t="s">
        <v>1114</v>
      </c>
      <c r="N9" s="1073" t="s">
        <v>1115</v>
      </c>
      <c r="O9" s="1073" t="s">
        <v>1116</v>
      </c>
      <c r="P9" s="1073" t="s">
        <v>1117</v>
      </c>
      <c r="Q9" s="1073" t="s">
        <v>1118</v>
      </c>
      <c r="R9" s="1073" t="s">
        <v>1119</v>
      </c>
      <c r="S9" s="1073" t="s">
        <v>1120</v>
      </c>
    </row>
    <row r="10" spans="1:20" ht="14.25" customHeight="1" thickBot="1">
      <c r="A10" s="1079" t="s">
        <v>1121</v>
      </c>
      <c r="B10" s="1080" t="s">
        <v>1122</v>
      </c>
      <c r="C10" s="1080">
        <v>27450</v>
      </c>
      <c r="D10" s="1080">
        <v>26180</v>
      </c>
      <c r="E10" s="1080">
        <v>25980</v>
      </c>
      <c r="F10" s="1081">
        <v>8910</v>
      </c>
      <c r="G10" s="1085" t="s">
        <v>877</v>
      </c>
      <c r="H10" s="1086">
        <f>SUMPRODUCT((B110:B157=基准地价!I2)*(C3:F3=基准地价!E2)*(C110:F157))</f>
        <v>0</v>
      </c>
      <c r="J10" s="1073" t="s">
        <v>1123</v>
      </c>
      <c r="K10" s="1073" t="s">
        <v>1124</v>
      </c>
      <c r="L10" s="1073" t="s">
        <v>1125</v>
      </c>
      <c r="M10" s="1073" t="s">
        <v>1126</v>
      </c>
      <c r="N10" s="1073" t="s">
        <v>1127</v>
      </c>
      <c r="O10" s="1073" t="s">
        <v>1128</v>
      </c>
      <c r="P10" s="1073" t="s">
        <v>1129</v>
      </c>
      <c r="Q10" s="1073" t="s">
        <v>1130</v>
      </c>
      <c r="R10" s="1073" t="s">
        <v>1131</v>
      </c>
      <c r="S10" s="1073" t="s">
        <v>1132</v>
      </c>
    </row>
    <row r="11" spans="1:20" ht="14.25" customHeight="1" thickBot="1">
      <c r="A11" s="1079" t="s">
        <v>1121</v>
      </c>
      <c r="B11" s="1087" t="s">
        <v>1037</v>
      </c>
      <c r="C11" s="1073">
        <v>22950</v>
      </c>
      <c r="D11" s="1073">
        <v>22630</v>
      </c>
      <c r="E11" s="1073">
        <v>22030</v>
      </c>
      <c r="F11" s="1091">
        <v>8330</v>
      </c>
      <c r="G11" s="1085" t="s">
        <v>878</v>
      </c>
      <c r="H11" s="1086">
        <f>SUMPRODUCT((B158:B205=基准地价!I2)*(C3:F3=基准地价!E2)*(C158:F205))</f>
        <v>0</v>
      </c>
      <c r="J11" s="1073" t="s">
        <v>1133</v>
      </c>
      <c r="K11" s="1073" t="s">
        <v>1134</v>
      </c>
      <c r="L11" s="1073" t="s">
        <v>1135</v>
      </c>
      <c r="M11" s="1073" t="s">
        <v>1136</v>
      </c>
      <c r="N11" s="1073" t="s">
        <v>1137</v>
      </c>
      <c r="O11" s="1073" t="s">
        <v>1138</v>
      </c>
      <c r="P11" s="1073" t="s">
        <v>1139</v>
      </c>
      <c r="Q11" s="1073" t="s">
        <v>1140</v>
      </c>
      <c r="R11" s="1073" t="s">
        <v>1141</v>
      </c>
      <c r="S11" s="1073" t="s">
        <v>1142</v>
      </c>
    </row>
    <row r="12" spans="1:20" ht="14.25" customHeight="1" thickBot="1">
      <c r="A12" s="1079" t="s">
        <v>1121</v>
      </c>
      <c r="B12" s="1087" t="s">
        <v>1051</v>
      </c>
      <c r="C12" s="1073">
        <v>24940</v>
      </c>
      <c r="D12" s="1073">
        <v>23180</v>
      </c>
      <c r="E12" s="1073">
        <v>22910</v>
      </c>
      <c r="F12" s="1091">
        <v>7180</v>
      </c>
      <c r="G12" s="1085" t="s">
        <v>879</v>
      </c>
      <c r="H12" s="1086">
        <f>SUMPRODUCT((B206:B244=基准地价!I2)*(C3:F3=基准地价!E2)*(C206:F244))</f>
        <v>0</v>
      </c>
      <c r="J12" s="1073" t="s">
        <v>1143</v>
      </c>
      <c r="K12" s="1073" t="s">
        <v>1144</v>
      </c>
      <c r="L12" s="1073" t="s">
        <v>1145</v>
      </c>
      <c r="M12" s="1073" t="s">
        <v>1146</v>
      </c>
      <c r="N12" s="1073" t="s">
        <v>1147</v>
      </c>
      <c r="O12" s="1073" t="s">
        <v>1148</v>
      </c>
      <c r="P12" s="1073" t="s">
        <v>1149</v>
      </c>
      <c r="Q12" s="1073" t="s">
        <v>1150</v>
      </c>
      <c r="R12" s="1073" t="s">
        <v>1151</v>
      </c>
      <c r="S12" s="1073" t="s">
        <v>1152</v>
      </c>
    </row>
    <row r="13" spans="1:20" ht="14.25" customHeight="1" thickBot="1">
      <c r="A13" s="1079" t="s">
        <v>1121</v>
      </c>
      <c r="B13" s="1087" t="s">
        <v>1064</v>
      </c>
      <c r="C13" s="1073">
        <v>24140</v>
      </c>
      <c r="D13" s="1073">
        <v>22270</v>
      </c>
      <c r="E13" s="1073">
        <v>21950</v>
      </c>
      <c r="F13" s="1091">
        <v>7600</v>
      </c>
      <c r="G13" s="1085" t="s">
        <v>880</v>
      </c>
      <c r="H13" s="1086">
        <f>SUMPRODUCT((B245:B289=基准地价!I2)*(C3:F3=基准地价!E2)*(C245:F289))</f>
        <v>0</v>
      </c>
      <c r="J13" s="1073" t="s">
        <v>1153</v>
      </c>
      <c r="K13" s="1073" t="s">
        <v>1154</v>
      </c>
      <c r="L13" s="1073" t="s">
        <v>1155</v>
      </c>
      <c r="M13" s="1073" t="s">
        <v>1156</v>
      </c>
      <c r="N13" s="1073" t="s">
        <v>1157</v>
      </c>
      <c r="O13" s="1073" t="s">
        <v>1158</v>
      </c>
      <c r="P13" s="1073" t="s">
        <v>1159</v>
      </c>
      <c r="Q13" s="1073" t="s">
        <v>1160</v>
      </c>
      <c r="R13" s="1073" t="s">
        <v>1161</v>
      </c>
      <c r="S13" s="1073" t="s">
        <v>1162</v>
      </c>
    </row>
    <row r="14" spans="1:20" ht="14.25" customHeight="1" thickBot="1">
      <c r="A14" s="1079" t="s">
        <v>1121</v>
      </c>
      <c r="B14" s="1087" t="s">
        <v>1078</v>
      </c>
      <c r="C14" s="1073">
        <v>25600</v>
      </c>
      <c r="D14" s="1073">
        <v>22260</v>
      </c>
      <c r="E14" s="1073">
        <v>22110</v>
      </c>
      <c r="F14" s="1091">
        <v>7630</v>
      </c>
      <c r="G14" s="1085" t="s">
        <v>881</v>
      </c>
      <c r="H14" s="1086">
        <f>SUMPRODUCT((B290:B316=基准地价!I2)*(C3:F3=基准地价!E2)*(C290:F316))</f>
        <v>0</v>
      </c>
      <c r="J14" s="1073" t="s">
        <v>1163</v>
      </c>
      <c r="K14" s="1073" t="s">
        <v>1164</v>
      </c>
      <c r="L14" s="1073" t="s">
        <v>1165</v>
      </c>
      <c r="M14" s="1073" t="s">
        <v>1166</v>
      </c>
      <c r="N14" s="1073" t="s">
        <v>1167</v>
      </c>
      <c r="O14" s="1073" t="s">
        <v>1168</v>
      </c>
      <c r="P14" s="1073" t="s">
        <v>1169</v>
      </c>
      <c r="Q14" s="1073" t="s">
        <v>1170</v>
      </c>
      <c r="R14" s="1073" t="s">
        <v>1171</v>
      </c>
      <c r="S14" s="1073" t="s">
        <v>1172</v>
      </c>
    </row>
    <row r="15" spans="1:20" ht="14.25" customHeight="1" thickBot="1">
      <c r="A15" s="1079" t="s">
        <v>1121</v>
      </c>
      <c r="B15" s="1087" t="s">
        <v>1089</v>
      </c>
      <c r="C15" s="1073">
        <v>24760</v>
      </c>
      <c r="D15" s="1073">
        <v>24440</v>
      </c>
      <c r="E15" s="1073">
        <v>24130</v>
      </c>
      <c r="F15" s="1091">
        <v>9480</v>
      </c>
      <c r="G15" s="1085" t="s">
        <v>882</v>
      </c>
      <c r="H15" s="1086">
        <f>SUMPRODUCT((B317:B337=基准地价!I2)*(C3:F3=基准地价!E2)*(C317:F337))</f>
        <v>0</v>
      </c>
      <c r="J15" s="1073" t="s">
        <v>1173</v>
      </c>
      <c r="K15" s="1073" t="s">
        <v>1174</v>
      </c>
      <c r="L15" s="1073" t="s">
        <v>1175</v>
      </c>
      <c r="M15" s="1073" t="s">
        <v>1176</v>
      </c>
      <c r="N15" s="1073" t="s">
        <v>1177</v>
      </c>
      <c r="O15" s="1073" t="s">
        <v>1178</v>
      </c>
      <c r="P15" s="1073" t="s">
        <v>1179</v>
      </c>
      <c r="Q15" s="1073" t="s">
        <v>1180</v>
      </c>
      <c r="R15" s="1073" t="s">
        <v>1181</v>
      </c>
      <c r="S15" s="1073" t="s">
        <v>1182</v>
      </c>
    </row>
    <row r="16" spans="1:20" ht="14.25" customHeight="1" thickBot="1">
      <c r="A16" s="1079" t="s">
        <v>1121</v>
      </c>
      <c r="B16" s="1087" t="s">
        <v>1100</v>
      </c>
      <c r="C16" s="1073">
        <v>22220</v>
      </c>
      <c r="D16" s="1073">
        <v>22310</v>
      </c>
      <c r="E16" s="1073">
        <v>22000</v>
      </c>
      <c r="F16" s="1091">
        <v>8900</v>
      </c>
      <c r="G16" s="1092" t="s">
        <v>883</v>
      </c>
      <c r="H16" s="1093">
        <f>SUMPRODUCT((B338:B344=基准地价!I2)*(C3:F3=基准地价!E2)*(C338:F344))</f>
        <v>0</v>
      </c>
      <c r="J16" s="1073" t="s">
        <v>1183</v>
      </c>
      <c r="K16" s="1073" t="s">
        <v>1184</v>
      </c>
      <c r="L16" s="1073" t="s">
        <v>1185</v>
      </c>
      <c r="M16" s="1073" t="s">
        <v>1186</v>
      </c>
      <c r="N16" s="1073" t="s">
        <v>1187</v>
      </c>
      <c r="O16" s="1073" t="s">
        <v>1188</v>
      </c>
      <c r="P16" s="1073" t="s">
        <v>1189</v>
      </c>
      <c r="Q16" s="1073" t="s">
        <v>1190</v>
      </c>
      <c r="R16" s="1073" t="s">
        <v>1191</v>
      </c>
      <c r="S16" s="1073" t="s">
        <v>1192</v>
      </c>
    </row>
    <row r="17" spans="1:19" ht="14.25" customHeight="1" thickBot="1">
      <c r="A17" s="1079" t="s">
        <v>1121</v>
      </c>
      <c r="B17" s="1087" t="s">
        <v>1111</v>
      </c>
      <c r="C17" s="1073">
        <v>24700</v>
      </c>
      <c r="D17" s="1073">
        <v>25150</v>
      </c>
      <c r="E17" s="1073">
        <v>24700</v>
      </c>
      <c r="F17" s="1094"/>
      <c r="H17" s="1095"/>
      <c r="J17" s="1073" t="s">
        <v>1193</v>
      </c>
      <c r="K17" s="1073" t="s">
        <v>1194</v>
      </c>
      <c r="L17" s="1073" t="s">
        <v>1195</v>
      </c>
      <c r="M17" s="1073" t="s">
        <v>1196</v>
      </c>
      <c r="N17" s="1073" t="s">
        <v>1197</v>
      </c>
      <c r="O17" s="1073" t="s">
        <v>1198</v>
      </c>
      <c r="P17" s="1073" t="s">
        <v>1199</v>
      </c>
      <c r="Q17" s="1073" t="s">
        <v>1200</v>
      </c>
      <c r="R17" s="1073" t="s">
        <v>1201</v>
      </c>
      <c r="S17" s="1073" t="s">
        <v>1202</v>
      </c>
    </row>
    <row r="18" spans="1:19" ht="14.25" customHeight="1" thickBot="1">
      <c r="A18" s="1079" t="s">
        <v>1121</v>
      </c>
      <c r="B18" s="1087" t="s">
        <v>1123</v>
      </c>
      <c r="C18" s="1073">
        <v>22350</v>
      </c>
      <c r="D18" s="1073">
        <v>24340</v>
      </c>
      <c r="E18" s="1073">
        <v>24100</v>
      </c>
      <c r="F18" s="1094"/>
      <c r="H18" s="1095"/>
      <c r="J18" s="1073" t="s">
        <v>1203</v>
      </c>
      <c r="K18" s="1073" t="s">
        <v>1204</v>
      </c>
      <c r="L18" s="1073" t="s">
        <v>1205</v>
      </c>
      <c r="M18" s="1073" t="s">
        <v>1206</v>
      </c>
      <c r="N18" s="1073" t="s">
        <v>1207</v>
      </c>
      <c r="O18" s="1073" t="s">
        <v>1208</v>
      </c>
      <c r="P18" s="1073" t="s">
        <v>1209</v>
      </c>
      <c r="Q18" s="1073" t="s">
        <v>1210</v>
      </c>
      <c r="R18" s="1073" t="s">
        <v>1211</v>
      </c>
      <c r="S18" s="1073" t="s">
        <v>1212</v>
      </c>
    </row>
    <row r="19" spans="1:19" ht="14.25" customHeight="1" thickBot="1">
      <c r="A19" s="1079" t="s">
        <v>1121</v>
      </c>
      <c r="B19" s="1087" t="s">
        <v>1133</v>
      </c>
      <c r="C19" s="1073">
        <v>23430</v>
      </c>
      <c r="D19" s="1073">
        <v>21580</v>
      </c>
      <c r="E19" s="1073">
        <v>21350</v>
      </c>
      <c r="F19" s="1094"/>
      <c r="H19" s="1095"/>
      <c r="J19" s="1073" t="s">
        <v>1213</v>
      </c>
      <c r="K19" s="1073" t="s">
        <v>1214</v>
      </c>
      <c r="L19" s="1073" t="s">
        <v>1215</v>
      </c>
      <c r="M19" s="1073" t="s">
        <v>1216</v>
      </c>
      <c r="N19" s="1073" t="s">
        <v>1217</v>
      </c>
      <c r="O19" s="1073" t="s">
        <v>1218</v>
      </c>
      <c r="P19" s="1073" t="s">
        <v>1219</v>
      </c>
      <c r="Q19" s="1073" t="s">
        <v>1220</v>
      </c>
      <c r="R19" s="1073" t="s">
        <v>1221</v>
      </c>
      <c r="S19" s="1073" t="s">
        <v>1222</v>
      </c>
    </row>
    <row r="20" spans="1:19" ht="14.25" customHeight="1" thickBot="1">
      <c r="A20" s="1079" t="s">
        <v>1121</v>
      </c>
      <c r="B20" s="1087" t="s">
        <v>1143</v>
      </c>
      <c r="C20" s="1073">
        <v>27660</v>
      </c>
      <c r="D20" s="1073">
        <v>24240</v>
      </c>
      <c r="E20" s="1073">
        <v>24020</v>
      </c>
      <c r="F20" s="1094"/>
      <c r="J20" s="1073" t="s">
        <v>1223</v>
      </c>
      <c r="K20" s="1073" t="s">
        <v>1224</v>
      </c>
      <c r="L20" s="1073" t="s">
        <v>1225</v>
      </c>
      <c r="M20" s="1073" t="s">
        <v>1226</v>
      </c>
      <c r="N20" s="1073" t="s">
        <v>1227</v>
      </c>
      <c r="O20" s="1073" t="s">
        <v>1228</v>
      </c>
      <c r="P20" s="1073" t="s">
        <v>1229</v>
      </c>
      <c r="Q20" s="1073" t="s">
        <v>1230</v>
      </c>
      <c r="R20" s="1073" t="s">
        <v>1231</v>
      </c>
      <c r="S20" s="1073" t="s">
        <v>1232</v>
      </c>
    </row>
    <row r="21" spans="1:19" ht="14.25" customHeight="1" thickBot="1">
      <c r="A21" s="1079" t="s">
        <v>1121</v>
      </c>
      <c r="B21" s="1087" t="s">
        <v>1153</v>
      </c>
      <c r="C21" s="1073">
        <v>24720</v>
      </c>
      <c r="D21" s="1073">
        <v>21670</v>
      </c>
      <c r="E21" s="1073">
        <v>21510</v>
      </c>
      <c r="F21" s="1094"/>
      <c r="K21" s="1073" t="s">
        <v>1233</v>
      </c>
      <c r="L21" s="1073" t="s">
        <v>1234</v>
      </c>
      <c r="M21" s="1073" t="s">
        <v>1235</v>
      </c>
      <c r="N21" s="1073" t="s">
        <v>1236</v>
      </c>
      <c r="O21" s="1073" t="s">
        <v>1237</v>
      </c>
      <c r="P21" s="1073" t="s">
        <v>1238</v>
      </c>
      <c r="Q21" s="1073" t="s">
        <v>1239</v>
      </c>
      <c r="R21" s="1073" t="s">
        <v>1240</v>
      </c>
      <c r="S21" s="1073" t="s">
        <v>1241</v>
      </c>
    </row>
    <row r="22" spans="1:19" ht="14.25" customHeight="1" thickBot="1">
      <c r="A22" s="1079" t="s">
        <v>1121</v>
      </c>
      <c r="B22" s="1087" t="s">
        <v>1242</v>
      </c>
      <c r="C22" s="1073">
        <v>26530</v>
      </c>
      <c r="D22" s="1073">
        <v>22980</v>
      </c>
      <c r="E22" s="1073">
        <v>22650</v>
      </c>
      <c r="F22" s="1094"/>
      <c r="L22" s="1073" t="s">
        <v>1243</v>
      </c>
      <c r="M22" s="1073" t="s">
        <v>1244</v>
      </c>
      <c r="N22" s="1073" t="s">
        <v>1245</v>
      </c>
      <c r="O22" s="1073" t="s">
        <v>1246</v>
      </c>
      <c r="P22" s="1073" t="s">
        <v>1247</v>
      </c>
      <c r="Q22" s="1073" t="s">
        <v>1248</v>
      </c>
      <c r="R22" s="1073" t="s">
        <v>1249</v>
      </c>
      <c r="S22" s="1087" t="s">
        <v>1250</v>
      </c>
    </row>
    <row r="23" spans="1:19" ht="14.25" customHeight="1" thickBot="1">
      <c r="A23" s="1079" t="s">
        <v>1121</v>
      </c>
      <c r="B23" s="1087" t="s">
        <v>1173</v>
      </c>
      <c r="C23" s="1073">
        <v>24700</v>
      </c>
      <c r="D23" s="1073">
        <v>27290</v>
      </c>
      <c r="E23" s="1073">
        <v>26710</v>
      </c>
      <c r="F23" s="1094"/>
      <c r="L23" s="1073" t="s">
        <v>1251</v>
      </c>
      <c r="M23" s="1073" t="s">
        <v>1252</v>
      </c>
      <c r="N23" s="1073" t="s">
        <v>1253</v>
      </c>
      <c r="O23" s="1073" t="s">
        <v>1254</v>
      </c>
      <c r="P23" s="1073" t="s">
        <v>1255</v>
      </c>
      <c r="Q23" s="1073" t="s">
        <v>1256</v>
      </c>
      <c r="R23" s="1073" t="s">
        <v>1257</v>
      </c>
    </row>
    <row r="24" spans="1:19" ht="14.25" customHeight="1" thickBot="1">
      <c r="A24" s="1079" t="s">
        <v>1121</v>
      </c>
      <c r="B24" s="1087" t="s">
        <v>1183</v>
      </c>
      <c r="C24" s="1073">
        <v>23070</v>
      </c>
      <c r="D24" s="1073">
        <v>24130</v>
      </c>
      <c r="E24" s="1073">
        <v>23860</v>
      </c>
      <c r="F24" s="1094"/>
      <c r="L24" s="1073" t="s">
        <v>1258</v>
      </c>
      <c r="M24" s="1073" t="s">
        <v>1259</v>
      </c>
      <c r="N24" s="1073" t="s">
        <v>1260</v>
      </c>
      <c r="O24" s="1073" t="s">
        <v>1261</v>
      </c>
      <c r="P24" s="1073" t="s">
        <v>1262</v>
      </c>
      <c r="Q24" s="1073" t="s">
        <v>1263</v>
      </c>
      <c r="R24" s="1073" t="s">
        <v>1264</v>
      </c>
    </row>
    <row r="25" spans="1:19" ht="14.25" customHeight="1" thickBot="1">
      <c r="A25" s="1079" t="s">
        <v>1121</v>
      </c>
      <c r="B25" s="1087" t="s">
        <v>1193</v>
      </c>
      <c r="C25" s="1073">
        <v>27550</v>
      </c>
      <c r="D25" s="1073">
        <v>25850</v>
      </c>
      <c r="E25" s="1073">
        <v>25340</v>
      </c>
      <c r="F25" s="1094"/>
      <c r="L25" s="1073" t="s">
        <v>1265</v>
      </c>
      <c r="M25" s="1073" t="s">
        <v>1266</v>
      </c>
      <c r="N25" s="1073" t="s">
        <v>1267</v>
      </c>
      <c r="O25" s="1073" t="s">
        <v>1268</v>
      </c>
      <c r="P25" s="1073" t="s">
        <v>1269</v>
      </c>
      <c r="Q25" s="1073" t="s">
        <v>1270</v>
      </c>
      <c r="R25" s="1073" t="s">
        <v>1271</v>
      </c>
    </row>
    <row r="26" spans="1:19" ht="14.25" customHeight="1" thickBot="1">
      <c r="A26" s="1079" t="s">
        <v>1121</v>
      </c>
      <c r="B26" s="1087" t="s">
        <v>1203</v>
      </c>
      <c r="C26" s="1073"/>
      <c r="D26" s="1073">
        <v>23900</v>
      </c>
      <c r="E26" s="1073">
        <v>23590</v>
      </c>
      <c r="F26" s="1094"/>
      <c r="L26" s="1073" t="s">
        <v>1272</v>
      </c>
      <c r="M26" s="1073" t="s">
        <v>1273</v>
      </c>
      <c r="N26" s="1073" t="s">
        <v>1274</v>
      </c>
      <c r="O26" s="1073" t="s">
        <v>1275</v>
      </c>
      <c r="P26" s="1073" t="s">
        <v>1276</v>
      </c>
      <c r="Q26" s="1073" t="s">
        <v>1277</v>
      </c>
      <c r="R26" s="1073" t="s">
        <v>1278</v>
      </c>
    </row>
    <row r="27" spans="1:19" ht="14.25" customHeight="1" thickBot="1">
      <c r="A27" s="1079" t="s">
        <v>1121</v>
      </c>
      <c r="B27" s="1087" t="s">
        <v>1213</v>
      </c>
      <c r="C27" s="1073"/>
      <c r="D27" s="1073">
        <v>22850</v>
      </c>
      <c r="E27" s="1073">
        <v>21920</v>
      </c>
      <c r="F27" s="1094"/>
      <c r="L27" s="1073" t="s">
        <v>1279</v>
      </c>
      <c r="M27" s="1073" t="s">
        <v>1280</v>
      </c>
      <c r="N27" s="1073" t="s">
        <v>1281</v>
      </c>
      <c r="O27" s="1073" t="s">
        <v>1282</v>
      </c>
      <c r="P27" s="1073" t="s">
        <v>1283</v>
      </c>
      <c r="Q27" s="1073" t="s">
        <v>1284</v>
      </c>
      <c r="R27" s="1073" t="s">
        <v>1285</v>
      </c>
    </row>
    <row r="28" spans="1:19" ht="14.25" customHeight="1" thickBot="1">
      <c r="A28" s="1096" t="s">
        <v>1121</v>
      </c>
      <c r="B28" s="1088" t="s">
        <v>1223</v>
      </c>
      <c r="C28" s="1089"/>
      <c r="D28" s="1089">
        <v>26610</v>
      </c>
      <c r="E28" s="1089">
        <v>26370</v>
      </c>
      <c r="F28" s="1090"/>
      <c r="L28" s="1073" t="s">
        <v>1286</v>
      </c>
      <c r="M28" s="1073" t="s">
        <v>1287</v>
      </c>
      <c r="N28" s="1073" t="s">
        <v>1288</v>
      </c>
      <c r="O28" s="1073" t="s">
        <v>1289</v>
      </c>
      <c r="P28" s="1073" t="s">
        <v>1290</v>
      </c>
      <c r="Q28" s="1073" t="s">
        <v>1291</v>
      </c>
    </row>
    <row r="29" spans="1:19" ht="14.25" customHeight="1" thickBot="1">
      <c r="A29" s="1079" t="s">
        <v>1292</v>
      </c>
      <c r="B29" s="1080" t="s">
        <v>1293</v>
      </c>
      <c r="C29" s="1080">
        <v>22090</v>
      </c>
      <c r="D29" s="1080">
        <v>21860</v>
      </c>
      <c r="E29" s="1080">
        <v>19380</v>
      </c>
      <c r="F29" s="1081">
        <v>6610</v>
      </c>
      <c r="M29" s="1073" t="s">
        <v>1294</v>
      </c>
      <c r="N29" s="1073" t="s">
        <v>1295</v>
      </c>
      <c r="O29" s="1073" t="s">
        <v>1296</v>
      </c>
      <c r="P29" s="1073" t="s">
        <v>1297</v>
      </c>
      <c r="Q29" s="1073" t="s">
        <v>1298</v>
      </c>
    </row>
    <row r="30" spans="1:19" ht="14.25" customHeight="1" thickBot="1">
      <c r="A30" s="1079" t="s">
        <v>1292</v>
      </c>
      <c r="B30" s="1087" t="s">
        <v>1038</v>
      </c>
      <c r="C30" s="1073">
        <v>21380</v>
      </c>
      <c r="D30" s="1073">
        <v>19930</v>
      </c>
      <c r="E30" s="1073">
        <v>19860</v>
      </c>
      <c r="F30" s="1091">
        <v>6010</v>
      </c>
      <c r="H30" s="1095"/>
      <c r="M30" s="1073" t="s">
        <v>1299</v>
      </c>
      <c r="N30" s="1073" t="s">
        <v>1300</v>
      </c>
      <c r="O30" s="1073" t="s">
        <v>1301</v>
      </c>
      <c r="P30" s="1073" t="s">
        <v>2384</v>
      </c>
      <c r="Q30" s="1073" t="s">
        <v>1302</v>
      </c>
    </row>
    <row r="31" spans="1:19" ht="14.25" customHeight="1" thickBot="1">
      <c r="A31" s="1079" t="s">
        <v>1292</v>
      </c>
      <c r="B31" s="1087" t="s">
        <v>1052</v>
      </c>
      <c r="C31" s="1073">
        <v>21670</v>
      </c>
      <c r="D31" s="1073">
        <v>20660</v>
      </c>
      <c r="E31" s="1073">
        <v>20290</v>
      </c>
      <c r="F31" s="1091">
        <v>5840</v>
      </c>
      <c r="H31" s="1095"/>
      <c r="M31" s="1073" t="s">
        <v>1303</v>
      </c>
      <c r="N31" s="1073" t="s">
        <v>1304</v>
      </c>
      <c r="O31" s="1073" t="s">
        <v>1305</v>
      </c>
      <c r="P31" s="1073" t="s">
        <v>1306</v>
      </c>
      <c r="Q31" s="1073" t="s">
        <v>1307</v>
      </c>
    </row>
    <row r="32" spans="1:19" ht="14.25" customHeight="1" thickBot="1">
      <c r="A32" s="1079" t="s">
        <v>1292</v>
      </c>
      <c r="B32" s="1087" t="s">
        <v>1065</v>
      </c>
      <c r="C32" s="1073">
        <v>22280</v>
      </c>
      <c r="D32" s="1073">
        <v>21800</v>
      </c>
      <c r="E32" s="1073">
        <v>17650</v>
      </c>
      <c r="F32" s="1091">
        <v>4690</v>
      </c>
      <c r="H32" s="1095"/>
      <c r="M32" s="1073" t="s">
        <v>1308</v>
      </c>
      <c r="N32" s="1073" t="s">
        <v>1309</v>
      </c>
      <c r="O32" s="1073" t="s">
        <v>1310</v>
      </c>
      <c r="P32" s="1073" t="s">
        <v>1311</v>
      </c>
      <c r="Q32" s="1073" t="s">
        <v>1312</v>
      </c>
    </row>
    <row r="33" spans="1:17" ht="14.25" customHeight="1" thickBot="1">
      <c r="A33" s="1079" t="s">
        <v>1292</v>
      </c>
      <c r="B33" s="1087" t="s">
        <v>1079</v>
      </c>
      <c r="C33" s="1073">
        <v>22130</v>
      </c>
      <c r="D33" s="1073">
        <v>20460</v>
      </c>
      <c r="E33" s="1073">
        <v>18500</v>
      </c>
      <c r="F33" s="1091">
        <v>5340</v>
      </c>
      <c r="H33" s="1095"/>
      <c r="M33" s="1073" t="s">
        <v>1313</v>
      </c>
      <c r="N33" s="1073" t="s">
        <v>1314</v>
      </c>
      <c r="O33" s="1073" t="s">
        <v>1315</v>
      </c>
      <c r="P33" s="1073" t="s">
        <v>1316</v>
      </c>
      <c r="Q33" s="1073" t="s">
        <v>1317</v>
      </c>
    </row>
    <row r="34" spans="1:17" ht="14.25" customHeight="1" thickBot="1">
      <c r="A34" s="1079" t="s">
        <v>1292</v>
      </c>
      <c r="B34" s="1087" t="s">
        <v>1090</v>
      </c>
      <c r="C34" s="1073">
        <v>22070</v>
      </c>
      <c r="D34" s="1073">
        <v>20110</v>
      </c>
      <c r="E34" s="1073">
        <v>18830</v>
      </c>
      <c r="F34" s="1091">
        <v>5190</v>
      </c>
      <c r="H34" s="1095"/>
      <c r="M34" s="1073" t="s">
        <v>1318</v>
      </c>
      <c r="N34" s="1073" t="s">
        <v>1319</v>
      </c>
      <c r="O34" s="1073" t="s">
        <v>1320</v>
      </c>
      <c r="P34" s="1073" t="s">
        <v>1321</v>
      </c>
      <c r="Q34" s="1073" t="s">
        <v>1322</v>
      </c>
    </row>
    <row r="35" spans="1:17" ht="14.25" customHeight="1" thickBot="1">
      <c r="A35" s="1079" t="s">
        <v>1292</v>
      </c>
      <c r="B35" s="1087" t="s">
        <v>1101</v>
      </c>
      <c r="C35" s="1073">
        <v>22240</v>
      </c>
      <c r="D35" s="1073">
        <v>19550</v>
      </c>
      <c r="E35" s="1073">
        <v>19220</v>
      </c>
      <c r="F35" s="1091">
        <v>5800</v>
      </c>
      <c r="H35" s="1095"/>
      <c r="M35" s="1073" t="s">
        <v>1323</v>
      </c>
      <c r="N35" s="1073" t="s">
        <v>1324</v>
      </c>
      <c r="O35" s="1073" t="s">
        <v>1325</v>
      </c>
      <c r="P35" s="1073" t="s">
        <v>1326</v>
      </c>
      <c r="Q35" s="1073" t="s">
        <v>1327</v>
      </c>
    </row>
    <row r="36" spans="1:17" ht="14.25" customHeight="1" thickBot="1">
      <c r="A36" s="1079" t="s">
        <v>1292</v>
      </c>
      <c r="B36" s="1087" t="s">
        <v>1112</v>
      </c>
      <c r="C36" s="1073">
        <v>19750</v>
      </c>
      <c r="D36" s="1073">
        <v>19790</v>
      </c>
      <c r="E36" s="1073">
        <v>18510</v>
      </c>
      <c r="F36" s="1091">
        <v>6520</v>
      </c>
      <c r="H36" s="1095"/>
      <c r="N36" s="1073" t="s">
        <v>1328</v>
      </c>
      <c r="O36" s="1073" t="s">
        <v>1329</v>
      </c>
      <c r="P36" s="1073" t="s">
        <v>1330</v>
      </c>
      <c r="Q36" s="1073" t="s">
        <v>1331</v>
      </c>
    </row>
    <row r="37" spans="1:17" ht="14.25" customHeight="1" thickBot="1">
      <c r="A37" s="1079" t="s">
        <v>1292</v>
      </c>
      <c r="B37" s="1087" t="s">
        <v>1124</v>
      </c>
      <c r="C37" s="1073">
        <v>22380</v>
      </c>
      <c r="D37" s="1073">
        <v>18530</v>
      </c>
      <c r="E37" s="1073">
        <v>17930</v>
      </c>
      <c r="F37" s="1091">
        <v>6270</v>
      </c>
      <c r="H37" s="1097"/>
      <c r="N37" s="1073" t="s">
        <v>1332</v>
      </c>
      <c r="O37" s="1073" t="s">
        <v>1333</v>
      </c>
      <c r="P37" s="1073" t="s">
        <v>1334</v>
      </c>
      <c r="Q37" s="1073" t="s">
        <v>1335</v>
      </c>
    </row>
    <row r="38" spans="1:17" ht="14.25" customHeight="1" thickBot="1">
      <c r="A38" s="1079" t="s">
        <v>1292</v>
      </c>
      <c r="B38" s="1087" t="s">
        <v>1134</v>
      </c>
      <c r="C38" s="1073">
        <v>20200</v>
      </c>
      <c r="D38" s="1073">
        <v>20070</v>
      </c>
      <c r="E38" s="1073">
        <v>19950</v>
      </c>
      <c r="F38" s="1091"/>
      <c r="H38" s="1098"/>
      <c r="N38" s="1073" t="s">
        <v>1336</v>
      </c>
      <c r="O38" s="1073" t="s">
        <v>1337</v>
      </c>
      <c r="P38" s="1073" t="s">
        <v>1338</v>
      </c>
      <c r="Q38" s="1073" t="s">
        <v>1339</v>
      </c>
    </row>
    <row r="39" spans="1:17" ht="14.25" customHeight="1" thickBot="1">
      <c r="A39" s="1079" t="s">
        <v>1292</v>
      </c>
      <c r="B39" s="1087" t="s">
        <v>1144</v>
      </c>
      <c r="C39" s="1073">
        <v>19300</v>
      </c>
      <c r="D39" s="1073">
        <v>20360</v>
      </c>
      <c r="E39" s="1073">
        <v>20230</v>
      </c>
      <c r="F39" s="1091"/>
      <c r="H39" s="1098"/>
      <c r="N39" s="1073" t="s">
        <v>1340</v>
      </c>
      <c r="O39" s="1073" t="s">
        <v>1341</v>
      </c>
      <c r="P39" s="1073" t="s">
        <v>1342</v>
      </c>
      <c r="Q39" s="1073" t="s">
        <v>1343</v>
      </c>
    </row>
    <row r="40" spans="1:17" ht="14.25" customHeight="1" thickBot="1">
      <c r="A40" s="1079" t="s">
        <v>1292</v>
      </c>
      <c r="B40" s="1087" t="s">
        <v>1154</v>
      </c>
      <c r="C40" s="1073">
        <v>20210</v>
      </c>
      <c r="D40" s="1073">
        <v>19060</v>
      </c>
      <c r="E40" s="1073">
        <v>18890</v>
      </c>
      <c r="F40" s="1091"/>
      <c r="H40" s="1098"/>
      <c r="N40" s="1073" t="s">
        <v>1344</v>
      </c>
      <c r="O40" s="1073" t="s">
        <v>1345</v>
      </c>
      <c r="P40" s="1073" t="s">
        <v>1346</v>
      </c>
      <c r="Q40" s="1073" t="s">
        <v>1347</v>
      </c>
    </row>
    <row r="41" spans="1:17" ht="14.25" customHeight="1" thickBot="1">
      <c r="A41" s="1079" t="s">
        <v>1292</v>
      </c>
      <c r="B41" s="1087" t="s">
        <v>1164</v>
      </c>
      <c r="C41" s="1073">
        <v>20560</v>
      </c>
      <c r="D41" s="1073">
        <v>21040</v>
      </c>
      <c r="E41" s="1073">
        <v>20740</v>
      </c>
      <c r="F41" s="1091"/>
      <c r="H41" s="1098"/>
      <c r="N41" s="1087" t="s">
        <v>1348</v>
      </c>
      <c r="O41" s="1087" t="s">
        <v>1349</v>
      </c>
      <c r="Q41" s="1087" t="s">
        <v>1350</v>
      </c>
    </row>
    <row r="42" spans="1:17" ht="14.25" customHeight="1" thickBot="1">
      <c r="A42" s="1079" t="s">
        <v>1292</v>
      </c>
      <c r="B42" s="1087" t="s">
        <v>1174</v>
      </c>
      <c r="C42" s="1073">
        <v>19280</v>
      </c>
      <c r="D42" s="1073">
        <v>22940</v>
      </c>
      <c r="E42" s="1073">
        <v>22500</v>
      </c>
      <c r="F42" s="1091"/>
      <c r="H42" s="1098"/>
      <c r="N42" s="1073" t="s">
        <v>1351</v>
      </c>
      <c r="O42" s="1073" t="s">
        <v>1352</v>
      </c>
      <c r="Q42" s="1073" t="s">
        <v>1353</v>
      </c>
    </row>
    <row r="43" spans="1:17" ht="14.25" customHeight="1" thickBot="1">
      <c r="A43" s="1079" t="s">
        <v>1292</v>
      </c>
      <c r="B43" s="1087" t="s">
        <v>1184</v>
      </c>
      <c r="C43" s="1073">
        <v>21520</v>
      </c>
      <c r="D43" s="1073">
        <v>19230</v>
      </c>
      <c r="E43" s="1073">
        <v>18540</v>
      </c>
      <c r="F43" s="1091"/>
      <c r="H43" s="1098"/>
      <c r="N43" s="1073" t="s">
        <v>1354</v>
      </c>
      <c r="O43" s="1073" t="s">
        <v>1355</v>
      </c>
      <c r="Q43" s="1073" t="s">
        <v>1356</v>
      </c>
    </row>
    <row r="44" spans="1:17" ht="14.25" customHeight="1" thickBot="1">
      <c r="A44" s="1079" t="s">
        <v>1292</v>
      </c>
      <c r="B44" s="1087" t="s">
        <v>1194</v>
      </c>
      <c r="C44" s="1073">
        <v>23260</v>
      </c>
      <c r="D44" s="1073">
        <v>21180</v>
      </c>
      <c r="E44" s="1073">
        <v>20730</v>
      </c>
      <c r="F44" s="1091"/>
      <c r="H44" s="1098"/>
      <c r="N44" s="1073" t="s">
        <v>1357</v>
      </c>
      <c r="O44" s="1073" t="s">
        <v>1358</v>
      </c>
      <c r="Q44" s="1073" t="s">
        <v>1359</v>
      </c>
    </row>
    <row r="45" spans="1:17" ht="14.25" customHeight="1" thickBot="1">
      <c r="A45" s="1079" t="s">
        <v>1292</v>
      </c>
      <c r="B45" s="1087" t="s">
        <v>1204</v>
      </c>
      <c r="C45" s="1073">
        <v>19610</v>
      </c>
      <c r="D45" s="1073">
        <v>18090</v>
      </c>
      <c r="E45" s="1073">
        <v>17970</v>
      </c>
      <c r="F45" s="1091"/>
      <c r="H45" s="1095"/>
      <c r="N45" s="1073" t="s">
        <v>1360</v>
      </c>
      <c r="O45" s="1073" t="s">
        <v>1361</v>
      </c>
      <c r="Q45" s="1073" t="s">
        <v>1362</v>
      </c>
    </row>
    <row r="46" spans="1:17" ht="14.25" customHeight="1" thickBot="1">
      <c r="A46" s="1079" t="s">
        <v>1292</v>
      </c>
      <c r="B46" s="1087" t="s">
        <v>1214</v>
      </c>
      <c r="C46" s="1073">
        <v>21660</v>
      </c>
      <c r="D46" s="1073">
        <v>19190</v>
      </c>
      <c r="E46" s="1073">
        <v>19790</v>
      </c>
      <c r="F46" s="1091"/>
      <c r="H46" s="1098"/>
      <c r="N46" s="1073" t="s">
        <v>1363</v>
      </c>
      <c r="O46" s="1073" t="s">
        <v>1364</v>
      </c>
      <c r="Q46" s="1073" t="s">
        <v>1365</v>
      </c>
    </row>
    <row r="47" spans="1:17" ht="14.25" customHeight="1" thickBot="1">
      <c r="A47" s="1079" t="s">
        <v>1292</v>
      </c>
      <c r="B47" s="1087" t="s">
        <v>1224</v>
      </c>
      <c r="C47" s="1073">
        <v>18220</v>
      </c>
      <c r="D47" s="1073"/>
      <c r="E47" s="1073">
        <v>17220</v>
      </c>
      <c r="F47" s="1091"/>
      <c r="H47" s="1098"/>
      <c r="N47" s="1073" t="s">
        <v>1366</v>
      </c>
      <c r="O47" s="1073" t="s">
        <v>1367</v>
      </c>
    </row>
    <row r="48" spans="1:17" ht="14.25" customHeight="1" thickBot="1">
      <c r="A48" s="1079" t="s">
        <v>1292</v>
      </c>
      <c r="B48" s="1088" t="s">
        <v>1233</v>
      </c>
      <c r="C48" s="1089">
        <v>19430</v>
      </c>
      <c r="D48" s="1089"/>
      <c r="E48" s="1089">
        <v>17830</v>
      </c>
      <c r="F48" s="1099"/>
      <c r="H48" s="1095"/>
      <c r="N48" s="1073" t="s">
        <v>1368</v>
      </c>
      <c r="O48" s="1073" t="s">
        <v>1369</v>
      </c>
    </row>
    <row r="49" spans="1:15" ht="14.25" customHeight="1" thickBot="1">
      <c r="A49" s="1079" t="s">
        <v>890</v>
      </c>
      <c r="B49" s="1080" t="s">
        <v>1370</v>
      </c>
      <c r="C49" s="1080">
        <v>17090</v>
      </c>
      <c r="D49" s="1080">
        <v>16950</v>
      </c>
      <c r="E49" s="1080">
        <v>16310</v>
      </c>
      <c r="F49" s="1081">
        <v>4540</v>
      </c>
      <c r="H49" s="1098"/>
      <c r="N49" s="1073" t="s">
        <v>1371</v>
      </c>
      <c r="O49" s="1073" t="s">
        <v>1372</v>
      </c>
    </row>
    <row r="50" spans="1:15" ht="14.25" customHeight="1" thickBot="1">
      <c r="A50" s="1079" t="s">
        <v>890</v>
      </c>
      <c r="B50" s="1073" t="s">
        <v>1039</v>
      </c>
      <c r="C50" s="1073">
        <v>19040</v>
      </c>
      <c r="D50" s="1073">
        <v>16960</v>
      </c>
      <c r="E50" s="1073">
        <v>14800</v>
      </c>
      <c r="F50" s="1091">
        <v>3940</v>
      </c>
      <c r="H50" s="1098"/>
    </row>
    <row r="51" spans="1:15" ht="14.25" customHeight="1" thickBot="1">
      <c r="A51" s="1079" t="s">
        <v>890</v>
      </c>
      <c r="B51" s="1073" t="s">
        <v>1053</v>
      </c>
      <c r="C51" s="1073">
        <v>17040</v>
      </c>
      <c r="D51" s="1073">
        <v>16930</v>
      </c>
      <c r="E51" s="1073">
        <v>15030</v>
      </c>
      <c r="F51" s="1091">
        <v>4120</v>
      </c>
      <c r="H51" s="1098"/>
    </row>
    <row r="52" spans="1:15" ht="14.25" customHeight="1" thickBot="1">
      <c r="A52" s="1079" t="s">
        <v>890</v>
      </c>
      <c r="B52" s="1073" t="s">
        <v>1066</v>
      </c>
      <c r="C52" s="1073">
        <v>17110</v>
      </c>
      <c r="D52" s="1073">
        <v>17750</v>
      </c>
      <c r="E52" s="1073">
        <v>17310</v>
      </c>
      <c r="F52" s="1091">
        <v>3220</v>
      </c>
      <c r="H52" s="1098"/>
    </row>
    <row r="53" spans="1:15" ht="14.25" customHeight="1" thickBot="1">
      <c r="A53" s="1079" t="s">
        <v>890</v>
      </c>
      <c r="B53" s="1073" t="s">
        <v>1080</v>
      </c>
      <c r="C53" s="1073">
        <v>17810</v>
      </c>
      <c r="D53" s="1073">
        <v>17260</v>
      </c>
      <c r="E53" s="1073">
        <v>17090</v>
      </c>
      <c r="F53" s="1091">
        <v>3520</v>
      </c>
      <c r="H53" s="1098"/>
    </row>
    <row r="54" spans="1:15" ht="14.25" customHeight="1" thickBot="1">
      <c r="A54" s="1079" t="s">
        <v>890</v>
      </c>
      <c r="B54" s="1073" t="s">
        <v>1091</v>
      </c>
      <c r="C54" s="1073">
        <v>17410</v>
      </c>
      <c r="D54" s="1073">
        <v>16780</v>
      </c>
      <c r="E54" s="1073">
        <v>16370</v>
      </c>
      <c r="F54" s="1091">
        <v>3410</v>
      </c>
      <c r="H54" s="1098"/>
    </row>
    <row r="55" spans="1:15" ht="14.25" customHeight="1" thickBot="1">
      <c r="A55" s="1079" t="s">
        <v>890</v>
      </c>
      <c r="B55" s="1073" t="s">
        <v>1102</v>
      </c>
      <c r="C55" s="1073">
        <v>16930</v>
      </c>
      <c r="D55" s="1073">
        <v>14720</v>
      </c>
      <c r="E55" s="1073">
        <v>15000</v>
      </c>
      <c r="F55" s="1091">
        <v>3710</v>
      </c>
      <c r="H55" s="1098"/>
    </row>
    <row r="56" spans="1:15" ht="14.25" customHeight="1" thickBot="1">
      <c r="A56" s="1079" t="s">
        <v>890</v>
      </c>
      <c r="B56" s="1073" t="s">
        <v>1113</v>
      </c>
      <c r="C56" s="1073">
        <v>14930</v>
      </c>
      <c r="D56" s="1073">
        <v>15850</v>
      </c>
      <c r="E56" s="1073">
        <v>14320</v>
      </c>
      <c r="F56" s="1091">
        <v>3960</v>
      </c>
      <c r="H56" s="1098"/>
    </row>
    <row r="57" spans="1:15" ht="14.25" customHeight="1" thickBot="1">
      <c r="A57" s="1079" t="s">
        <v>890</v>
      </c>
      <c r="B57" s="1073" t="s">
        <v>1125</v>
      </c>
      <c r="C57" s="1073">
        <v>16160</v>
      </c>
      <c r="D57" s="1073">
        <v>16190</v>
      </c>
      <c r="E57" s="1073">
        <v>15650</v>
      </c>
      <c r="F57" s="1091">
        <v>4200</v>
      </c>
      <c r="H57" s="1098"/>
    </row>
    <row r="58" spans="1:15" ht="14.25" customHeight="1" thickBot="1">
      <c r="A58" s="1079" t="s">
        <v>890</v>
      </c>
      <c r="B58" s="1073" t="s">
        <v>1135</v>
      </c>
      <c r="C58" s="1073">
        <v>16360</v>
      </c>
      <c r="D58" s="1073">
        <v>14050</v>
      </c>
      <c r="E58" s="1073">
        <v>16070</v>
      </c>
      <c r="F58" s="1091">
        <v>3990</v>
      </c>
      <c r="H58" s="1098"/>
    </row>
    <row r="59" spans="1:15" ht="14.25" customHeight="1" thickBot="1">
      <c r="A59" s="1079" t="s">
        <v>890</v>
      </c>
      <c r="B59" s="1073" t="s">
        <v>1145</v>
      </c>
      <c r="C59" s="1073">
        <v>14160</v>
      </c>
      <c r="D59" s="1073">
        <v>16620</v>
      </c>
      <c r="E59" s="1073">
        <v>13940</v>
      </c>
      <c r="F59" s="1091">
        <v>4260</v>
      </c>
      <c r="H59" s="1098"/>
    </row>
    <row r="60" spans="1:15" ht="14.25" customHeight="1" thickBot="1">
      <c r="A60" s="1079" t="s">
        <v>890</v>
      </c>
      <c r="B60" s="1073" t="s">
        <v>1155</v>
      </c>
      <c r="C60" s="1073">
        <v>16750</v>
      </c>
      <c r="D60" s="1073">
        <v>13910</v>
      </c>
      <c r="E60" s="1073">
        <v>16550</v>
      </c>
      <c r="F60" s="1091">
        <v>4550</v>
      </c>
      <c r="H60" s="1098"/>
    </row>
    <row r="61" spans="1:15" ht="14.25" customHeight="1" thickBot="1">
      <c r="A61" s="1079" t="s">
        <v>890</v>
      </c>
      <c r="B61" s="1073" t="s">
        <v>1165</v>
      </c>
      <c r="C61" s="1073">
        <v>14000</v>
      </c>
      <c r="D61" s="1073">
        <v>14550</v>
      </c>
      <c r="E61" s="1073">
        <v>13860</v>
      </c>
      <c r="F61" s="1100"/>
      <c r="H61" s="1098"/>
    </row>
    <row r="62" spans="1:15" ht="14.25" customHeight="1" thickBot="1">
      <c r="A62" s="1079" t="s">
        <v>890</v>
      </c>
      <c r="B62" s="1073" t="s">
        <v>1175</v>
      </c>
      <c r="C62" s="1073">
        <v>14660</v>
      </c>
      <c r="D62" s="1073">
        <v>17450</v>
      </c>
      <c r="E62" s="1073">
        <v>14470</v>
      </c>
      <c r="F62" s="1100"/>
      <c r="H62" s="1098"/>
    </row>
    <row r="63" spans="1:15" ht="14.25" customHeight="1" thickBot="1">
      <c r="A63" s="1079" t="s">
        <v>890</v>
      </c>
      <c r="B63" s="1073" t="s">
        <v>1185</v>
      </c>
      <c r="C63" s="1073">
        <v>17610</v>
      </c>
      <c r="D63" s="1073">
        <v>16500</v>
      </c>
      <c r="E63" s="1073">
        <v>17330</v>
      </c>
      <c r="F63" s="1100"/>
      <c r="H63" s="1098"/>
    </row>
    <row r="64" spans="1:15" ht="14.25" customHeight="1" thickBot="1">
      <c r="A64" s="1079" t="s">
        <v>890</v>
      </c>
      <c r="B64" s="1073" t="s">
        <v>1195</v>
      </c>
      <c r="C64" s="1073">
        <v>16590</v>
      </c>
      <c r="D64" s="1073">
        <v>15130</v>
      </c>
      <c r="E64" s="1073">
        <v>16420</v>
      </c>
      <c r="F64" s="1100"/>
      <c r="H64" s="1098"/>
    </row>
    <row r="65" spans="1:8" s="1067" customFormat="1" ht="14.25" customHeight="1" thickBot="1">
      <c r="A65" s="1079" t="s">
        <v>890</v>
      </c>
      <c r="B65" s="1073" t="s">
        <v>1205</v>
      </c>
      <c r="C65" s="1073">
        <v>15220</v>
      </c>
      <c r="D65" s="1073">
        <v>14660</v>
      </c>
      <c r="E65" s="1073">
        <v>15060</v>
      </c>
      <c r="F65" s="1091"/>
      <c r="H65" s="1098"/>
    </row>
    <row r="66" spans="1:8" s="1067" customFormat="1" ht="14.25" customHeight="1" thickBot="1">
      <c r="A66" s="1079" t="s">
        <v>890</v>
      </c>
      <c r="B66" s="1073" t="s">
        <v>1215</v>
      </c>
      <c r="C66" s="1073">
        <v>14720</v>
      </c>
      <c r="D66" s="1073">
        <v>15970</v>
      </c>
      <c r="E66" s="1073">
        <v>14610</v>
      </c>
      <c r="F66" s="1091"/>
      <c r="H66" s="1098"/>
    </row>
    <row r="67" spans="1:8" s="1067" customFormat="1" ht="14.25" customHeight="1" thickBot="1">
      <c r="A67" s="1079" t="s">
        <v>890</v>
      </c>
      <c r="B67" s="1073" t="s">
        <v>1225</v>
      </c>
      <c r="C67" s="1073">
        <v>16080</v>
      </c>
      <c r="D67" s="1073">
        <v>14840</v>
      </c>
      <c r="E67" s="1073">
        <v>15630</v>
      </c>
      <c r="F67" s="1091"/>
      <c r="H67" s="1098"/>
    </row>
    <row r="68" spans="1:8" s="1067" customFormat="1" ht="14.25" customHeight="1" thickBot="1">
      <c r="A68" s="1079" t="s">
        <v>890</v>
      </c>
      <c r="B68" s="1073" t="s">
        <v>1234</v>
      </c>
      <c r="C68" s="1073">
        <v>14940</v>
      </c>
      <c r="D68" s="1073">
        <v>18000</v>
      </c>
      <c r="E68" s="1073">
        <v>14040</v>
      </c>
      <c r="F68" s="1091"/>
      <c r="H68" s="1098"/>
    </row>
    <row r="69" spans="1:8" s="1067" customFormat="1" ht="14.25" customHeight="1" thickBot="1">
      <c r="A69" s="1079" t="s">
        <v>890</v>
      </c>
      <c r="B69" s="1073" t="s">
        <v>1243</v>
      </c>
      <c r="C69" s="1073">
        <v>18810</v>
      </c>
      <c r="D69" s="1073">
        <v>15100</v>
      </c>
      <c r="E69" s="1073">
        <v>14710</v>
      </c>
      <c r="F69" s="1091"/>
      <c r="H69" s="1098"/>
    </row>
    <row r="70" spans="1:8" s="1067" customFormat="1" ht="14.25" customHeight="1" thickBot="1">
      <c r="A70" s="1079" t="s">
        <v>890</v>
      </c>
      <c r="B70" s="1073" t="s">
        <v>1251</v>
      </c>
      <c r="C70" s="1073">
        <v>18270</v>
      </c>
      <c r="D70" s="1073"/>
      <c r="E70" s="1073"/>
      <c r="F70" s="1091"/>
      <c r="H70" s="1098"/>
    </row>
    <row r="71" spans="1:8" s="1067" customFormat="1" ht="14.25" customHeight="1" thickBot="1">
      <c r="A71" s="1079" t="s">
        <v>890</v>
      </c>
      <c r="B71" s="1073" t="s">
        <v>1258</v>
      </c>
      <c r="C71" s="1073">
        <v>15230</v>
      </c>
      <c r="D71" s="1073"/>
      <c r="E71" s="1073"/>
      <c r="F71" s="1091"/>
      <c r="H71" s="1098"/>
    </row>
    <row r="72" spans="1:8" s="1067" customFormat="1" ht="14.25" customHeight="1" thickBot="1">
      <c r="A72" s="1079" t="s">
        <v>890</v>
      </c>
      <c r="B72" s="1073" t="s">
        <v>1265</v>
      </c>
      <c r="C72" s="1073"/>
      <c r="D72" s="1073"/>
      <c r="E72" s="1073"/>
      <c r="F72" s="1091">
        <v>4120</v>
      </c>
      <c r="H72" s="1098"/>
    </row>
    <row r="73" spans="1:8" s="1067" customFormat="1" ht="14.25" customHeight="1" thickBot="1">
      <c r="A73" s="1079" t="s">
        <v>890</v>
      </c>
      <c r="B73" s="1073" t="s">
        <v>1272</v>
      </c>
      <c r="C73" s="1073"/>
      <c r="D73" s="1073"/>
      <c r="E73" s="1073"/>
      <c r="F73" s="1091">
        <v>3930</v>
      </c>
      <c r="H73" s="1098"/>
    </row>
    <row r="74" spans="1:8" s="1067" customFormat="1" ht="14.25" customHeight="1" thickBot="1">
      <c r="A74" s="1079" t="s">
        <v>890</v>
      </c>
      <c r="B74" s="1073" t="s">
        <v>1279</v>
      </c>
      <c r="C74" s="1073"/>
      <c r="D74" s="1073"/>
      <c r="E74" s="1073"/>
      <c r="F74" s="1091">
        <v>4060</v>
      </c>
      <c r="H74" s="1098"/>
    </row>
    <row r="75" spans="1:8" s="1067" customFormat="1" ht="14.25" customHeight="1" thickBot="1">
      <c r="A75" s="1079" t="s">
        <v>890</v>
      </c>
      <c r="B75" s="1089" t="s">
        <v>1286</v>
      </c>
      <c r="C75" s="1089"/>
      <c r="D75" s="1089"/>
      <c r="E75" s="1089"/>
      <c r="F75" s="1099">
        <v>3750</v>
      </c>
      <c r="H75" s="1098"/>
    </row>
    <row r="76" spans="1:8" s="1067" customFormat="1" ht="14.25" customHeight="1" thickBot="1">
      <c r="A76" s="1079" t="s">
        <v>1373</v>
      </c>
      <c r="B76" s="1080" t="s">
        <v>1374</v>
      </c>
      <c r="C76" s="1080">
        <v>14690</v>
      </c>
      <c r="D76" s="1080">
        <v>14640</v>
      </c>
      <c r="E76" s="1080">
        <v>14590</v>
      </c>
      <c r="F76" s="1081">
        <v>3060</v>
      </c>
      <c r="H76" s="1098"/>
    </row>
    <row r="77" spans="1:8" s="1067" customFormat="1" ht="14.25" customHeight="1" thickBot="1">
      <c r="A77" s="1079" t="s">
        <v>1373</v>
      </c>
      <c r="B77" s="1073" t="s">
        <v>1040</v>
      </c>
      <c r="C77" s="1073">
        <v>12550</v>
      </c>
      <c r="D77" s="1073">
        <v>12480</v>
      </c>
      <c r="E77" s="1073">
        <v>12450</v>
      </c>
      <c r="F77" s="1091">
        <v>2590</v>
      </c>
      <c r="H77" s="1098"/>
    </row>
    <row r="78" spans="1:8" s="1067" customFormat="1" ht="14.25" customHeight="1" thickBot="1">
      <c r="A78" s="1079" t="s">
        <v>1373</v>
      </c>
      <c r="B78" s="1073" t="s">
        <v>1054</v>
      </c>
      <c r="C78" s="1073">
        <v>14360</v>
      </c>
      <c r="D78" s="1073">
        <v>14320</v>
      </c>
      <c r="E78" s="1073">
        <v>12510</v>
      </c>
      <c r="F78" s="1091">
        <v>2700</v>
      </c>
      <c r="H78" s="1098"/>
    </row>
    <row r="79" spans="1:8" s="1067" customFormat="1" ht="14.25" customHeight="1" thickBot="1">
      <c r="A79" s="1079" t="s">
        <v>1373</v>
      </c>
      <c r="B79" s="1073" t="s">
        <v>1067</v>
      </c>
      <c r="C79" s="1073">
        <v>12590</v>
      </c>
      <c r="D79" s="1073">
        <v>12540</v>
      </c>
      <c r="E79" s="1073">
        <v>12350</v>
      </c>
      <c r="F79" s="1091">
        <v>2740</v>
      </c>
      <c r="H79" s="1098"/>
    </row>
    <row r="80" spans="1:8" s="1067" customFormat="1" ht="14.25" customHeight="1" thickBot="1">
      <c r="A80" s="1079" t="s">
        <v>1373</v>
      </c>
      <c r="B80" s="1073" t="s">
        <v>1081</v>
      </c>
      <c r="C80" s="1073">
        <v>12450</v>
      </c>
      <c r="D80" s="1073">
        <v>12370</v>
      </c>
      <c r="E80" s="1073">
        <v>10790</v>
      </c>
      <c r="F80" s="1091">
        <v>2290</v>
      </c>
      <c r="H80" s="1098"/>
    </row>
    <row r="81" spans="1:8" s="1067" customFormat="1" ht="14.25" customHeight="1" thickBot="1">
      <c r="A81" s="1079" t="s">
        <v>1373</v>
      </c>
      <c r="B81" s="1073" t="s">
        <v>1092</v>
      </c>
      <c r="C81" s="1073">
        <v>14210</v>
      </c>
      <c r="D81" s="1073">
        <v>14150</v>
      </c>
      <c r="E81" s="1073">
        <v>12730</v>
      </c>
      <c r="F81" s="1091">
        <v>2240</v>
      </c>
      <c r="H81" s="1098"/>
    </row>
    <row r="82" spans="1:8" s="1067" customFormat="1" ht="14.25" customHeight="1" thickBot="1">
      <c r="A82" s="1079" t="s">
        <v>1373</v>
      </c>
      <c r="B82" s="1073" t="s">
        <v>1103</v>
      </c>
      <c r="C82" s="1073">
        <v>10860</v>
      </c>
      <c r="D82" s="1073">
        <v>10820</v>
      </c>
      <c r="E82" s="1073">
        <v>14720</v>
      </c>
      <c r="F82" s="1091">
        <v>2490</v>
      </c>
      <c r="H82" s="1098"/>
    </row>
    <row r="83" spans="1:8" s="1067" customFormat="1" ht="14.25" customHeight="1" thickBot="1">
      <c r="A83" s="1079" t="s">
        <v>1373</v>
      </c>
      <c r="B83" s="1073" t="s">
        <v>1114</v>
      </c>
      <c r="C83" s="1073">
        <v>12810</v>
      </c>
      <c r="D83" s="1073">
        <v>12760</v>
      </c>
      <c r="E83" s="1073">
        <v>14830</v>
      </c>
      <c r="F83" s="1091">
        <v>2450</v>
      </c>
      <c r="H83" s="1098"/>
    </row>
    <row r="84" spans="1:8" s="1067" customFormat="1" ht="14.25" customHeight="1" thickBot="1">
      <c r="A84" s="1079" t="s">
        <v>1373</v>
      </c>
      <c r="B84" s="1073" t="s">
        <v>1126</v>
      </c>
      <c r="C84" s="1073">
        <v>14950</v>
      </c>
      <c r="D84" s="1073">
        <v>14810</v>
      </c>
      <c r="E84" s="1073">
        <v>12590</v>
      </c>
      <c r="F84" s="1091">
        <v>2540</v>
      </c>
      <c r="H84" s="1098"/>
    </row>
    <row r="85" spans="1:8" s="1067" customFormat="1" ht="14.25" customHeight="1" thickBot="1">
      <c r="A85" s="1079" t="s">
        <v>1373</v>
      </c>
      <c r="B85" s="1073" t="s">
        <v>1136</v>
      </c>
      <c r="C85" s="1073">
        <v>14960</v>
      </c>
      <c r="D85" s="1073">
        <v>14890</v>
      </c>
      <c r="E85" s="1073">
        <v>12840</v>
      </c>
      <c r="F85" s="1091">
        <v>2840</v>
      </c>
      <c r="H85" s="1098"/>
    </row>
    <row r="86" spans="1:8" s="1067" customFormat="1" ht="14.25" customHeight="1" thickBot="1">
      <c r="A86" s="1079" t="s">
        <v>1373</v>
      </c>
      <c r="B86" s="1073" t="s">
        <v>1146</v>
      </c>
      <c r="C86" s="1073">
        <v>12730</v>
      </c>
      <c r="D86" s="1073">
        <v>12660</v>
      </c>
      <c r="E86" s="1073">
        <v>13310</v>
      </c>
      <c r="F86" s="1091">
        <v>3140</v>
      </c>
      <c r="H86" s="1098"/>
    </row>
    <row r="87" spans="1:8" s="1067" customFormat="1" ht="14.25" customHeight="1" thickBot="1">
      <c r="A87" s="1079" t="s">
        <v>1373</v>
      </c>
      <c r="B87" s="1073" t="s">
        <v>1156</v>
      </c>
      <c r="C87" s="1073">
        <v>12940</v>
      </c>
      <c r="D87" s="1073">
        <v>12890</v>
      </c>
      <c r="E87" s="1073">
        <v>11580</v>
      </c>
      <c r="F87" s="1100"/>
      <c r="H87" s="1098"/>
    </row>
    <row r="88" spans="1:8" s="1067" customFormat="1" ht="14.25" customHeight="1" thickBot="1">
      <c r="A88" s="1079" t="s">
        <v>1373</v>
      </c>
      <c r="B88" s="1073" t="s">
        <v>1166</v>
      </c>
      <c r="C88" s="1073">
        <v>13430</v>
      </c>
      <c r="D88" s="1073">
        <v>13360</v>
      </c>
      <c r="E88" s="1073">
        <v>12790</v>
      </c>
      <c r="F88" s="1100"/>
      <c r="H88" s="1098"/>
    </row>
    <row r="89" spans="1:8" s="1067" customFormat="1" ht="14.25" customHeight="1" thickBot="1">
      <c r="A89" s="1079" t="s">
        <v>1373</v>
      </c>
      <c r="B89" s="1073" t="s">
        <v>1176</v>
      </c>
      <c r="C89" s="1073">
        <v>11680</v>
      </c>
      <c r="D89" s="1073">
        <v>11630</v>
      </c>
      <c r="E89" s="1073">
        <v>11320</v>
      </c>
      <c r="F89" s="1100"/>
      <c r="H89" s="1098"/>
    </row>
    <row r="90" spans="1:8" s="1067" customFormat="1" ht="14.25" customHeight="1" thickBot="1">
      <c r="A90" s="1079" t="s">
        <v>1373</v>
      </c>
      <c r="B90" s="1073" t="s">
        <v>1186</v>
      </c>
      <c r="C90" s="1073">
        <v>12890</v>
      </c>
      <c r="D90" s="1073">
        <v>12820</v>
      </c>
      <c r="E90" s="1073">
        <v>12710</v>
      </c>
      <c r="F90" s="1100"/>
      <c r="H90" s="1098"/>
    </row>
    <row r="91" spans="1:8" s="1067" customFormat="1" ht="14.25" customHeight="1" thickBot="1">
      <c r="A91" s="1079" t="s">
        <v>1373</v>
      </c>
      <c r="B91" s="1073" t="s">
        <v>1196</v>
      </c>
      <c r="C91" s="1073">
        <v>11410</v>
      </c>
      <c r="D91" s="1073">
        <v>11360</v>
      </c>
      <c r="E91" s="1073">
        <v>12670</v>
      </c>
      <c r="F91" s="1100"/>
      <c r="H91" s="1098"/>
    </row>
    <row r="92" spans="1:8" s="1067" customFormat="1" ht="14.25" customHeight="1" thickBot="1">
      <c r="A92" s="1079" t="s">
        <v>1373</v>
      </c>
      <c r="B92" s="1073" t="s">
        <v>1206</v>
      </c>
      <c r="C92" s="1073">
        <v>12770</v>
      </c>
      <c r="D92" s="1073">
        <v>12740</v>
      </c>
      <c r="E92" s="1073">
        <v>11970</v>
      </c>
      <c r="F92" s="1100"/>
      <c r="H92" s="1098"/>
    </row>
    <row r="93" spans="1:8" s="1067" customFormat="1" ht="14.25" customHeight="1" thickBot="1">
      <c r="A93" s="1079" t="s">
        <v>1373</v>
      </c>
      <c r="B93" s="1073" t="s">
        <v>1216</v>
      </c>
      <c r="C93" s="1073">
        <v>12740</v>
      </c>
      <c r="D93" s="1073">
        <v>12700</v>
      </c>
      <c r="E93" s="1073">
        <v>12540</v>
      </c>
      <c r="F93" s="1100"/>
      <c r="H93" s="1098"/>
    </row>
    <row r="94" spans="1:8" s="1067" customFormat="1" ht="14.25" customHeight="1" thickBot="1">
      <c r="A94" s="1079" t="s">
        <v>1373</v>
      </c>
      <c r="B94" s="1073" t="s">
        <v>1226</v>
      </c>
      <c r="C94" s="1073">
        <v>12020</v>
      </c>
      <c r="D94" s="1073">
        <v>11990</v>
      </c>
      <c r="E94" s="1073">
        <v>13110</v>
      </c>
      <c r="F94" s="1100"/>
      <c r="H94" s="1098"/>
    </row>
    <row r="95" spans="1:8" s="1067" customFormat="1" ht="14.25" customHeight="1" thickBot="1">
      <c r="A95" s="1079" t="s">
        <v>1373</v>
      </c>
      <c r="B95" s="1073" t="s">
        <v>1235</v>
      </c>
      <c r="C95" s="1073">
        <v>12620</v>
      </c>
      <c r="D95" s="1073">
        <v>12580</v>
      </c>
      <c r="E95" s="1073">
        <v>13160</v>
      </c>
      <c r="F95" s="1091"/>
      <c r="H95" s="1098"/>
    </row>
    <row r="96" spans="1:8" s="1067" customFormat="1" ht="14.25" customHeight="1" thickBot="1">
      <c r="A96" s="1079" t="s">
        <v>1373</v>
      </c>
      <c r="B96" s="1073" t="s">
        <v>1244</v>
      </c>
      <c r="C96" s="1073">
        <v>13200</v>
      </c>
      <c r="D96" s="1073">
        <v>13150</v>
      </c>
      <c r="E96" s="1073">
        <v>12900</v>
      </c>
      <c r="F96" s="1091"/>
      <c r="H96" s="1098"/>
    </row>
    <row r="97" spans="1:8" s="1067" customFormat="1" ht="14.25" customHeight="1" thickBot="1">
      <c r="A97" s="1079" t="s">
        <v>1373</v>
      </c>
      <c r="B97" s="1073" t="s">
        <v>1252</v>
      </c>
      <c r="C97" s="1073">
        <v>13270</v>
      </c>
      <c r="D97" s="1073">
        <v>13210</v>
      </c>
      <c r="E97" s="1073">
        <v>11080</v>
      </c>
      <c r="F97" s="1091"/>
      <c r="H97" s="1098"/>
    </row>
    <row r="98" spans="1:8" s="1067" customFormat="1" ht="14.25" customHeight="1" thickBot="1">
      <c r="A98" s="1079" t="s">
        <v>1373</v>
      </c>
      <c r="B98" s="1073" t="s">
        <v>1259</v>
      </c>
      <c r="C98" s="1073">
        <v>13010</v>
      </c>
      <c r="D98" s="1073">
        <v>12930</v>
      </c>
      <c r="E98" s="1073">
        <v>12840</v>
      </c>
      <c r="F98" s="1091"/>
      <c r="H98" s="1098"/>
    </row>
    <row r="99" spans="1:8" s="1067" customFormat="1" ht="14.25" customHeight="1" thickBot="1">
      <c r="A99" s="1079" t="s">
        <v>1373</v>
      </c>
      <c r="B99" s="1073" t="s">
        <v>1266</v>
      </c>
      <c r="C99" s="1073">
        <v>11190</v>
      </c>
      <c r="D99" s="1073">
        <v>11130</v>
      </c>
      <c r="E99" s="1073"/>
      <c r="F99" s="1091"/>
      <c r="H99" s="1098"/>
    </row>
    <row r="100" spans="1:8" s="1067" customFormat="1" ht="14.25" customHeight="1" thickBot="1">
      <c r="A100" s="1079" t="s">
        <v>1373</v>
      </c>
      <c r="B100" s="1073" t="s">
        <v>1273</v>
      </c>
      <c r="C100" s="1073">
        <v>14280</v>
      </c>
      <c r="D100" s="1073">
        <v>14180</v>
      </c>
      <c r="E100" s="1073"/>
      <c r="F100" s="1091"/>
      <c r="H100" s="1098"/>
    </row>
    <row r="101" spans="1:8" s="1067" customFormat="1" ht="14.25" customHeight="1" thickBot="1">
      <c r="A101" s="1079" t="s">
        <v>1373</v>
      </c>
      <c r="B101" s="1073" t="s">
        <v>1280</v>
      </c>
      <c r="C101" s="1073">
        <v>12960</v>
      </c>
      <c r="D101" s="1073">
        <v>12890</v>
      </c>
      <c r="E101" s="1073"/>
      <c r="F101" s="1091"/>
      <c r="H101" s="1098"/>
    </row>
    <row r="102" spans="1:8" s="1067" customFormat="1" ht="14.25" customHeight="1" thickBot="1">
      <c r="A102" s="1079" t="s">
        <v>1373</v>
      </c>
      <c r="B102" s="1073" t="s">
        <v>1287</v>
      </c>
      <c r="C102" s="1073"/>
      <c r="D102" s="1073"/>
      <c r="E102" s="1073"/>
      <c r="F102" s="1091">
        <v>3100</v>
      </c>
      <c r="H102" s="1098"/>
    </row>
    <row r="103" spans="1:8" s="1067" customFormat="1" ht="14.25" customHeight="1" thickBot="1">
      <c r="A103" s="1079" t="s">
        <v>1373</v>
      </c>
      <c r="B103" s="1073" t="s">
        <v>1294</v>
      </c>
      <c r="C103" s="1073"/>
      <c r="D103" s="1073"/>
      <c r="E103" s="1073"/>
      <c r="F103" s="1091">
        <v>2320</v>
      </c>
      <c r="H103" s="1098"/>
    </row>
    <row r="104" spans="1:8" s="1067" customFormat="1" ht="14.25" customHeight="1" thickBot="1">
      <c r="A104" s="1079" t="s">
        <v>1373</v>
      </c>
      <c r="B104" s="1073" t="s">
        <v>1299</v>
      </c>
      <c r="C104" s="1073"/>
      <c r="D104" s="1073"/>
      <c r="E104" s="1073"/>
      <c r="F104" s="1091">
        <v>2320</v>
      </c>
      <c r="H104" s="1098"/>
    </row>
    <row r="105" spans="1:8" s="1067" customFormat="1" ht="14.25" customHeight="1" thickBot="1">
      <c r="A105" s="1079" t="s">
        <v>1373</v>
      </c>
      <c r="B105" s="1073" t="s">
        <v>1303</v>
      </c>
      <c r="C105" s="1073"/>
      <c r="D105" s="1073"/>
      <c r="E105" s="1073"/>
      <c r="F105" s="1091">
        <v>2320</v>
      </c>
      <c r="H105" s="1098"/>
    </row>
    <row r="106" spans="1:8" s="1067" customFormat="1" ht="14.25" customHeight="1" thickBot="1">
      <c r="A106" s="1079" t="s">
        <v>1373</v>
      </c>
      <c r="B106" s="1073" t="s">
        <v>1308</v>
      </c>
      <c r="C106" s="1073"/>
      <c r="D106" s="1073"/>
      <c r="E106" s="1073"/>
      <c r="F106" s="1091">
        <v>2320</v>
      </c>
      <c r="H106" s="1098"/>
    </row>
    <row r="107" spans="1:8" s="1067" customFormat="1" ht="14.25" customHeight="1" thickBot="1">
      <c r="A107" s="1079" t="s">
        <v>1373</v>
      </c>
      <c r="B107" s="1073" t="s">
        <v>1313</v>
      </c>
      <c r="C107" s="1073"/>
      <c r="D107" s="1073"/>
      <c r="E107" s="1073"/>
      <c r="F107" s="1091">
        <v>2280</v>
      </c>
      <c r="H107" s="1098"/>
    </row>
    <row r="108" spans="1:8" s="1067" customFormat="1" ht="14.25" customHeight="1" thickBot="1">
      <c r="A108" s="1079" t="s">
        <v>1373</v>
      </c>
      <c r="B108" s="1073" t="s">
        <v>1318</v>
      </c>
      <c r="C108" s="1073"/>
      <c r="D108" s="1073"/>
      <c r="E108" s="1073"/>
      <c r="F108" s="1091">
        <v>2280</v>
      </c>
      <c r="H108" s="1098"/>
    </row>
    <row r="109" spans="1:8" s="1067" customFormat="1" ht="14.25" customHeight="1" thickBot="1">
      <c r="A109" s="1079" t="s">
        <v>1373</v>
      </c>
      <c r="B109" s="1089" t="s">
        <v>1323</v>
      </c>
      <c r="C109" s="1089"/>
      <c r="D109" s="1089"/>
      <c r="E109" s="1089"/>
      <c r="F109" s="1099">
        <v>2280</v>
      </c>
      <c r="H109" s="1098"/>
    </row>
    <row r="110" spans="1:8" s="1067" customFormat="1" ht="14.25" customHeight="1" thickBot="1">
      <c r="A110" s="1079" t="s">
        <v>1375</v>
      </c>
      <c r="B110" s="1080" t="s">
        <v>1376</v>
      </c>
      <c r="C110" s="1080">
        <v>10520</v>
      </c>
      <c r="D110" s="1080">
        <v>10490</v>
      </c>
      <c r="E110" s="1080">
        <v>10760</v>
      </c>
      <c r="F110" s="1081">
        <v>2160</v>
      </c>
      <c r="H110" s="1098"/>
    </row>
    <row r="111" spans="1:8" s="1067" customFormat="1" ht="14.25" customHeight="1" thickBot="1">
      <c r="A111" s="1079" t="s">
        <v>1375</v>
      </c>
      <c r="B111" s="1073" t="s">
        <v>1041</v>
      </c>
      <c r="C111" s="1073">
        <v>10090</v>
      </c>
      <c r="D111" s="1073">
        <v>10060</v>
      </c>
      <c r="E111" s="1073">
        <v>10300</v>
      </c>
      <c r="F111" s="1091">
        <v>2010</v>
      </c>
      <c r="H111" s="1098"/>
    </row>
    <row r="112" spans="1:8" s="1067" customFormat="1" ht="14.25" customHeight="1" thickBot="1">
      <c r="A112" s="1079" t="s">
        <v>1375</v>
      </c>
      <c r="B112" s="1073" t="s">
        <v>1055</v>
      </c>
      <c r="C112" s="1073">
        <v>9910</v>
      </c>
      <c r="D112" s="1073">
        <v>9850</v>
      </c>
      <c r="E112" s="1073">
        <v>9960</v>
      </c>
      <c r="F112" s="1091">
        <v>2090</v>
      </c>
      <c r="H112" s="1098"/>
    </row>
    <row r="113" spans="1:8" s="1067" customFormat="1" ht="14.25" customHeight="1" thickBot="1">
      <c r="A113" s="1079" t="s">
        <v>1375</v>
      </c>
      <c r="B113" s="1073" t="s">
        <v>1068</v>
      </c>
      <c r="C113" s="1073">
        <v>11430</v>
      </c>
      <c r="D113" s="1073">
        <v>11400</v>
      </c>
      <c r="E113" s="1073">
        <v>11710</v>
      </c>
      <c r="F113" s="1091">
        <v>2050</v>
      </c>
      <c r="H113" s="1098"/>
    </row>
    <row r="114" spans="1:8" s="1067" customFormat="1" ht="14.25" customHeight="1" thickBot="1">
      <c r="A114" s="1079" t="s">
        <v>1375</v>
      </c>
      <c r="B114" s="1073" t="s">
        <v>1082</v>
      </c>
      <c r="C114" s="1073">
        <v>11390</v>
      </c>
      <c r="D114" s="1073">
        <v>11350</v>
      </c>
      <c r="E114" s="1073">
        <v>11640</v>
      </c>
      <c r="F114" s="1091">
        <v>1620</v>
      </c>
      <c r="H114" s="1098"/>
    </row>
    <row r="115" spans="1:8" s="1067" customFormat="1" ht="14.25" customHeight="1" thickBot="1">
      <c r="A115" s="1079" t="s">
        <v>1375</v>
      </c>
      <c r="B115" s="1073" t="s">
        <v>1093</v>
      </c>
      <c r="C115" s="1073">
        <v>9930</v>
      </c>
      <c r="D115" s="1073">
        <v>9900</v>
      </c>
      <c r="E115" s="1073">
        <v>10160</v>
      </c>
      <c r="F115" s="1091">
        <v>1580</v>
      </c>
      <c r="H115" s="1098"/>
    </row>
    <row r="116" spans="1:8" s="1067" customFormat="1" ht="14.25" customHeight="1" thickBot="1">
      <c r="A116" s="1079" t="s">
        <v>1375</v>
      </c>
      <c r="B116" s="1073" t="s">
        <v>1104</v>
      </c>
      <c r="C116" s="1073">
        <v>9150</v>
      </c>
      <c r="D116" s="1073">
        <v>9120</v>
      </c>
      <c r="E116" s="1073">
        <v>9380</v>
      </c>
      <c r="F116" s="1091">
        <v>1750</v>
      </c>
      <c r="H116" s="1098"/>
    </row>
    <row r="117" spans="1:8" s="1067" customFormat="1" ht="14.25" customHeight="1" thickBot="1">
      <c r="A117" s="1079" t="s">
        <v>1375</v>
      </c>
      <c r="B117" s="1073" t="s">
        <v>1115</v>
      </c>
      <c r="C117" s="1073">
        <v>10680</v>
      </c>
      <c r="D117" s="1073">
        <v>10650</v>
      </c>
      <c r="E117" s="1073">
        <v>10970</v>
      </c>
      <c r="F117" s="1091">
        <v>1730</v>
      </c>
      <c r="H117" s="1098"/>
    </row>
    <row r="118" spans="1:8" s="1067" customFormat="1" ht="14.25" customHeight="1" thickBot="1">
      <c r="A118" s="1079" t="s">
        <v>1375</v>
      </c>
      <c r="B118" s="1073" t="s">
        <v>1127</v>
      </c>
      <c r="C118" s="1073">
        <v>10080</v>
      </c>
      <c r="D118" s="1073">
        <v>10050</v>
      </c>
      <c r="E118" s="1073">
        <v>10350</v>
      </c>
      <c r="F118" s="1091">
        <v>1920</v>
      </c>
      <c r="H118" s="1098"/>
    </row>
    <row r="119" spans="1:8" s="1067" customFormat="1" ht="14.25" customHeight="1" thickBot="1">
      <c r="A119" s="1079" t="s">
        <v>1375</v>
      </c>
      <c r="B119" s="1073" t="s">
        <v>1137</v>
      </c>
      <c r="C119" s="1073">
        <v>9450</v>
      </c>
      <c r="D119" s="1073">
        <v>9410</v>
      </c>
      <c r="E119" s="1073">
        <v>9680</v>
      </c>
      <c r="F119" s="1091">
        <v>1880</v>
      </c>
      <c r="H119" s="1098"/>
    </row>
    <row r="120" spans="1:8" s="1067" customFormat="1" ht="14.25" customHeight="1" thickBot="1">
      <c r="A120" s="1079" t="s">
        <v>1375</v>
      </c>
      <c r="B120" s="1073" t="s">
        <v>1147</v>
      </c>
      <c r="C120" s="1073">
        <v>8730</v>
      </c>
      <c r="D120" s="1073">
        <v>8700</v>
      </c>
      <c r="E120" s="1073">
        <v>8950</v>
      </c>
      <c r="F120" s="1091">
        <v>1830</v>
      </c>
      <c r="H120" s="1098"/>
    </row>
    <row r="121" spans="1:8" s="1067" customFormat="1" ht="14.25" customHeight="1" thickBot="1">
      <c r="A121" s="1079" t="s">
        <v>1375</v>
      </c>
      <c r="B121" s="1073" t="s">
        <v>1157</v>
      </c>
      <c r="C121" s="1073">
        <v>10070</v>
      </c>
      <c r="D121" s="1073">
        <v>10040</v>
      </c>
      <c r="E121" s="1073">
        <v>10270</v>
      </c>
      <c r="F121" s="1091">
        <v>1960</v>
      </c>
      <c r="H121" s="1098"/>
    </row>
    <row r="122" spans="1:8" s="1067" customFormat="1" ht="14.25" customHeight="1" thickBot="1">
      <c r="A122" s="1079" t="s">
        <v>1375</v>
      </c>
      <c r="B122" s="1073" t="s">
        <v>1167</v>
      </c>
      <c r="C122" s="1073">
        <v>10500</v>
      </c>
      <c r="D122" s="1073">
        <v>10470</v>
      </c>
      <c r="E122" s="1073">
        <v>10780</v>
      </c>
      <c r="F122" s="1091">
        <v>2180</v>
      </c>
      <c r="H122" s="1098"/>
    </row>
    <row r="123" spans="1:8" s="1067" customFormat="1" ht="14.25" customHeight="1" thickBot="1">
      <c r="A123" s="1079" t="s">
        <v>1375</v>
      </c>
      <c r="B123" s="1073" t="s">
        <v>1177</v>
      </c>
      <c r="C123" s="1073">
        <v>10390</v>
      </c>
      <c r="D123" s="1073">
        <v>10360</v>
      </c>
      <c r="E123" s="1073">
        <v>10660</v>
      </c>
      <c r="F123" s="1091">
        <v>2040</v>
      </c>
      <c r="H123" s="1098"/>
    </row>
    <row r="124" spans="1:8" s="1067" customFormat="1" ht="14.25" customHeight="1" thickBot="1">
      <c r="A124" s="1079" t="s">
        <v>1375</v>
      </c>
      <c r="B124" s="1073" t="s">
        <v>1187</v>
      </c>
      <c r="C124" s="1073">
        <v>10390</v>
      </c>
      <c r="D124" s="1073">
        <v>10360</v>
      </c>
      <c r="E124" s="1073">
        <v>10680</v>
      </c>
      <c r="F124" s="1100"/>
      <c r="H124" s="1098"/>
    </row>
    <row r="125" spans="1:8" s="1067" customFormat="1" ht="14.25" customHeight="1" thickBot="1">
      <c r="A125" s="1079" t="s">
        <v>1375</v>
      </c>
      <c r="B125" s="1073" t="s">
        <v>1197</v>
      </c>
      <c r="C125" s="1073">
        <v>10440</v>
      </c>
      <c r="D125" s="1073">
        <v>10410</v>
      </c>
      <c r="E125" s="1073">
        <v>10710</v>
      </c>
      <c r="F125" s="1100"/>
      <c r="H125" s="1098"/>
    </row>
    <row r="126" spans="1:8" s="1067" customFormat="1" ht="14.25" customHeight="1" thickBot="1">
      <c r="A126" s="1079" t="s">
        <v>1375</v>
      </c>
      <c r="B126" s="1073" t="s">
        <v>1207</v>
      </c>
      <c r="C126" s="1073">
        <v>10780</v>
      </c>
      <c r="D126" s="1073">
        <v>10750</v>
      </c>
      <c r="E126" s="1073">
        <v>11080</v>
      </c>
      <c r="F126" s="1100"/>
      <c r="H126" s="1098"/>
    </row>
    <row r="127" spans="1:8" s="1067" customFormat="1" ht="14.25" customHeight="1" thickBot="1">
      <c r="A127" s="1079" t="s">
        <v>1375</v>
      </c>
      <c r="B127" s="1073" t="s">
        <v>1217</v>
      </c>
      <c r="C127" s="1073">
        <v>10100</v>
      </c>
      <c r="D127" s="1073">
        <v>10070</v>
      </c>
      <c r="E127" s="1073">
        <v>10350</v>
      </c>
      <c r="F127" s="1100"/>
      <c r="H127" s="1098"/>
    </row>
    <row r="128" spans="1:8" s="1067" customFormat="1" ht="14.25" customHeight="1" thickBot="1">
      <c r="A128" s="1079" t="s">
        <v>1375</v>
      </c>
      <c r="B128" s="1073" t="s">
        <v>1227</v>
      </c>
      <c r="C128" s="1073">
        <v>9200</v>
      </c>
      <c r="D128" s="1073">
        <v>9160</v>
      </c>
      <c r="E128" s="1073">
        <v>9660</v>
      </c>
      <c r="F128" s="1100"/>
      <c r="H128" s="1098"/>
    </row>
    <row r="129" spans="1:8" s="1067" customFormat="1" ht="14.25" customHeight="1" thickBot="1">
      <c r="A129" s="1079" t="s">
        <v>1375</v>
      </c>
      <c r="B129" s="1073" t="s">
        <v>1236</v>
      </c>
      <c r="C129" s="1073">
        <v>10340</v>
      </c>
      <c r="D129" s="1073">
        <v>10310</v>
      </c>
      <c r="E129" s="1073">
        <v>10580</v>
      </c>
      <c r="F129" s="1100"/>
      <c r="H129" s="1098"/>
    </row>
    <row r="130" spans="1:8" s="1067" customFormat="1" ht="14.25" customHeight="1" thickBot="1">
      <c r="A130" s="1079" t="s">
        <v>1375</v>
      </c>
      <c r="B130" s="1073" t="s">
        <v>1245</v>
      </c>
      <c r="C130" s="1073">
        <v>9680</v>
      </c>
      <c r="D130" s="1073">
        <v>9660</v>
      </c>
      <c r="E130" s="1073">
        <v>9950</v>
      </c>
      <c r="F130" s="1100"/>
      <c r="H130" s="1098"/>
    </row>
    <row r="131" spans="1:8" s="1067" customFormat="1" ht="14.25" customHeight="1" thickBot="1">
      <c r="A131" s="1079" t="s">
        <v>1375</v>
      </c>
      <c r="B131" s="1073" t="s">
        <v>1253</v>
      </c>
      <c r="C131" s="1073">
        <v>9540</v>
      </c>
      <c r="D131" s="1073">
        <v>9510</v>
      </c>
      <c r="E131" s="1073">
        <v>9790</v>
      </c>
      <c r="F131" s="1100"/>
      <c r="H131" s="1098"/>
    </row>
    <row r="132" spans="1:8" s="1067" customFormat="1" ht="14.25" customHeight="1" thickBot="1">
      <c r="A132" s="1079" t="s">
        <v>1375</v>
      </c>
      <c r="B132" s="1073" t="s">
        <v>1260</v>
      </c>
      <c r="C132" s="1073">
        <v>9320</v>
      </c>
      <c r="D132" s="1073">
        <v>9290</v>
      </c>
      <c r="E132" s="1073">
        <v>9570</v>
      </c>
      <c r="F132" s="1100"/>
      <c r="H132" s="1098"/>
    </row>
    <row r="133" spans="1:8" s="1067" customFormat="1" ht="14.25" customHeight="1" thickBot="1">
      <c r="A133" s="1079" t="s">
        <v>1375</v>
      </c>
      <c r="B133" s="1073" t="s">
        <v>1267</v>
      </c>
      <c r="C133" s="1073">
        <v>10310</v>
      </c>
      <c r="D133" s="1073">
        <v>10280</v>
      </c>
      <c r="E133" s="1073">
        <v>10530</v>
      </c>
      <c r="F133" s="1100"/>
      <c r="H133" s="1098"/>
    </row>
    <row r="134" spans="1:8" s="1067" customFormat="1" ht="14.25" customHeight="1" thickBot="1">
      <c r="A134" s="1079" t="s">
        <v>1375</v>
      </c>
      <c r="B134" s="1073" t="s">
        <v>1274</v>
      </c>
      <c r="C134" s="1073">
        <v>10370</v>
      </c>
      <c r="D134" s="1073">
        <v>10310</v>
      </c>
      <c r="E134" s="1073">
        <v>10240</v>
      </c>
      <c r="F134" s="1091">
        <v>2060</v>
      </c>
      <c r="H134" s="1098"/>
    </row>
    <row r="135" spans="1:8" s="1067" customFormat="1" ht="14.25" customHeight="1" thickBot="1">
      <c r="A135" s="1079" t="s">
        <v>1375</v>
      </c>
      <c r="B135" s="1073" t="s">
        <v>1281</v>
      </c>
      <c r="C135" s="1073">
        <v>9300</v>
      </c>
      <c r="D135" s="1073">
        <v>9270</v>
      </c>
      <c r="E135" s="1073">
        <v>9350</v>
      </c>
      <c r="F135" s="1100"/>
      <c r="H135" s="1098"/>
    </row>
    <row r="136" spans="1:8" s="1067" customFormat="1" ht="14.25" customHeight="1" thickBot="1">
      <c r="A136" s="1079" t="s">
        <v>1375</v>
      </c>
      <c r="B136" s="1073" t="s">
        <v>1288</v>
      </c>
      <c r="C136" s="1073">
        <v>10160</v>
      </c>
      <c r="D136" s="1073">
        <v>10110</v>
      </c>
      <c r="E136" s="1073">
        <v>10080</v>
      </c>
      <c r="F136" s="1100"/>
      <c r="H136" s="1098"/>
    </row>
    <row r="137" spans="1:8" s="1067" customFormat="1" ht="14.25" customHeight="1" thickBot="1">
      <c r="A137" s="1079" t="s">
        <v>1375</v>
      </c>
      <c r="B137" s="1073" t="s">
        <v>1295</v>
      </c>
      <c r="C137" s="1073">
        <v>9200</v>
      </c>
      <c r="D137" s="1073">
        <v>9170</v>
      </c>
      <c r="E137" s="1073">
        <v>9450</v>
      </c>
      <c r="F137" s="1100"/>
      <c r="H137" s="1098"/>
    </row>
    <row r="138" spans="1:8" s="1067" customFormat="1" ht="14.25" customHeight="1" thickBot="1">
      <c r="A138" s="1079" t="s">
        <v>1375</v>
      </c>
      <c r="B138" s="1073" t="s">
        <v>1300</v>
      </c>
      <c r="C138" s="1073">
        <v>9690</v>
      </c>
      <c r="D138" s="1073">
        <v>9660</v>
      </c>
      <c r="E138" s="1073">
        <v>9840</v>
      </c>
      <c r="F138" s="1100"/>
      <c r="H138" s="1098"/>
    </row>
    <row r="139" spans="1:8" s="1067" customFormat="1" ht="14.25" customHeight="1" thickBot="1">
      <c r="A139" s="1079" t="s">
        <v>1375</v>
      </c>
      <c r="B139" s="1073" t="s">
        <v>1304</v>
      </c>
      <c r="C139" s="1073">
        <v>10290</v>
      </c>
      <c r="D139" s="1073">
        <v>10260</v>
      </c>
      <c r="E139" s="1073">
        <v>10550</v>
      </c>
      <c r="F139" s="1091">
        <v>1700</v>
      </c>
      <c r="H139" s="1098"/>
    </row>
    <row r="140" spans="1:8" s="1067" customFormat="1" ht="14.25" customHeight="1" thickBot="1">
      <c r="A140" s="1079" t="s">
        <v>1375</v>
      </c>
      <c r="B140" s="1073" t="s">
        <v>1309</v>
      </c>
      <c r="C140" s="1073">
        <v>9740</v>
      </c>
      <c r="D140" s="1073">
        <v>9710</v>
      </c>
      <c r="E140" s="1073">
        <v>10000</v>
      </c>
      <c r="F140" s="1091">
        <v>2000</v>
      </c>
      <c r="H140" s="1098"/>
    </row>
    <row r="141" spans="1:8" s="1067" customFormat="1" ht="14.25" customHeight="1" thickBot="1">
      <c r="A141" s="1079" t="s">
        <v>1375</v>
      </c>
      <c r="B141" s="1073" t="s">
        <v>1314</v>
      </c>
      <c r="C141" s="1073">
        <v>9810</v>
      </c>
      <c r="D141" s="1073">
        <v>9770</v>
      </c>
      <c r="E141" s="1073">
        <v>10060</v>
      </c>
      <c r="F141" s="1100"/>
      <c r="H141" s="1098"/>
    </row>
    <row r="142" spans="1:8" s="1067" customFormat="1" ht="14.25" customHeight="1" thickBot="1">
      <c r="A142" s="1079" t="s">
        <v>1375</v>
      </c>
      <c r="B142" s="1073" t="s">
        <v>1319</v>
      </c>
      <c r="C142" s="1073">
        <v>9300</v>
      </c>
      <c r="D142" s="1073">
        <v>9270</v>
      </c>
      <c r="E142" s="1073">
        <v>9530</v>
      </c>
      <c r="F142" s="1100"/>
      <c r="H142" s="1098"/>
    </row>
    <row r="143" spans="1:8" s="1067" customFormat="1" ht="14.25" customHeight="1" thickBot="1">
      <c r="A143" s="1079" t="s">
        <v>1375</v>
      </c>
      <c r="B143" s="1073" t="s">
        <v>1324</v>
      </c>
      <c r="C143" s="1073">
        <v>10080</v>
      </c>
      <c r="D143" s="1073">
        <v>10050</v>
      </c>
      <c r="E143" s="1073">
        <v>10340</v>
      </c>
      <c r="F143" s="1100"/>
      <c r="H143" s="1098"/>
    </row>
    <row r="144" spans="1:8" s="1067" customFormat="1" ht="14.25" customHeight="1" thickBot="1">
      <c r="A144" s="1079" t="s">
        <v>1375</v>
      </c>
      <c r="B144" s="1073" t="s">
        <v>1328</v>
      </c>
      <c r="C144" s="1073">
        <v>9820</v>
      </c>
      <c r="D144" s="1073">
        <v>9750</v>
      </c>
      <c r="E144" s="1073">
        <v>9900</v>
      </c>
      <c r="F144" s="1100"/>
      <c r="H144" s="1098"/>
    </row>
    <row r="145" spans="1:8" s="1067" customFormat="1" ht="14.25" customHeight="1" thickBot="1">
      <c r="A145" s="1079" t="s">
        <v>1375</v>
      </c>
      <c r="B145" s="1073" t="s">
        <v>1332</v>
      </c>
      <c r="C145" s="1073"/>
      <c r="D145" s="1073"/>
      <c r="E145" s="1073"/>
      <c r="F145" s="1091">
        <v>1740</v>
      </c>
      <c r="H145" s="1098"/>
    </row>
    <row r="146" spans="1:8" s="1067" customFormat="1" ht="14.25" customHeight="1" thickBot="1">
      <c r="A146" s="1079" t="s">
        <v>1375</v>
      </c>
      <c r="B146" s="1073" t="s">
        <v>1336</v>
      </c>
      <c r="C146" s="1073"/>
      <c r="D146" s="1073"/>
      <c r="E146" s="1073"/>
      <c r="F146" s="1091">
        <v>1740</v>
      </c>
      <c r="H146" s="1098"/>
    </row>
    <row r="147" spans="1:8" s="1067" customFormat="1" ht="14.25" customHeight="1" thickBot="1">
      <c r="A147" s="1079" t="s">
        <v>1375</v>
      </c>
      <c r="B147" s="1073" t="s">
        <v>1340</v>
      </c>
      <c r="C147" s="1073"/>
      <c r="D147" s="1073"/>
      <c r="E147" s="1073"/>
      <c r="F147" s="1091">
        <v>1740</v>
      </c>
      <c r="H147" s="1098"/>
    </row>
    <row r="148" spans="1:8" s="1067" customFormat="1" ht="14.25" customHeight="1" thickBot="1">
      <c r="A148" s="1079" t="s">
        <v>1375</v>
      </c>
      <c r="B148" s="1073" t="s">
        <v>1344</v>
      </c>
      <c r="C148" s="1073"/>
      <c r="D148" s="1073"/>
      <c r="E148" s="1073"/>
      <c r="F148" s="1091">
        <v>1740</v>
      </c>
      <c r="H148" s="1098"/>
    </row>
    <row r="149" spans="1:8" s="1067" customFormat="1" ht="14.25" customHeight="1" thickBot="1">
      <c r="A149" s="1079" t="s">
        <v>1375</v>
      </c>
      <c r="B149" s="1073" t="s">
        <v>1348</v>
      </c>
      <c r="C149" s="1073"/>
      <c r="D149" s="1073"/>
      <c r="E149" s="1073"/>
      <c r="F149" s="1091">
        <v>1740</v>
      </c>
      <c r="H149" s="1098"/>
    </row>
    <row r="150" spans="1:8" s="1067" customFormat="1" ht="14.25" customHeight="1" thickBot="1">
      <c r="A150" s="1079" t="s">
        <v>1375</v>
      </c>
      <c r="B150" s="1073" t="s">
        <v>1351</v>
      </c>
      <c r="C150" s="1073"/>
      <c r="D150" s="1073"/>
      <c r="E150" s="1073"/>
      <c r="F150" s="1091">
        <v>1610</v>
      </c>
      <c r="H150" s="1098"/>
    </row>
    <row r="151" spans="1:8" s="1067" customFormat="1" ht="14.25" customHeight="1" thickBot="1">
      <c r="A151" s="1079" t="s">
        <v>1375</v>
      </c>
      <c r="B151" s="1073" t="s">
        <v>1354</v>
      </c>
      <c r="C151" s="1073"/>
      <c r="D151" s="1073"/>
      <c r="E151" s="1073"/>
      <c r="F151" s="1091">
        <v>1610</v>
      </c>
      <c r="H151" s="1098"/>
    </row>
    <row r="152" spans="1:8" s="1067" customFormat="1" ht="14.25" customHeight="1" thickBot="1">
      <c r="A152" s="1079" t="s">
        <v>1375</v>
      </c>
      <c r="B152" s="1073" t="s">
        <v>1357</v>
      </c>
      <c r="C152" s="1073"/>
      <c r="D152" s="1073"/>
      <c r="E152" s="1073"/>
      <c r="F152" s="1091">
        <v>1610</v>
      </c>
      <c r="H152" s="1098"/>
    </row>
    <row r="153" spans="1:8" s="1067" customFormat="1" ht="14.25" customHeight="1" thickBot="1">
      <c r="A153" s="1079" t="s">
        <v>1375</v>
      </c>
      <c r="B153" s="1073" t="s">
        <v>1360</v>
      </c>
      <c r="C153" s="1073"/>
      <c r="D153" s="1073"/>
      <c r="E153" s="1073"/>
      <c r="F153" s="1091">
        <v>1610</v>
      </c>
      <c r="H153" s="1098"/>
    </row>
    <row r="154" spans="1:8" s="1067" customFormat="1" ht="14.25" customHeight="1" thickBot="1">
      <c r="A154" s="1079" t="s">
        <v>1375</v>
      </c>
      <c r="B154" s="1073" t="s">
        <v>1363</v>
      </c>
      <c r="C154" s="1073"/>
      <c r="D154" s="1073"/>
      <c r="E154" s="1073"/>
      <c r="F154" s="1091">
        <v>1610</v>
      </c>
      <c r="H154" s="1098"/>
    </row>
    <row r="155" spans="1:8" s="1067" customFormat="1" ht="14.25" customHeight="1" thickBot="1">
      <c r="A155" s="1079" t="s">
        <v>1375</v>
      </c>
      <c r="B155" s="1073" t="s">
        <v>1366</v>
      </c>
      <c r="C155" s="1073"/>
      <c r="D155" s="1073"/>
      <c r="E155" s="1073"/>
      <c r="F155" s="1091">
        <v>1800</v>
      </c>
      <c r="H155" s="1098"/>
    </row>
    <row r="156" spans="1:8" s="1067" customFormat="1" ht="14.25" customHeight="1" thickBot="1">
      <c r="A156" s="1079" t="s">
        <v>1375</v>
      </c>
      <c r="B156" s="1073" t="s">
        <v>1368</v>
      </c>
      <c r="C156" s="1073"/>
      <c r="D156" s="1073"/>
      <c r="E156" s="1073"/>
      <c r="F156" s="1091">
        <v>1910</v>
      </c>
      <c r="H156" s="1098"/>
    </row>
    <row r="157" spans="1:8" s="1067" customFormat="1" ht="14.25" customHeight="1" thickBot="1">
      <c r="A157" s="1079" t="s">
        <v>1375</v>
      </c>
      <c r="B157" s="1089" t="s">
        <v>1371</v>
      </c>
      <c r="C157" s="1089"/>
      <c r="D157" s="1089"/>
      <c r="E157" s="1089"/>
      <c r="F157" s="1099">
        <v>1500</v>
      </c>
      <c r="H157" s="1098"/>
    </row>
    <row r="158" spans="1:8" s="1067" customFormat="1" ht="14.25" customHeight="1" thickBot="1">
      <c r="A158" s="1079" t="s">
        <v>1377</v>
      </c>
      <c r="B158" s="1080" t="s">
        <v>1378</v>
      </c>
      <c r="C158" s="1080">
        <v>8170</v>
      </c>
      <c r="D158" s="1080">
        <v>8140</v>
      </c>
      <c r="E158" s="1080">
        <v>8590</v>
      </c>
      <c r="F158" s="1081">
        <v>1450</v>
      </c>
      <c r="H158" s="1098"/>
    </row>
    <row r="159" spans="1:8" s="1067" customFormat="1" ht="14.25" customHeight="1" thickBot="1">
      <c r="A159" s="1079" t="s">
        <v>1377</v>
      </c>
      <c r="B159" s="1073" t="s">
        <v>1042</v>
      </c>
      <c r="C159" s="1073">
        <v>7410</v>
      </c>
      <c r="D159" s="1073">
        <v>7370</v>
      </c>
      <c r="E159" s="1073">
        <v>8030</v>
      </c>
      <c r="F159" s="1091">
        <v>1510</v>
      </c>
      <c r="H159" s="1098"/>
    </row>
    <row r="160" spans="1:8" s="1067" customFormat="1" ht="14.25" customHeight="1" thickBot="1">
      <c r="A160" s="1079" t="s">
        <v>1377</v>
      </c>
      <c r="B160" s="1073" t="s">
        <v>1056</v>
      </c>
      <c r="C160" s="1073">
        <v>7240</v>
      </c>
      <c r="D160" s="1073">
        <v>7210</v>
      </c>
      <c r="E160" s="1073">
        <v>7860</v>
      </c>
      <c r="F160" s="1091">
        <v>1370</v>
      </c>
      <c r="H160" s="1098"/>
    </row>
    <row r="161" spans="1:8" s="1067" customFormat="1" ht="14.25" customHeight="1" thickBot="1">
      <c r="A161" s="1079" t="s">
        <v>1377</v>
      </c>
      <c r="B161" s="1073" t="s">
        <v>1069</v>
      </c>
      <c r="C161" s="1073">
        <v>7720</v>
      </c>
      <c r="D161" s="1073">
        <v>7690</v>
      </c>
      <c r="E161" s="1073">
        <v>8200</v>
      </c>
      <c r="F161" s="1091">
        <v>1190</v>
      </c>
      <c r="H161" s="1098"/>
    </row>
    <row r="162" spans="1:8" s="1067" customFormat="1" ht="14.25" customHeight="1" thickBot="1">
      <c r="A162" s="1079" t="s">
        <v>1377</v>
      </c>
      <c r="B162" s="1073" t="s">
        <v>1083</v>
      </c>
      <c r="C162" s="1073">
        <v>6900</v>
      </c>
      <c r="D162" s="1073">
        <v>6870</v>
      </c>
      <c r="E162" s="1073">
        <v>7500</v>
      </c>
      <c r="F162" s="1091">
        <v>1390</v>
      </c>
      <c r="H162" s="1098"/>
    </row>
    <row r="163" spans="1:8" s="1067" customFormat="1" ht="14.25" customHeight="1" thickBot="1">
      <c r="A163" s="1079" t="s">
        <v>1377</v>
      </c>
      <c r="B163" s="1073" t="s">
        <v>1094</v>
      </c>
      <c r="C163" s="1073">
        <v>7120</v>
      </c>
      <c r="D163" s="1073">
        <v>7090</v>
      </c>
      <c r="E163" s="1073">
        <v>7690</v>
      </c>
      <c r="F163" s="1091">
        <v>1230</v>
      </c>
      <c r="H163" s="1098"/>
    </row>
    <row r="164" spans="1:8" s="1067" customFormat="1" ht="14.25" customHeight="1" thickBot="1">
      <c r="A164" s="1079" t="s">
        <v>1377</v>
      </c>
      <c r="B164" s="1073" t="s">
        <v>1105</v>
      </c>
      <c r="C164" s="1073">
        <v>6560</v>
      </c>
      <c r="D164" s="1073">
        <v>6530</v>
      </c>
      <c r="E164" s="1073">
        <v>7110</v>
      </c>
      <c r="F164" s="1091">
        <v>1340</v>
      </c>
      <c r="H164" s="1098"/>
    </row>
    <row r="165" spans="1:8" s="1067" customFormat="1" ht="14.25" customHeight="1" thickBot="1">
      <c r="A165" s="1079" t="s">
        <v>1377</v>
      </c>
      <c r="B165" s="1073" t="s">
        <v>1116</v>
      </c>
      <c r="C165" s="1073">
        <v>7450</v>
      </c>
      <c r="D165" s="1073">
        <v>7430</v>
      </c>
      <c r="E165" s="1073">
        <v>8110</v>
      </c>
      <c r="F165" s="1091">
        <v>1290</v>
      </c>
      <c r="H165" s="1098"/>
    </row>
    <row r="166" spans="1:8" s="1067" customFormat="1" ht="14.25" customHeight="1" thickBot="1">
      <c r="A166" s="1079" t="s">
        <v>1377</v>
      </c>
      <c r="B166" s="1073" t="s">
        <v>1128</v>
      </c>
      <c r="C166" s="1073">
        <v>7490</v>
      </c>
      <c r="D166" s="1073">
        <v>7460</v>
      </c>
      <c r="E166" s="1073">
        <v>8150</v>
      </c>
      <c r="F166" s="1091">
        <v>1350</v>
      </c>
      <c r="H166" s="1098"/>
    </row>
    <row r="167" spans="1:8" s="1067" customFormat="1" ht="14.25" customHeight="1" thickBot="1">
      <c r="A167" s="1079" t="s">
        <v>1377</v>
      </c>
      <c r="B167" s="1073" t="s">
        <v>1138</v>
      </c>
      <c r="C167" s="1073">
        <v>7540</v>
      </c>
      <c r="D167" s="1073">
        <v>7510</v>
      </c>
      <c r="E167" s="1073">
        <v>8030</v>
      </c>
      <c r="F167" s="1100"/>
      <c r="H167" s="1098"/>
    </row>
    <row r="168" spans="1:8" s="1067" customFormat="1" ht="14.25" customHeight="1" thickBot="1">
      <c r="A168" s="1079" t="s">
        <v>1377</v>
      </c>
      <c r="B168" s="1073" t="s">
        <v>1148</v>
      </c>
      <c r="C168" s="1073">
        <v>7210</v>
      </c>
      <c r="D168" s="1073">
        <v>7180</v>
      </c>
      <c r="E168" s="1073">
        <v>7830</v>
      </c>
      <c r="F168" s="1100"/>
      <c r="H168" s="1098"/>
    </row>
    <row r="169" spans="1:8" s="1067" customFormat="1" ht="14.25" customHeight="1" thickBot="1">
      <c r="A169" s="1079" t="s">
        <v>1377</v>
      </c>
      <c r="B169" s="1073" t="s">
        <v>1158</v>
      </c>
      <c r="C169" s="1073">
        <v>7040</v>
      </c>
      <c r="D169" s="1073">
        <v>7020</v>
      </c>
      <c r="E169" s="1073">
        <v>7670</v>
      </c>
      <c r="F169" s="1100"/>
      <c r="H169" s="1098"/>
    </row>
    <row r="170" spans="1:8" s="1067" customFormat="1" ht="14.25" customHeight="1" thickBot="1">
      <c r="A170" s="1079" t="s">
        <v>1377</v>
      </c>
      <c r="B170" s="1073" t="s">
        <v>1168</v>
      </c>
      <c r="C170" s="1073">
        <v>8040</v>
      </c>
      <c r="D170" s="1073">
        <v>7190</v>
      </c>
      <c r="E170" s="1073">
        <v>7850</v>
      </c>
      <c r="F170" s="1100"/>
      <c r="H170" s="1098"/>
    </row>
    <row r="171" spans="1:8" s="1067" customFormat="1" ht="14.25" customHeight="1" thickBot="1">
      <c r="A171" s="1079" t="s">
        <v>1377</v>
      </c>
      <c r="B171" s="1073" t="s">
        <v>1178</v>
      </c>
      <c r="C171" s="1073">
        <v>7860</v>
      </c>
      <c r="D171" s="1073">
        <v>7720</v>
      </c>
      <c r="E171" s="1073">
        <v>8150</v>
      </c>
      <c r="F171" s="1091">
        <v>1110</v>
      </c>
      <c r="H171" s="1098"/>
    </row>
    <row r="172" spans="1:8" s="1067" customFormat="1" ht="14.25" customHeight="1" thickBot="1">
      <c r="A172" s="1079" t="s">
        <v>1377</v>
      </c>
      <c r="B172" s="1073" t="s">
        <v>1188</v>
      </c>
      <c r="C172" s="1073">
        <v>7210</v>
      </c>
      <c r="D172" s="1073">
        <v>7170</v>
      </c>
      <c r="E172" s="1073">
        <v>7320</v>
      </c>
      <c r="F172" s="1100"/>
      <c r="H172" s="1098"/>
    </row>
    <row r="173" spans="1:8" s="1067" customFormat="1" ht="14.25" customHeight="1" thickBot="1">
      <c r="A173" s="1079" t="s">
        <v>1377</v>
      </c>
      <c r="B173" s="1073" t="s">
        <v>1198</v>
      </c>
      <c r="C173" s="1073">
        <v>6860</v>
      </c>
      <c r="D173" s="1073">
        <v>6810</v>
      </c>
      <c r="E173" s="1073">
        <v>7440</v>
      </c>
      <c r="F173" s="1100"/>
      <c r="H173" s="1098"/>
    </row>
    <row r="174" spans="1:8" s="1067" customFormat="1" ht="14.25" customHeight="1" thickBot="1">
      <c r="A174" s="1079" t="s">
        <v>1377</v>
      </c>
      <c r="B174" s="1073" t="s">
        <v>1208</v>
      </c>
      <c r="C174" s="1073">
        <v>7120</v>
      </c>
      <c r="D174" s="1073">
        <v>7090</v>
      </c>
      <c r="E174" s="1073">
        <v>7500</v>
      </c>
      <c r="F174" s="1091">
        <v>1490</v>
      </c>
      <c r="H174" s="1098"/>
    </row>
    <row r="175" spans="1:8" s="1067" customFormat="1" ht="14.25" customHeight="1" thickBot="1">
      <c r="A175" s="1079" t="s">
        <v>1377</v>
      </c>
      <c r="B175" s="1073" t="s">
        <v>1218</v>
      </c>
      <c r="C175" s="1073">
        <v>7850</v>
      </c>
      <c r="D175" s="1073">
        <v>7820</v>
      </c>
      <c r="E175" s="1073">
        <v>8120</v>
      </c>
      <c r="F175" s="1091">
        <v>1530</v>
      </c>
      <c r="H175" s="1098"/>
    </row>
    <row r="176" spans="1:8" s="1067" customFormat="1" ht="14.25" customHeight="1" thickBot="1">
      <c r="A176" s="1079" t="s">
        <v>1377</v>
      </c>
      <c r="B176" s="1073" t="s">
        <v>1228</v>
      </c>
      <c r="C176" s="1073">
        <v>7620</v>
      </c>
      <c r="D176" s="1073">
        <v>7570</v>
      </c>
      <c r="E176" s="1073">
        <v>7990</v>
      </c>
      <c r="F176" s="1091">
        <v>1480</v>
      </c>
      <c r="H176" s="1098"/>
    </row>
    <row r="177" spans="1:8" s="1067" customFormat="1" ht="14.25" customHeight="1" thickBot="1">
      <c r="A177" s="1079" t="s">
        <v>1377</v>
      </c>
      <c r="B177" s="1073" t="s">
        <v>1237</v>
      </c>
      <c r="C177" s="1073">
        <v>8590</v>
      </c>
      <c r="D177" s="1073">
        <v>8570</v>
      </c>
      <c r="E177" s="1073">
        <v>8740</v>
      </c>
      <c r="F177" s="1091">
        <v>1540</v>
      </c>
      <c r="H177" s="1098"/>
    </row>
    <row r="178" spans="1:8" s="1067" customFormat="1" ht="14.25" customHeight="1" thickBot="1">
      <c r="A178" s="1079" t="s">
        <v>1377</v>
      </c>
      <c r="B178" s="1073" t="s">
        <v>1246</v>
      </c>
      <c r="C178" s="1073">
        <v>7510</v>
      </c>
      <c r="D178" s="1073">
        <v>7470</v>
      </c>
      <c r="E178" s="1073">
        <v>8090</v>
      </c>
      <c r="F178" s="1091">
        <v>1320</v>
      </c>
      <c r="H178" s="1098"/>
    </row>
    <row r="179" spans="1:8" s="1067" customFormat="1" ht="14.25" customHeight="1" thickBot="1">
      <c r="A179" s="1079" t="s">
        <v>1377</v>
      </c>
      <c r="B179" s="1073" t="s">
        <v>1254</v>
      </c>
      <c r="C179" s="1073">
        <v>6380</v>
      </c>
      <c r="D179" s="1073">
        <v>6340</v>
      </c>
      <c r="E179" s="1073">
        <v>6810</v>
      </c>
      <c r="F179" s="1100"/>
      <c r="H179" s="1098"/>
    </row>
    <row r="180" spans="1:8" s="1067" customFormat="1" ht="14.25" customHeight="1" thickBot="1">
      <c r="A180" s="1079" t="s">
        <v>1377</v>
      </c>
      <c r="B180" s="1073" t="s">
        <v>1261</v>
      </c>
      <c r="C180" s="1073">
        <v>7830</v>
      </c>
      <c r="D180" s="1073">
        <v>7800</v>
      </c>
      <c r="E180" s="1073">
        <v>7780</v>
      </c>
      <c r="F180" s="1091">
        <v>1440</v>
      </c>
      <c r="H180" s="1098"/>
    </row>
    <row r="181" spans="1:8" s="1067" customFormat="1" ht="14.25" customHeight="1" thickBot="1">
      <c r="A181" s="1079" t="s">
        <v>1377</v>
      </c>
      <c r="B181" s="1073" t="s">
        <v>1268</v>
      </c>
      <c r="C181" s="1073">
        <v>7110</v>
      </c>
      <c r="D181" s="1073">
        <v>7080</v>
      </c>
      <c r="E181" s="1073">
        <v>7730</v>
      </c>
      <c r="F181" s="1091">
        <v>1350</v>
      </c>
      <c r="H181" s="1098"/>
    </row>
    <row r="182" spans="1:8" s="1067" customFormat="1" ht="14.25" customHeight="1" thickBot="1">
      <c r="A182" s="1079" t="s">
        <v>1377</v>
      </c>
      <c r="B182" s="1073" t="s">
        <v>1275</v>
      </c>
      <c r="C182" s="1073">
        <v>7310</v>
      </c>
      <c r="D182" s="1073">
        <v>7280</v>
      </c>
      <c r="E182" s="1073">
        <v>7950</v>
      </c>
      <c r="F182" s="1091">
        <v>1220</v>
      </c>
      <c r="H182" s="1098"/>
    </row>
    <row r="183" spans="1:8" s="1067" customFormat="1" ht="14.25" customHeight="1" thickBot="1">
      <c r="A183" s="1079" t="s">
        <v>1377</v>
      </c>
      <c r="B183" s="1073" t="s">
        <v>1282</v>
      </c>
      <c r="C183" s="1073">
        <v>7470</v>
      </c>
      <c r="D183" s="1073">
        <v>7440</v>
      </c>
      <c r="E183" s="1073">
        <v>7880</v>
      </c>
      <c r="F183" s="1100"/>
      <c r="H183" s="1098"/>
    </row>
    <row r="184" spans="1:8" s="1067" customFormat="1" ht="14.25" customHeight="1" thickBot="1">
      <c r="A184" s="1079" t="s">
        <v>1377</v>
      </c>
      <c r="B184" s="1073" t="s">
        <v>1289</v>
      </c>
      <c r="C184" s="1073">
        <v>6960</v>
      </c>
      <c r="D184" s="1073">
        <v>6930</v>
      </c>
      <c r="E184" s="1073">
        <v>7570</v>
      </c>
      <c r="F184" s="1100"/>
      <c r="H184" s="1098"/>
    </row>
    <row r="185" spans="1:8" s="1067" customFormat="1" ht="14.25" customHeight="1" thickBot="1">
      <c r="A185" s="1079" t="s">
        <v>1377</v>
      </c>
      <c r="B185" s="1073" t="s">
        <v>1296</v>
      </c>
      <c r="C185" s="1073">
        <v>7260</v>
      </c>
      <c r="D185" s="1073">
        <v>7230</v>
      </c>
      <c r="E185" s="1073">
        <v>7710</v>
      </c>
      <c r="F185" s="1091">
        <v>1360</v>
      </c>
      <c r="H185" s="1098"/>
    </row>
    <row r="186" spans="1:8" s="1067" customFormat="1" ht="14.25" customHeight="1" thickBot="1">
      <c r="A186" s="1079" t="s">
        <v>1377</v>
      </c>
      <c r="B186" s="1073" t="s">
        <v>1301</v>
      </c>
      <c r="C186" s="1073"/>
      <c r="D186" s="1073"/>
      <c r="E186" s="1073"/>
      <c r="F186" s="1091">
        <v>1560</v>
      </c>
      <c r="H186" s="1098"/>
    </row>
    <row r="187" spans="1:8" s="1067" customFormat="1" ht="14.25" customHeight="1" thickBot="1">
      <c r="A187" s="1079" t="s">
        <v>1377</v>
      </c>
      <c r="B187" s="1073" t="s">
        <v>1305</v>
      </c>
      <c r="C187" s="1073"/>
      <c r="D187" s="1073"/>
      <c r="E187" s="1073"/>
      <c r="F187" s="1091">
        <v>1560</v>
      </c>
      <c r="H187" s="1098"/>
    </row>
    <row r="188" spans="1:8" s="1067" customFormat="1" ht="14.25" customHeight="1" thickBot="1">
      <c r="A188" s="1079" t="s">
        <v>1377</v>
      </c>
      <c r="B188" s="1073" t="s">
        <v>1310</v>
      </c>
      <c r="C188" s="1073"/>
      <c r="D188" s="1073"/>
      <c r="E188" s="1073"/>
      <c r="F188" s="1091">
        <v>1560</v>
      </c>
      <c r="H188" s="1098"/>
    </row>
    <row r="189" spans="1:8" s="1067" customFormat="1" ht="14.25" customHeight="1" thickBot="1">
      <c r="A189" s="1079" t="s">
        <v>1377</v>
      </c>
      <c r="B189" s="1073" t="s">
        <v>1315</v>
      </c>
      <c r="C189" s="1073"/>
      <c r="D189" s="1073"/>
      <c r="E189" s="1073"/>
      <c r="F189" s="1091">
        <v>1320</v>
      </c>
      <c r="H189" s="1098"/>
    </row>
    <row r="190" spans="1:8" s="1067" customFormat="1" ht="14.25" customHeight="1" thickBot="1">
      <c r="A190" s="1079" t="s">
        <v>1377</v>
      </c>
      <c r="B190" s="1073" t="s">
        <v>1320</v>
      </c>
      <c r="C190" s="1073"/>
      <c r="D190" s="1073"/>
      <c r="E190" s="1073"/>
      <c r="F190" s="1091">
        <v>1320</v>
      </c>
      <c r="H190" s="1098"/>
    </row>
    <row r="191" spans="1:8" s="1067" customFormat="1" ht="14.25" customHeight="1" thickBot="1">
      <c r="A191" s="1079" t="s">
        <v>1377</v>
      </c>
      <c r="B191" s="1073" t="s">
        <v>1325</v>
      </c>
      <c r="C191" s="1073"/>
      <c r="D191" s="1073"/>
      <c r="E191" s="1073"/>
      <c r="F191" s="1091">
        <v>1320</v>
      </c>
      <c r="H191" s="1098"/>
    </row>
    <row r="192" spans="1:8" s="1067" customFormat="1" ht="14.25" customHeight="1" thickBot="1">
      <c r="A192" s="1079" t="s">
        <v>1377</v>
      </c>
      <c r="B192" s="1073" t="s">
        <v>1329</v>
      </c>
      <c r="C192" s="1073"/>
      <c r="D192" s="1073"/>
      <c r="E192" s="1073"/>
      <c r="F192" s="1091">
        <v>1100</v>
      </c>
      <c r="H192" s="1098"/>
    </row>
    <row r="193" spans="1:8" s="1067" customFormat="1" ht="14.25" customHeight="1" thickBot="1">
      <c r="A193" s="1079" t="s">
        <v>1377</v>
      </c>
      <c r="B193" s="1073" t="s">
        <v>1333</v>
      </c>
      <c r="C193" s="1073"/>
      <c r="D193" s="1073"/>
      <c r="E193" s="1073"/>
      <c r="F193" s="1091">
        <v>1100</v>
      </c>
      <c r="H193" s="1098"/>
    </row>
    <row r="194" spans="1:8" s="1067" customFormat="1" ht="14.25" customHeight="1" thickBot="1">
      <c r="A194" s="1079" t="s">
        <v>1377</v>
      </c>
      <c r="B194" s="1073" t="s">
        <v>1337</v>
      </c>
      <c r="C194" s="1073"/>
      <c r="D194" s="1073"/>
      <c r="E194" s="1073"/>
      <c r="F194" s="1091">
        <v>1080</v>
      </c>
      <c r="H194" s="1098"/>
    </row>
    <row r="195" spans="1:8" s="1067" customFormat="1" ht="14.25" customHeight="1" thickBot="1">
      <c r="A195" s="1079" t="s">
        <v>1377</v>
      </c>
      <c r="B195" s="1073" t="s">
        <v>1341</v>
      </c>
      <c r="C195" s="1073"/>
      <c r="D195" s="1073"/>
      <c r="E195" s="1073"/>
      <c r="F195" s="1091">
        <v>1270</v>
      </c>
      <c r="H195" s="1098"/>
    </row>
    <row r="196" spans="1:8" s="1067" customFormat="1" ht="14.25" customHeight="1" thickBot="1">
      <c r="A196" s="1079" t="s">
        <v>1377</v>
      </c>
      <c r="B196" s="1073" t="s">
        <v>1345</v>
      </c>
      <c r="C196" s="1073"/>
      <c r="D196" s="1073"/>
      <c r="E196" s="1073"/>
      <c r="F196" s="1091">
        <v>1150</v>
      </c>
      <c r="H196" s="1098"/>
    </row>
    <row r="197" spans="1:8" s="1067" customFormat="1" ht="14.25" customHeight="1" thickBot="1">
      <c r="A197" s="1079" t="s">
        <v>1377</v>
      </c>
      <c r="B197" s="1073" t="s">
        <v>1349</v>
      </c>
      <c r="C197" s="1073"/>
      <c r="D197" s="1073"/>
      <c r="E197" s="1073"/>
      <c r="F197" s="1091">
        <v>1330</v>
      </c>
      <c r="H197" s="1098"/>
    </row>
    <row r="198" spans="1:8" s="1067" customFormat="1" ht="14.25" customHeight="1" thickBot="1">
      <c r="A198" s="1079" t="s">
        <v>1377</v>
      </c>
      <c r="B198" s="1073" t="s">
        <v>1352</v>
      </c>
      <c r="C198" s="1073"/>
      <c r="D198" s="1073"/>
      <c r="E198" s="1073"/>
      <c r="F198" s="1091">
        <v>1170</v>
      </c>
      <c r="H198" s="1098"/>
    </row>
    <row r="199" spans="1:8" s="1067" customFormat="1" ht="14.25" customHeight="1" thickBot="1">
      <c r="A199" s="1079" t="s">
        <v>1377</v>
      </c>
      <c r="B199" s="1073" t="s">
        <v>1355</v>
      </c>
      <c r="C199" s="1073"/>
      <c r="D199" s="1073"/>
      <c r="E199" s="1073"/>
      <c r="F199" s="1091">
        <v>1120</v>
      </c>
      <c r="H199" s="1098"/>
    </row>
    <row r="200" spans="1:8" s="1067" customFormat="1" ht="14.25" customHeight="1" thickBot="1">
      <c r="A200" s="1079" t="s">
        <v>1377</v>
      </c>
      <c r="B200" s="1073" t="s">
        <v>1358</v>
      </c>
      <c r="C200" s="1073"/>
      <c r="D200" s="1073"/>
      <c r="E200" s="1073"/>
      <c r="F200" s="1091">
        <v>1120</v>
      </c>
      <c r="H200" s="1098"/>
    </row>
    <row r="201" spans="1:8" s="1067" customFormat="1" ht="14.25" customHeight="1" thickBot="1">
      <c r="A201" s="1079" t="s">
        <v>1377</v>
      </c>
      <c r="B201" s="1073" t="s">
        <v>1361</v>
      </c>
      <c r="C201" s="1073"/>
      <c r="D201" s="1073"/>
      <c r="E201" s="1073"/>
      <c r="F201" s="1091">
        <v>1540</v>
      </c>
      <c r="H201" s="1098"/>
    </row>
    <row r="202" spans="1:8" s="1067" customFormat="1" ht="14.25" customHeight="1" thickBot="1">
      <c r="A202" s="1079" t="s">
        <v>1377</v>
      </c>
      <c r="B202" s="1073" t="s">
        <v>1364</v>
      </c>
      <c r="C202" s="1073"/>
      <c r="D202" s="1073"/>
      <c r="E202" s="1073"/>
      <c r="F202" s="1091">
        <v>1310</v>
      </c>
      <c r="H202" s="1098"/>
    </row>
    <row r="203" spans="1:8" s="1067" customFormat="1" ht="14.25" customHeight="1" thickBot="1">
      <c r="A203" s="1079" t="s">
        <v>1377</v>
      </c>
      <c r="B203" s="1073" t="s">
        <v>1367</v>
      </c>
      <c r="C203" s="1073"/>
      <c r="D203" s="1073"/>
      <c r="E203" s="1073"/>
      <c r="F203" s="1091">
        <v>1310</v>
      </c>
      <c r="H203" s="1098"/>
    </row>
    <row r="204" spans="1:8" s="1067" customFormat="1" ht="14.25" customHeight="1" thickBot="1">
      <c r="A204" s="1079" t="s">
        <v>1377</v>
      </c>
      <c r="B204" s="1073" t="s">
        <v>1369</v>
      </c>
      <c r="C204" s="1073"/>
      <c r="D204" s="1073"/>
      <c r="E204" s="1073"/>
      <c r="F204" s="1091">
        <v>1080</v>
      </c>
      <c r="H204" s="1098"/>
    </row>
    <row r="205" spans="1:8" s="1067" customFormat="1" ht="14.25" customHeight="1" thickBot="1">
      <c r="A205" s="1079" t="s">
        <v>1377</v>
      </c>
      <c r="B205" s="1073" t="s">
        <v>1372</v>
      </c>
      <c r="C205" s="1073"/>
      <c r="D205" s="1073"/>
      <c r="E205" s="1073"/>
      <c r="F205" s="1091">
        <v>1080</v>
      </c>
      <c r="H205" s="1098"/>
    </row>
    <row r="206" spans="1:8" s="1067" customFormat="1" ht="14.25" customHeight="1" thickBot="1">
      <c r="A206" s="1079" t="s">
        <v>1379</v>
      </c>
      <c r="B206" s="1080" t="s">
        <v>1380</v>
      </c>
      <c r="C206" s="1080">
        <v>5450</v>
      </c>
      <c r="D206" s="1080">
        <v>5430</v>
      </c>
      <c r="E206" s="1080">
        <v>5700</v>
      </c>
      <c r="F206" s="1081">
        <v>1020</v>
      </c>
      <c r="H206" s="1098"/>
    </row>
    <row r="207" spans="1:8" s="1067" customFormat="1" ht="14.25" customHeight="1" thickBot="1">
      <c r="A207" s="1079" t="s">
        <v>1379</v>
      </c>
      <c r="B207" s="1073" t="s">
        <v>1043</v>
      </c>
      <c r="C207" s="1073">
        <v>5860</v>
      </c>
      <c r="D207" s="1073">
        <v>5820</v>
      </c>
      <c r="E207" s="1073">
        <v>6050</v>
      </c>
      <c r="F207" s="1091">
        <v>1080</v>
      </c>
      <c r="H207" s="1098"/>
    </row>
    <row r="208" spans="1:8" s="1067" customFormat="1" ht="14.25" customHeight="1" thickBot="1">
      <c r="A208" s="1079" t="s">
        <v>1379</v>
      </c>
      <c r="B208" s="1073" t="s">
        <v>1057</v>
      </c>
      <c r="C208" s="1073">
        <v>4630</v>
      </c>
      <c r="D208" s="1073">
        <v>4600</v>
      </c>
      <c r="E208" s="1073">
        <v>4840</v>
      </c>
      <c r="F208" s="1091">
        <v>900</v>
      </c>
      <c r="H208" s="1098"/>
    </row>
    <row r="209" spans="1:8" s="1067" customFormat="1" ht="14.25" customHeight="1" thickBot="1">
      <c r="A209" s="1079" t="s">
        <v>1379</v>
      </c>
      <c r="B209" s="1073" t="s">
        <v>1070</v>
      </c>
      <c r="C209" s="1073">
        <v>5320</v>
      </c>
      <c r="D209" s="1073">
        <v>5270</v>
      </c>
      <c r="E209" s="1073">
        <v>5540</v>
      </c>
      <c r="F209" s="1091">
        <v>980</v>
      </c>
      <c r="H209" s="1098"/>
    </row>
    <row r="210" spans="1:8" s="1067" customFormat="1" ht="14.25" customHeight="1" thickBot="1">
      <c r="A210" s="1079" t="s">
        <v>1379</v>
      </c>
      <c r="B210" s="1073" t="s">
        <v>1084</v>
      </c>
      <c r="C210" s="1073">
        <v>5760</v>
      </c>
      <c r="D210" s="1073">
        <v>5710</v>
      </c>
      <c r="E210" s="1073">
        <v>6010</v>
      </c>
      <c r="F210" s="1091">
        <v>870</v>
      </c>
      <c r="H210" s="1098"/>
    </row>
    <row r="211" spans="1:8" s="1067" customFormat="1" ht="14.25" customHeight="1" thickBot="1">
      <c r="A211" s="1079" t="s">
        <v>1379</v>
      </c>
      <c r="B211" s="1073" t="s">
        <v>1095</v>
      </c>
      <c r="C211" s="1073">
        <v>4160</v>
      </c>
      <c r="D211" s="1073">
        <v>4100</v>
      </c>
      <c r="E211" s="1073">
        <v>4270</v>
      </c>
      <c r="F211" s="1091">
        <v>790</v>
      </c>
      <c r="H211" s="1098"/>
    </row>
    <row r="212" spans="1:8" s="1067" customFormat="1" ht="14.25" customHeight="1" thickBot="1">
      <c r="A212" s="1079" t="s">
        <v>1379</v>
      </c>
      <c r="B212" s="1073" t="s">
        <v>1106</v>
      </c>
      <c r="C212" s="1073">
        <v>4880</v>
      </c>
      <c r="D212" s="1073">
        <v>4850</v>
      </c>
      <c r="E212" s="1073">
        <v>5110</v>
      </c>
      <c r="F212" s="1091">
        <v>940</v>
      </c>
      <c r="H212" s="1098"/>
    </row>
    <row r="213" spans="1:8" s="1067" customFormat="1" ht="14.25" customHeight="1" thickBot="1">
      <c r="A213" s="1079" t="s">
        <v>1379</v>
      </c>
      <c r="B213" s="1073" t="s">
        <v>1117</v>
      </c>
      <c r="C213" s="1073">
        <v>4640</v>
      </c>
      <c r="D213" s="1073">
        <v>4590</v>
      </c>
      <c r="E213" s="1073">
        <v>4700</v>
      </c>
      <c r="F213" s="1091">
        <v>1030</v>
      </c>
      <c r="H213" s="1098"/>
    </row>
    <row r="214" spans="1:8" s="1067" customFormat="1" ht="14.25" customHeight="1" thickBot="1">
      <c r="A214" s="1079" t="s">
        <v>1379</v>
      </c>
      <c r="B214" s="1073" t="s">
        <v>1129</v>
      </c>
      <c r="C214" s="1073">
        <v>4540</v>
      </c>
      <c r="D214" s="1073">
        <v>4490</v>
      </c>
      <c r="E214" s="1073">
        <v>4610</v>
      </c>
      <c r="F214" s="1100"/>
      <c r="H214" s="1098"/>
    </row>
    <row r="215" spans="1:8" s="1067" customFormat="1" ht="14.25" customHeight="1" thickBot="1">
      <c r="A215" s="1079" t="s">
        <v>1379</v>
      </c>
      <c r="B215" s="1073" t="s">
        <v>1139</v>
      </c>
      <c r="C215" s="1073">
        <v>5280</v>
      </c>
      <c r="D215" s="1073">
        <v>5250</v>
      </c>
      <c r="E215" s="1073">
        <v>5520</v>
      </c>
      <c r="F215" s="1091">
        <v>1000</v>
      </c>
      <c r="H215" s="1098"/>
    </row>
    <row r="216" spans="1:8" s="1067" customFormat="1" ht="14.25" customHeight="1" thickBot="1">
      <c r="A216" s="1079" t="s">
        <v>1379</v>
      </c>
      <c r="B216" s="1073" t="s">
        <v>1149</v>
      </c>
      <c r="C216" s="1073">
        <v>5100</v>
      </c>
      <c r="D216" s="1073">
        <v>5050</v>
      </c>
      <c r="E216" s="1073">
        <v>5300</v>
      </c>
      <c r="F216" s="1091">
        <v>950</v>
      </c>
      <c r="H216" s="1098"/>
    </row>
    <row r="217" spans="1:8" s="1067" customFormat="1" ht="14.25" customHeight="1" thickBot="1">
      <c r="A217" s="1079" t="s">
        <v>1379</v>
      </c>
      <c r="B217" s="1073" t="s">
        <v>1159</v>
      </c>
      <c r="C217" s="1073">
        <v>5370</v>
      </c>
      <c r="D217" s="1073">
        <v>5320</v>
      </c>
      <c r="E217" s="1073">
        <v>5410</v>
      </c>
      <c r="F217" s="1091">
        <v>950</v>
      </c>
      <c r="H217" s="1098"/>
    </row>
    <row r="218" spans="1:8" s="1067" customFormat="1" ht="14.25" customHeight="1" thickBot="1">
      <c r="A218" s="1079" t="s">
        <v>1379</v>
      </c>
      <c r="B218" s="1073" t="s">
        <v>1169</v>
      </c>
      <c r="C218" s="1073">
        <v>5540</v>
      </c>
      <c r="D218" s="1073">
        <v>5480</v>
      </c>
      <c r="E218" s="1073">
        <v>5740</v>
      </c>
      <c r="F218" s="1091">
        <v>1020</v>
      </c>
      <c r="H218" s="1098"/>
    </row>
    <row r="219" spans="1:8" s="1067" customFormat="1" ht="14.25" customHeight="1" thickBot="1">
      <c r="A219" s="1079" t="s">
        <v>1379</v>
      </c>
      <c r="B219" s="1073" t="s">
        <v>1179</v>
      </c>
      <c r="C219" s="1073">
        <v>5140</v>
      </c>
      <c r="D219" s="1073">
        <v>5100</v>
      </c>
      <c r="E219" s="1073">
        <v>5350</v>
      </c>
      <c r="F219" s="1091">
        <v>1120</v>
      </c>
      <c r="H219" s="1098"/>
    </row>
    <row r="220" spans="1:8" s="1067" customFormat="1" ht="14.25" customHeight="1" thickBot="1">
      <c r="A220" s="1079" t="s">
        <v>1379</v>
      </c>
      <c r="B220" s="1073" t="s">
        <v>1189</v>
      </c>
      <c r="C220" s="1073">
        <v>5040</v>
      </c>
      <c r="D220" s="1073">
        <v>5000</v>
      </c>
      <c r="E220" s="1073">
        <v>5240</v>
      </c>
      <c r="F220" s="1091">
        <v>980</v>
      </c>
      <c r="H220" s="1098"/>
    </row>
    <row r="221" spans="1:8" s="1067" customFormat="1" ht="14.25" customHeight="1" thickBot="1">
      <c r="A221" s="1079" t="s">
        <v>1379</v>
      </c>
      <c r="B221" s="1073" t="s">
        <v>1199</v>
      </c>
      <c r="C221" s="1101"/>
      <c r="D221" s="1101"/>
      <c r="E221" s="1101"/>
      <c r="F221" s="1091">
        <v>1070</v>
      </c>
      <c r="H221" s="1098"/>
    </row>
    <row r="222" spans="1:8" s="1067" customFormat="1" ht="14.25" customHeight="1" thickBot="1">
      <c r="A222" s="1079" t="s">
        <v>1379</v>
      </c>
      <c r="B222" s="1073" t="s">
        <v>1209</v>
      </c>
      <c r="C222" s="1101"/>
      <c r="D222" s="1101"/>
      <c r="E222" s="1101"/>
      <c r="F222" s="1091">
        <v>870</v>
      </c>
      <c r="H222" s="1098"/>
    </row>
    <row r="223" spans="1:8" s="1067" customFormat="1" ht="14.25" customHeight="1" thickBot="1">
      <c r="A223" s="1079" t="s">
        <v>1379</v>
      </c>
      <c r="B223" s="1073" t="s">
        <v>1219</v>
      </c>
      <c r="C223" s="1101"/>
      <c r="D223" s="1101"/>
      <c r="E223" s="1101"/>
      <c r="F223" s="1091">
        <v>940</v>
      </c>
      <c r="H223" s="1098"/>
    </row>
    <row r="224" spans="1:8" s="1067" customFormat="1" ht="14.25" customHeight="1" thickBot="1">
      <c r="A224" s="1079" t="s">
        <v>1379</v>
      </c>
      <c r="B224" s="1073" t="s">
        <v>1229</v>
      </c>
      <c r="C224" s="1101"/>
      <c r="D224" s="1101"/>
      <c r="E224" s="1101"/>
      <c r="F224" s="1091">
        <v>990</v>
      </c>
      <c r="H224" s="1098"/>
    </row>
    <row r="225" spans="1:8" s="1067" customFormat="1" ht="14.25" customHeight="1" thickBot="1">
      <c r="A225" s="1079" t="s">
        <v>1379</v>
      </c>
      <c r="B225" s="1073" t="s">
        <v>1238</v>
      </c>
      <c r="C225" s="1073">
        <v>5730</v>
      </c>
      <c r="D225" s="1073">
        <v>5680</v>
      </c>
      <c r="E225" s="1073">
        <v>6020</v>
      </c>
      <c r="F225" s="1091">
        <v>1000</v>
      </c>
      <c r="H225" s="1098"/>
    </row>
    <row r="226" spans="1:8" s="1067" customFormat="1" ht="14.25" customHeight="1" thickBot="1">
      <c r="A226" s="1079" t="s">
        <v>1379</v>
      </c>
      <c r="B226" s="1073" t="s">
        <v>1247</v>
      </c>
      <c r="C226" s="1073">
        <v>4970</v>
      </c>
      <c r="D226" s="1073">
        <v>4940</v>
      </c>
      <c r="E226" s="1073">
        <v>5180</v>
      </c>
      <c r="F226" s="1091">
        <v>960</v>
      </c>
      <c r="H226" s="1098"/>
    </row>
    <row r="227" spans="1:8" s="1067" customFormat="1" ht="14.25" customHeight="1" thickBot="1">
      <c r="A227" s="1079" t="s">
        <v>1379</v>
      </c>
      <c r="B227" s="1073" t="s">
        <v>1255</v>
      </c>
      <c r="C227" s="1073">
        <v>5550</v>
      </c>
      <c r="D227" s="1073">
        <v>5500</v>
      </c>
      <c r="E227" s="1073">
        <v>5780</v>
      </c>
      <c r="F227" s="1091">
        <v>940</v>
      </c>
      <c r="H227" s="1098"/>
    </row>
    <row r="228" spans="1:8" s="1067" customFormat="1" ht="14.25" customHeight="1" thickBot="1">
      <c r="A228" s="1079" t="s">
        <v>1379</v>
      </c>
      <c r="B228" s="1073" t="s">
        <v>1262</v>
      </c>
      <c r="C228" s="1073">
        <v>5460</v>
      </c>
      <c r="D228" s="1073">
        <v>5420</v>
      </c>
      <c r="E228" s="1073">
        <v>5690</v>
      </c>
      <c r="F228" s="1091">
        <v>910</v>
      </c>
      <c r="H228" s="1098"/>
    </row>
    <row r="229" spans="1:8" s="1067" customFormat="1" ht="14.25" customHeight="1" thickBot="1">
      <c r="A229" s="1079" t="s">
        <v>1379</v>
      </c>
      <c r="B229" s="1073" t="s">
        <v>1269</v>
      </c>
      <c r="C229" s="1073">
        <v>5310</v>
      </c>
      <c r="D229" s="1073">
        <v>5270</v>
      </c>
      <c r="E229" s="1073">
        <v>5510</v>
      </c>
      <c r="F229" s="1100"/>
      <c r="H229" s="1098"/>
    </row>
    <row r="230" spans="1:8" s="1067" customFormat="1" ht="14.25" customHeight="1" thickBot="1">
      <c r="A230" s="1079" t="s">
        <v>1379</v>
      </c>
      <c r="B230" s="1073" t="s">
        <v>1276</v>
      </c>
      <c r="C230" s="1073">
        <v>4540</v>
      </c>
      <c r="D230" s="1073">
        <v>4500</v>
      </c>
      <c r="E230" s="1073">
        <v>4730</v>
      </c>
      <c r="F230" s="1100"/>
      <c r="H230" s="1098"/>
    </row>
    <row r="231" spans="1:8" s="1067" customFormat="1" ht="14.25" customHeight="1" thickBot="1">
      <c r="A231" s="1079" t="s">
        <v>1379</v>
      </c>
      <c r="B231" s="1073" t="s">
        <v>1283</v>
      </c>
      <c r="C231" s="1073">
        <v>4480</v>
      </c>
      <c r="D231" s="1073">
        <v>4410</v>
      </c>
      <c r="E231" s="1073">
        <v>4640</v>
      </c>
      <c r="F231" s="1100"/>
      <c r="H231" s="1098"/>
    </row>
    <row r="232" spans="1:8" s="1067" customFormat="1" ht="14.25" customHeight="1" thickBot="1">
      <c r="A232" s="1079" t="s">
        <v>1379</v>
      </c>
      <c r="B232" s="1073" t="s">
        <v>1290</v>
      </c>
      <c r="C232" s="1073">
        <v>5670</v>
      </c>
      <c r="D232" s="1073">
        <v>5600</v>
      </c>
      <c r="E232" s="1073">
        <v>5890</v>
      </c>
      <c r="F232" s="1091">
        <v>1150</v>
      </c>
      <c r="H232" s="1098"/>
    </row>
    <row r="233" spans="1:8" s="1067" customFormat="1" ht="14.25" customHeight="1" thickBot="1">
      <c r="A233" s="1079" t="s">
        <v>1379</v>
      </c>
      <c r="B233" s="1073" t="s">
        <v>1297</v>
      </c>
      <c r="C233" s="1073">
        <v>4590</v>
      </c>
      <c r="D233" s="1073">
        <v>4500</v>
      </c>
      <c r="E233" s="1073">
        <v>4600</v>
      </c>
      <c r="F233" s="1100"/>
      <c r="H233" s="1098"/>
    </row>
    <row r="234" spans="1:8" s="1067" customFormat="1" ht="14.25" customHeight="1" thickBot="1">
      <c r="A234" s="1079" t="s">
        <v>1379</v>
      </c>
      <c r="B234" s="1073" t="s">
        <v>2385</v>
      </c>
      <c r="C234" s="1073">
        <v>3990</v>
      </c>
      <c r="D234" s="1073">
        <v>3950</v>
      </c>
      <c r="E234" s="1073">
        <v>4180</v>
      </c>
      <c r="F234" s="1100"/>
      <c r="H234" s="1098"/>
    </row>
    <row r="235" spans="1:8" s="1067" customFormat="1" ht="14.25" customHeight="1" thickBot="1">
      <c r="A235" s="1079" t="s">
        <v>1379</v>
      </c>
      <c r="B235" s="1073" t="s">
        <v>1306</v>
      </c>
      <c r="C235" s="1073">
        <v>5590</v>
      </c>
      <c r="D235" s="1073">
        <v>5540</v>
      </c>
      <c r="E235" s="1073">
        <v>5810</v>
      </c>
      <c r="F235" s="1091">
        <v>970</v>
      </c>
      <c r="H235" s="1098"/>
    </row>
    <row r="236" spans="1:8" s="1067" customFormat="1" ht="14.25" customHeight="1" thickBot="1">
      <c r="A236" s="1079" t="s">
        <v>1379</v>
      </c>
      <c r="B236" s="1073" t="s">
        <v>1311</v>
      </c>
      <c r="C236" s="1073"/>
      <c r="D236" s="1073"/>
      <c r="E236" s="1073"/>
      <c r="F236" s="1091">
        <v>1020</v>
      </c>
      <c r="H236" s="1098"/>
    </row>
    <row r="237" spans="1:8" s="1067" customFormat="1" ht="14.25" customHeight="1" thickBot="1">
      <c r="A237" s="1079" t="s">
        <v>1379</v>
      </c>
      <c r="B237" s="1073" t="s">
        <v>1316</v>
      </c>
      <c r="C237" s="1073"/>
      <c r="D237" s="1073"/>
      <c r="E237" s="1073"/>
      <c r="F237" s="1091">
        <v>960</v>
      </c>
      <c r="H237" s="1098"/>
    </row>
    <row r="238" spans="1:8" s="1067" customFormat="1" ht="14.25" customHeight="1" thickBot="1">
      <c r="A238" s="1079" t="s">
        <v>1379</v>
      </c>
      <c r="B238" s="1073" t="s">
        <v>1321</v>
      </c>
      <c r="C238" s="1073"/>
      <c r="D238" s="1073"/>
      <c r="E238" s="1073"/>
      <c r="F238" s="1091">
        <v>960</v>
      </c>
      <c r="H238" s="1098"/>
    </row>
    <row r="239" spans="1:8" s="1067" customFormat="1" ht="14.25" customHeight="1" thickBot="1">
      <c r="A239" s="1079" t="s">
        <v>1379</v>
      </c>
      <c r="B239" s="1073" t="s">
        <v>1326</v>
      </c>
      <c r="C239" s="1073"/>
      <c r="D239" s="1073"/>
      <c r="E239" s="1073"/>
      <c r="F239" s="1091">
        <v>960</v>
      </c>
      <c r="H239" s="1098"/>
    </row>
    <row r="240" spans="1:8" s="1067" customFormat="1" ht="14.25" customHeight="1" thickBot="1">
      <c r="A240" s="1079" t="s">
        <v>1379</v>
      </c>
      <c r="B240" s="1073" t="s">
        <v>1330</v>
      </c>
      <c r="C240" s="1073"/>
      <c r="D240" s="1073"/>
      <c r="E240" s="1073"/>
      <c r="F240" s="1091">
        <v>990</v>
      </c>
      <c r="H240" s="1098"/>
    </row>
    <row r="241" spans="1:8" s="1067" customFormat="1" ht="14.25" customHeight="1" thickBot="1">
      <c r="A241" s="1079" t="s">
        <v>1379</v>
      </c>
      <c r="B241" s="1073" t="s">
        <v>1334</v>
      </c>
      <c r="C241" s="1073"/>
      <c r="D241" s="1073"/>
      <c r="E241" s="1073"/>
      <c r="F241" s="1091">
        <v>1000</v>
      </c>
      <c r="H241" s="1098"/>
    </row>
    <row r="242" spans="1:8" s="1067" customFormat="1" ht="14.25" customHeight="1" thickBot="1">
      <c r="A242" s="1079" t="s">
        <v>1379</v>
      </c>
      <c r="B242" s="1073" t="s">
        <v>1338</v>
      </c>
      <c r="C242" s="1073"/>
      <c r="D242" s="1073"/>
      <c r="E242" s="1073"/>
      <c r="F242" s="1091">
        <v>980</v>
      </c>
      <c r="H242" s="1098"/>
    </row>
    <row r="243" spans="1:8" s="1067" customFormat="1" ht="14.25" customHeight="1" thickBot="1">
      <c r="A243" s="1079" t="s">
        <v>1379</v>
      </c>
      <c r="B243" s="1073" t="s">
        <v>1342</v>
      </c>
      <c r="C243" s="1073"/>
      <c r="D243" s="1073"/>
      <c r="E243" s="1073"/>
      <c r="F243" s="1091">
        <v>970</v>
      </c>
      <c r="H243" s="1098"/>
    </row>
    <row r="244" spans="1:8" s="1067" customFormat="1" ht="14.25" customHeight="1" thickBot="1">
      <c r="A244" s="1079" t="s">
        <v>1379</v>
      </c>
      <c r="B244" s="1089" t="s">
        <v>1346</v>
      </c>
      <c r="C244" s="1089"/>
      <c r="D244" s="1089"/>
      <c r="E244" s="1089"/>
      <c r="F244" s="1099">
        <v>970</v>
      </c>
      <c r="H244" s="1098"/>
    </row>
    <row r="245" spans="1:8" s="1067" customFormat="1" ht="14.25" customHeight="1" thickBot="1">
      <c r="A245" s="1079" t="s">
        <v>1381</v>
      </c>
      <c r="B245" s="1080" t="s">
        <v>1382</v>
      </c>
      <c r="C245" s="1080">
        <v>4050</v>
      </c>
      <c r="D245" s="1080">
        <v>4020</v>
      </c>
      <c r="E245" s="1080">
        <v>4160</v>
      </c>
      <c r="F245" s="1081">
        <v>840</v>
      </c>
      <c r="H245" s="1098"/>
    </row>
    <row r="246" spans="1:8" s="1067" customFormat="1" ht="14.25" customHeight="1" thickBot="1">
      <c r="A246" s="1079" t="s">
        <v>1381</v>
      </c>
      <c r="B246" s="1073" t="s">
        <v>1044</v>
      </c>
      <c r="C246" s="1073">
        <v>4010</v>
      </c>
      <c r="D246" s="1073">
        <v>3960</v>
      </c>
      <c r="E246" s="1073">
        <v>4130</v>
      </c>
      <c r="F246" s="1091">
        <v>840</v>
      </c>
      <c r="H246" s="1098"/>
    </row>
    <row r="247" spans="1:8" s="1067" customFormat="1" ht="14.25" customHeight="1" thickBot="1">
      <c r="A247" s="1079" t="s">
        <v>1381</v>
      </c>
      <c r="B247" s="1073" t="s">
        <v>1383</v>
      </c>
      <c r="C247" s="1073">
        <v>3170</v>
      </c>
      <c r="D247" s="1073">
        <v>3140</v>
      </c>
      <c r="E247" s="1073">
        <v>3270</v>
      </c>
      <c r="F247" s="1091">
        <v>640</v>
      </c>
      <c r="H247" s="1098"/>
    </row>
    <row r="248" spans="1:8" s="1067" customFormat="1" ht="14.25" customHeight="1" thickBot="1">
      <c r="A248" s="1079" t="s">
        <v>1381</v>
      </c>
      <c r="B248" s="1073" t="s">
        <v>1384</v>
      </c>
      <c r="C248" s="1073">
        <v>3140</v>
      </c>
      <c r="D248" s="1073">
        <v>3120</v>
      </c>
      <c r="E248" s="1073">
        <v>3240</v>
      </c>
      <c r="F248" s="1091">
        <v>620</v>
      </c>
      <c r="H248" s="1098"/>
    </row>
    <row r="249" spans="1:8" s="1067" customFormat="1" ht="14.25" customHeight="1" thickBot="1">
      <c r="A249" s="1079" t="s">
        <v>1381</v>
      </c>
      <c r="B249" s="1073" t="s">
        <v>1085</v>
      </c>
      <c r="C249" s="1073">
        <v>3200</v>
      </c>
      <c r="D249" s="1073">
        <v>3100</v>
      </c>
      <c r="E249" s="1073">
        <v>3230</v>
      </c>
      <c r="F249" s="1091">
        <v>750</v>
      </c>
      <c r="H249" s="1098"/>
    </row>
    <row r="250" spans="1:8" s="1067" customFormat="1" ht="14.25" customHeight="1" thickBot="1">
      <c r="A250" s="1079" t="s">
        <v>1381</v>
      </c>
      <c r="B250" s="1073" t="s">
        <v>1096</v>
      </c>
      <c r="C250" s="1073">
        <v>4060</v>
      </c>
      <c r="D250" s="1073">
        <v>4000</v>
      </c>
      <c r="E250" s="1073">
        <v>4140</v>
      </c>
      <c r="F250" s="1091">
        <v>790</v>
      </c>
      <c r="H250" s="1098"/>
    </row>
    <row r="251" spans="1:8" s="1067" customFormat="1" ht="14.25" customHeight="1" thickBot="1">
      <c r="A251" s="1079" t="s">
        <v>1381</v>
      </c>
      <c r="B251" s="1073" t="s">
        <v>1107</v>
      </c>
      <c r="C251" s="1073">
        <v>3990</v>
      </c>
      <c r="D251" s="1073">
        <v>3970</v>
      </c>
      <c r="E251" s="1073">
        <v>4110</v>
      </c>
      <c r="F251" s="1091">
        <v>730</v>
      </c>
      <c r="H251" s="1098"/>
    </row>
    <row r="252" spans="1:8" s="1067" customFormat="1" ht="14.25" customHeight="1" thickBot="1">
      <c r="A252" s="1079" t="s">
        <v>1381</v>
      </c>
      <c r="B252" s="1073" t="s">
        <v>1118</v>
      </c>
      <c r="C252" s="1073">
        <v>3560</v>
      </c>
      <c r="D252" s="1073">
        <v>3530</v>
      </c>
      <c r="E252" s="1073">
        <v>3650</v>
      </c>
      <c r="F252" s="1091">
        <v>750</v>
      </c>
      <c r="H252" s="1098"/>
    </row>
    <row r="253" spans="1:8" s="1067" customFormat="1" ht="14.25" customHeight="1" thickBot="1">
      <c r="A253" s="1079" t="s">
        <v>1381</v>
      </c>
      <c r="B253" s="1073" t="s">
        <v>1130</v>
      </c>
      <c r="C253" s="1073">
        <v>3780</v>
      </c>
      <c r="D253" s="1073">
        <v>3750</v>
      </c>
      <c r="E253" s="1073">
        <v>3870</v>
      </c>
      <c r="F253" s="1091">
        <v>770</v>
      </c>
      <c r="H253" s="1098"/>
    </row>
    <row r="254" spans="1:8" s="1067" customFormat="1" ht="14.25" customHeight="1" thickBot="1">
      <c r="A254" s="1079" t="s">
        <v>1381</v>
      </c>
      <c r="B254" s="1073" t="s">
        <v>1140</v>
      </c>
      <c r="C254" s="1101"/>
      <c r="D254" s="1101"/>
      <c r="E254" s="1101"/>
      <c r="F254" s="1091">
        <v>740</v>
      </c>
      <c r="H254" s="1098"/>
    </row>
    <row r="255" spans="1:8" s="1067" customFormat="1" ht="14.25" customHeight="1" thickBot="1">
      <c r="A255" s="1079" t="s">
        <v>1381</v>
      </c>
      <c r="B255" s="1073" t="s">
        <v>1150</v>
      </c>
      <c r="C255" s="1101"/>
      <c r="D255" s="1101"/>
      <c r="E255" s="1101"/>
      <c r="F255" s="1091">
        <v>760</v>
      </c>
      <c r="H255" s="1098"/>
    </row>
    <row r="256" spans="1:8" s="1067" customFormat="1" ht="14.25" customHeight="1" thickBot="1">
      <c r="A256" s="1079" t="s">
        <v>1381</v>
      </c>
      <c r="B256" s="1073" t="s">
        <v>1160</v>
      </c>
      <c r="C256" s="1073">
        <v>3760</v>
      </c>
      <c r="D256" s="1073">
        <v>3730</v>
      </c>
      <c r="E256" s="1073">
        <v>3870</v>
      </c>
      <c r="F256" s="1091">
        <v>830</v>
      </c>
      <c r="H256" s="1098"/>
    </row>
    <row r="257" spans="1:8" s="1067" customFormat="1" ht="14.25" customHeight="1" thickBot="1">
      <c r="A257" s="1079" t="s">
        <v>1381</v>
      </c>
      <c r="B257" s="1073" t="s">
        <v>1170</v>
      </c>
      <c r="C257" s="1073">
        <v>3570</v>
      </c>
      <c r="D257" s="1073">
        <v>3540</v>
      </c>
      <c r="E257" s="1073">
        <v>3650</v>
      </c>
      <c r="F257" s="1091">
        <v>790</v>
      </c>
      <c r="H257" s="1098"/>
    </row>
    <row r="258" spans="1:8" s="1067" customFormat="1" ht="14.25" customHeight="1" thickBot="1">
      <c r="A258" s="1079" t="s">
        <v>1381</v>
      </c>
      <c r="B258" s="1073" t="s">
        <v>1180</v>
      </c>
      <c r="C258" s="1073">
        <v>3410</v>
      </c>
      <c r="D258" s="1073">
        <v>3380</v>
      </c>
      <c r="E258" s="1073">
        <v>3500</v>
      </c>
      <c r="F258" s="1091">
        <v>830</v>
      </c>
      <c r="H258" s="1098"/>
    </row>
    <row r="259" spans="1:8" s="1067" customFormat="1" ht="14.25" customHeight="1" thickBot="1">
      <c r="A259" s="1079" t="s">
        <v>1381</v>
      </c>
      <c r="B259" s="1073" t="s">
        <v>1190</v>
      </c>
      <c r="C259" s="1073">
        <v>3870</v>
      </c>
      <c r="D259" s="1073">
        <v>3840</v>
      </c>
      <c r="E259" s="1073">
        <v>3970</v>
      </c>
      <c r="F259" s="1091">
        <v>830</v>
      </c>
      <c r="H259" s="1098"/>
    </row>
    <row r="260" spans="1:8" s="1067" customFormat="1" ht="14.25" customHeight="1" thickBot="1">
      <c r="A260" s="1079" t="s">
        <v>1381</v>
      </c>
      <c r="B260" s="1073" t="s">
        <v>1200</v>
      </c>
      <c r="C260" s="1073">
        <v>3700</v>
      </c>
      <c r="D260" s="1073">
        <v>3660</v>
      </c>
      <c r="E260" s="1073">
        <v>3810</v>
      </c>
      <c r="F260" s="1091">
        <v>790</v>
      </c>
      <c r="H260" s="1098"/>
    </row>
    <row r="261" spans="1:8" s="1067" customFormat="1" ht="14.25" customHeight="1" thickBot="1">
      <c r="A261" s="1079" t="s">
        <v>1381</v>
      </c>
      <c r="B261" s="1073" t="s">
        <v>1210</v>
      </c>
      <c r="C261" s="1073">
        <v>3470</v>
      </c>
      <c r="D261" s="1073">
        <v>3430</v>
      </c>
      <c r="E261" s="1073">
        <v>3640</v>
      </c>
      <c r="F261" s="1091">
        <v>760</v>
      </c>
      <c r="H261" s="1098"/>
    </row>
    <row r="262" spans="1:8" s="1067" customFormat="1" ht="14.25" customHeight="1" thickBot="1">
      <c r="A262" s="1079" t="s">
        <v>1381</v>
      </c>
      <c r="B262" s="1073" t="s">
        <v>1220</v>
      </c>
      <c r="C262" s="1073">
        <v>3510</v>
      </c>
      <c r="D262" s="1073">
        <v>3470</v>
      </c>
      <c r="E262" s="1073">
        <v>3680</v>
      </c>
      <c r="F262" s="1100"/>
      <c r="H262" s="1098"/>
    </row>
    <row r="263" spans="1:8" s="1067" customFormat="1" ht="14.25" customHeight="1" thickBot="1">
      <c r="A263" s="1079" t="s">
        <v>1381</v>
      </c>
      <c r="B263" s="1073" t="s">
        <v>1230</v>
      </c>
      <c r="C263" s="1073">
        <v>3960</v>
      </c>
      <c r="D263" s="1073">
        <v>3930</v>
      </c>
      <c r="E263" s="1073">
        <v>4070</v>
      </c>
      <c r="F263" s="1091">
        <v>830</v>
      </c>
      <c r="H263" s="1098"/>
    </row>
    <row r="264" spans="1:8" s="1067" customFormat="1" ht="14.25" customHeight="1" thickBot="1">
      <c r="A264" s="1079" t="s">
        <v>1381</v>
      </c>
      <c r="B264" s="1073" t="s">
        <v>1239</v>
      </c>
      <c r="C264" s="1073">
        <v>4010</v>
      </c>
      <c r="D264" s="1073">
        <v>3980</v>
      </c>
      <c r="E264" s="1073">
        <v>4150</v>
      </c>
      <c r="F264" s="1091">
        <v>760</v>
      </c>
      <c r="H264" s="1098"/>
    </row>
    <row r="265" spans="1:8" s="1067" customFormat="1" ht="14.25" customHeight="1" thickBot="1">
      <c r="A265" s="1079" t="s">
        <v>1381</v>
      </c>
      <c r="B265" s="1073" t="s">
        <v>1248</v>
      </c>
      <c r="C265" s="1073">
        <v>3910</v>
      </c>
      <c r="D265" s="1073">
        <v>3890</v>
      </c>
      <c r="E265" s="1073">
        <v>4040</v>
      </c>
      <c r="F265" s="1091">
        <v>780</v>
      </c>
      <c r="H265" s="1098"/>
    </row>
    <row r="266" spans="1:8" s="1067" customFormat="1" ht="14.25" customHeight="1" thickBot="1">
      <c r="A266" s="1079" t="s">
        <v>1381</v>
      </c>
      <c r="B266" s="1073" t="s">
        <v>1256</v>
      </c>
      <c r="C266" s="1073">
        <v>3930</v>
      </c>
      <c r="D266" s="1073">
        <v>3900</v>
      </c>
      <c r="E266" s="1073">
        <v>4080</v>
      </c>
      <c r="F266" s="1091">
        <v>770</v>
      </c>
      <c r="H266" s="1098"/>
    </row>
    <row r="267" spans="1:8" s="1067" customFormat="1" ht="14.25" customHeight="1" thickBot="1">
      <c r="A267" s="1079" t="s">
        <v>1381</v>
      </c>
      <c r="B267" s="1073" t="s">
        <v>1263</v>
      </c>
      <c r="C267" s="1073">
        <v>3800</v>
      </c>
      <c r="D267" s="1073">
        <v>3780</v>
      </c>
      <c r="E267" s="1073">
        <v>3930</v>
      </c>
      <c r="F267" s="1100"/>
      <c r="H267" s="1098"/>
    </row>
    <row r="268" spans="1:8" s="1067" customFormat="1" ht="14.25" customHeight="1" thickBot="1">
      <c r="A268" s="1079" t="s">
        <v>1381</v>
      </c>
      <c r="B268" s="1073" t="s">
        <v>1270</v>
      </c>
      <c r="C268" s="1073">
        <v>3460</v>
      </c>
      <c r="D268" s="1073">
        <v>3430</v>
      </c>
      <c r="E268" s="1073">
        <v>3560</v>
      </c>
      <c r="F268" s="1091">
        <v>840</v>
      </c>
      <c r="H268" s="1098"/>
    </row>
    <row r="269" spans="1:8" s="1067" customFormat="1" ht="14.25" customHeight="1" thickBot="1">
      <c r="A269" s="1079" t="s">
        <v>1381</v>
      </c>
      <c r="B269" s="1073" t="s">
        <v>1277</v>
      </c>
      <c r="C269" s="1073">
        <v>3210</v>
      </c>
      <c r="D269" s="1073">
        <v>3190</v>
      </c>
      <c r="E269" s="1073">
        <v>3310</v>
      </c>
      <c r="F269" s="1091">
        <v>730</v>
      </c>
      <c r="H269" s="1098"/>
    </row>
    <row r="270" spans="1:8" s="1067" customFormat="1" ht="14.25" customHeight="1" thickBot="1">
      <c r="A270" s="1079" t="s">
        <v>1381</v>
      </c>
      <c r="B270" s="1073" t="s">
        <v>1284</v>
      </c>
      <c r="C270" s="1073">
        <v>3240</v>
      </c>
      <c r="D270" s="1073">
        <v>3210</v>
      </c>
      <c r="E270" s="1073">
        <v>3390</v>
      </c>
      <c r="F270" s="1091">
        <v>820</v>
      </c>
      <c r="H270" s="1098"/>
    </row>
    <row r="271" spans="1:8" s="1067" customFormat="1" ht="14.25" customHeight="1" thickBot="1">
      <c r="A271" s="1079" t="s">
        <v>1381</v>
      </c>
      <c r="B271" s="1073" t="s">
        <v>1291</v>
      </c>
      <c r="C271" s="1073">
        <v>3300</v>
      </c>
      <c r="D271" s="1073">
        <v>3270</v>
      </c>
      <c r="E271" s="1073">
        <v>3380</v>
      </c>
      <c r="F271" s="1091">
        <v>750</v>
      </c>
      <c r="H271" s="1098"/>
    </row>
    <row r="272" spans="1:8" s="1067" customFormat="1" ht="14.25" customHeight="1" thickBot="1">
      <c r="A272" s="1079" t="s">
        <v>1381</v>
      </c>
      <c r="B272" s="1073" t="s">
        <v>1298</v>
      </c>
      <c r="C272" s="1101"/>
      <c r="D272" s="1101"/>
      <c r="E272" s="1101"/>
      <c r="F272" s="1091">
        <v>740</v>
      </c>
      <c r="H272" s="1098"/>
    </row>
    <row r="273" spans="1:8" s="1067" customFormat="1" ht="14.25" customHeight="1" thickBot="1">
      <c r="A273" s="1079" t="s">
        <v>1381</v>
      </c>
      <c r="B273" s="1073" t="s">
        <v>1302</v>
      </c>
      <c r="C273" s="1073">
        <v>3130</v>
      </c>
      <c r="D273" s="1073">
        <v>3100</v>
      </c>
      <c r="E273" s="1073">
        <v>3230</v>
      </c>
      <c r="F273" s="1091">
        <v>700</v>
      </c>
      <c r="H273" s="1098"/>
    </row>
    <row r="274" spans="1:8" s="1067" customFormat="1" ht="14.25" customHeight="1" thickBot="1">
      <c r="A274" s="1079" t="s">
        <v>1381</v>
      </c>
      <c r="B274" s="1073" t="s">
        <v>1307</v>
      </c>
      <c r="C274" s="1073">
        <v>3460</v>
      </c>
      <c r="D274" s="1073">
        <v>3430</v>
      </c>
      <c r="E274" s="1073">
        <v>3560</v>
      </c>
      <c r="F274" s="1091">
        <v>690</v>
      </c>
      <c r="H274" s="1098"/>
    </row>
    <row r="275" spans="1:8" s="1067" customFormat="1" ht="14.25" customHeight="1" thickBot="1">
      <c r="A275" s="1079" t="s">
        <v>1381</v>
      </c>
      <c r="B275" s="1073" t="s">
        <v>1312</v>
      </c>
      <c r="C275" s="1073">
        <v>4040</v>
      </c>
      <c r="D275" s="1073">
        <v>4020</v>
      </c>
      <c r="E275" s="1073">
        <v>4160</v>
      </c>
      <c r="F275" s="1091">
        <v>820</v>
      </c>
      <c r="H275" s="1098"/>
    </row>
    <row r="276" spans="1:8" s="1067" customFormat="1" ht="14.25" customHeight="1" thickBot="1">
      <c r="A276" s="1079" t="s">
        <v>1381</v>
      </c>
      <c r="B276" s="1073" t="s">
        <v>1317</v>
      </c>
      <c r="C276" s="1073">
        <v>3270</v>
      </c>
      <c r="D276" s="1073">
        <v>3240</v>
      </c>
      <c r="E276" s="1073">
        <v>3350</v>
      </c>
      <c r="F276" s="1091">
        <v>680</v>
      </c>
      <c r="H276" s="1098"/>
    </row>
    <row r="277" spans="1:8" s="1067" customFormat="1" ht="14.25" customHeight="1" thickBot="1">
      <c r="A277" s="1079" t="s">
        <v>1381</v>
      </c>
      <c r="B277" s="1073" t="s">
        <v>1322</v>
      </c>
      <c r="C277" s="1073">
        <v>2930</v>
      </c>
      <c r="D277" s="1073">
        <v>2900</v>
      </c>
      <c r="E277" s="1073">
        <v>3000</v>
      </c>
      <c r="F277" s="1091">
        <v>640</v>
      </c>
      <c r="H277" s="1098"/>
    </row>
    <row r="278" spans="1:8" s="1067" customFormat="1" ht="14.25" customHeight="1" thickBot="1">
      <c r="A278" s="1079" t="s">
        <v>1381</v>
      </c>
      <c r="B278" s="1073" t="s">
        <v>1327</v>
      </c>
      <c r="C278" s="1073">
        <v>4080</v>
      </c>
      <c r="D278" s="1073">
        <v>4030</v>
      </c>
      <c r="E278" s="1073">
        <v>4140</v>
      </c>
      <c r="F278" s="1091">
        <v>850</v>
      </c>
      <c r="H278" s="1098"/>
    </row>
    <row r="279" spans="1:8" s="1067" customFormat="1" ht="14.25" customHeight="1" thickBot="1">
      <c r="A279" s="1079" t="s">
        <v>1381</v>
      </c>
      <c r="B279" s="1073" t="s">
        <v>1331</v>
      </c>
      <c r="C279" s="1073"/>
      <c r="D279" s="1073"/>
      <c r="E279" s="1073"/>
      <c r="F279" s="1091">
        <v>760</v>
      </c>
      <c r="H279" s="1098"/>
    </row>
    <row r="280" spans="1:8" s="1067" customFormat="1" ht="14.25" customHeight="1" thickBot="1">
      <c r="A280" s="1079" t="s">
        <v>1381</v>
      </c>
      <c r="B280" s="1073" t="s">
        <v>1335</v>
      </c>
      <c r="C280" s="1073"/>
      <c r="D280" s="1073"/>
      <c r="E280" s="1073"/>
      <c r="F280" s="1091">
        <v>760</v>
      </c>
      <c r="H280" s="1098"/>
    </row>
    <row r="281" spans="1:8" s="1067" customFormat="1" ht="14.25" customHeight="1" thickBot="1">
      <c r="A281" s="1079" t="s">
        <v>1381</v>
      </c>
      <c r="B281" s="1073" t="s">
        <v>1339</v>
      </c>
      <c r="C281" s="1073"/>
      <c r="D281" s="1073"/>
      <c r="E281" s="1073"/>
      <c r="F281" s="1091">
        <v>780</v>
      </c>
      <c r="H281" s="1098"/>
    </row>
    <row r="282" spans="1:8" s="1067" customFormat="1" ht="14.25" customHeight="1" thickBot="1">
      <c r="A282" s="1079" t="s">
        <v>1381</v>
      </c>
      <c r="B282" s="1073" t="s">
        <v>1343</v>
      </c>
      <c r="C282" s="1073"/>
      <c r="D282" s="1073"/>
      <c r="E282" s="1073"/>
      <c r="F282" s="1091">
        <v>730</v>
      </c>
      <c r="H282" s="1098"/>
    </row>
    <row r="283" spans="1:8" s="1067" customFormat="1" ht="14.25" customHeight="1" thickBot="1">
      <c r="A283" s="1079" t="s">
        <v>1381</v>
      </c>
      <c r="B283" s="1073" t="s">
        <v>1347</v>
      </c>
      <c r="C283" s="1073"/>
      <c r="D283" s="1073"/>
      <c r="E283" s="1073"/>
      <c r="F283" s="1091">
        <v>770</v>
      </c>
      <c r="H283" s="1098"/>
    </row>
    <row r="284" spans="1:8" s="1067" customFormat="1" ht="14.25" customHeight="1" thickBot="1">
      <c r="A284" s="1079" t="s">
        <v>1381</v>
      </c>
      <c r="B284" s="1073" t="s">
        <v>1350</v>
      </c>
      <c r="C284" s="1073"/>
      <c r="D284" s="1073"/>
      <c r="E284" s="1073"/>
      <c r="F284" s="1091">
        <v>640</v>
      </c>
      <c r="H284" s="1098"/>
    </row>
    <row r="285" spans="1:8" s="1067" customFormat="1" ht="14.25" customHeight="1" thickBot="1">
      <c r="A285" s="1079" t="s">
        <v>1381</v>
      </c>
      <c r="B285" s="1073" t="s">
        <v>1353</v>
      </c>
      <c r="C285" s="1073"/>
      <c r="D285" s="1073"/>
      <c r="E285" s="1073"/>
      <c r="F285" s="1091">
        <v>640</v>
      </c>
      <c r="H285" s="1098"/>
    </row>
    <row r="286" spans="1:8" s="1067" customFormat="1" ht="14.25" customHeight="1" thickBot="1">
      <c r="A286" s="1079" t="s">
        <v>1381</v>
      </c>
      <c r="B286" s="1073" t="s">
        <v>1356</v>
      </c>
      <c r="C286" s="1073"/>
      <c r="D286" s="1073"/>
      <c r="E286" s="1073"/>
      <c r="F286" s="1091">
        <v>850</v>
      </c>
      <c r="H286" s="1098"/>
    </row>
    <row r="287" spans="1:8" s="1067" customFormat="1" ht="14.25" customHeight="1" thickBot="1">
      <c r="A287" s="1079" t="s">
        <v>1381</v>
      </c>
      <c r="B287" s="1073" t="s">
        <v>1359</v>
      </c>
      <c r="C287" s="1073"/>
      <c r="D287" s="1073"/>
      <c r="E287" s="1073"/>
      <c r="F287" s="1091">
        <v>760</v>
      </c>
      <c r="H287" s="1098"/>
    </row>
    <row r="288" spans="1:8" s="1067" customFormat="1" ht="14.25" customHeight="1" thickBot="1">
      <c r="A288" s="1079" t="s">
        <v>1381</v>
      </c>
      <c r="B288" s="1073" t="s">
        <v>1362</v>
      </c>
      <c r="C288" s="1073"/>
      <c r="D288" s="1073"/>
      <c r="E288" s="1073"/>
      <c r="F288" s="1091">
        <v>830</v>
      </c>
      <c r="H288" s="1098"/>
    </row>
    <row r="289" spans="1:8" s="1067" customFormat="1" ht="14.25" customHeight="1" thickBot="1">
      <c r="A289" s="1079" t="s">
        <v>1381</v>
      </c>
      <c r="B289" s="1089" t="s">
        <v>1365</v>
      </c>
      <c r="C289" s="1089"/>
      <c r="D289" s="1089"/>
      <c r="E289" s="1089"/>
      <c r="F289" s="1099">
        <v>680</v>
      </c>
      <c r="H289" s="1098"/>
    </row>
    <row r="290" spans="1:8" s="1067" customFormat="1" ht="14.25" customHeight="1" thickBot="1">
      <c r="A290" s="1079" t="s">
        <v>1385</v>
      </c>
      <c r="B290" s="1080" t="s">
        <v>1386</v>
      </c>
      <c r="C290" s="1080">
        <v>2770</v>
      </c>
      <c r="D290" s="1080">
        <v>2740</v>
      </c>
      <c r="E290" s="1080">
        <v>2720</v>
      </c>
      <c r="F290" s="1102"/>
      <c r="H290" s="1098"/>
    </row>
    <row r="291" spans="1:8" s="1067" customFormat="1" ht="14.25" customHeight="1" thickBot="1">
      <c r="A291" s="1079" t="s">
        <v>1385</v>
      </c>
      <c r="B291" s="1073" t="s">
        <v>1045</v>
      </c>
      <c r="C291" s="1073">
        <v>2670</v>
      </c>
      <c r="D291" s="1073">
        <v>2640</v>
      </c>
      <c r="E291" s="1073">
        <v>2620</v>
      </c>
      <c r="F291" s="1100"/>
      <c r="H291" s="1098"/>
    </row>
    <row r="292" spans="1:8" s="1067" customFormat="1" ht="14.25" customHeight="1" thickBot="1">
      <c r="A292" s="1079" t="s">
        <v>1385</v>
      </c>
      <c r="B292" s="1073" t="s">
        <v>1387</v>
      </c>
      <c r="C292" s="1073">
        <v>2180</v>
      </c>
      <c r="D292" s="1073">
        <v>2140</v>
      </c>
      <c r="E292" s="1073">
        <v>2120</v>
      </c>
      <c r="F292" s="1091">
        <v>490</v>
      </c>
      <c r="H292" s="1098"/>
    </row>
    <row r="293" spans="1:8" s="1067" customFormat="1" ht="14.25" customHeight="1" thickBot="1">
      <c r="A293" s="1079" t="s">
        <v>1385</v>
      </c>
      <c r="B293" s="1073" t="s">
        <v>1388</v>
      </c>
      <c r="C293" s="1073"/>
      <c r="D293" s="1073"/>
      <c r="E293" s="1073"/>
      <c r="F293" s="1091">
        <v>470</v>
      </c>
      <c r="H293" s="1098"/>
    </row>
    <row r="294" spans="1:8" s="1067" customFormat="1" ht="14.25" customHeight="1" thickBot="1">
      <c r="A294" s="1079" t="s">
        <v>1385</v>
      </c>
      <c r="B294" s="1073" t="s">
        <v>1389</v>
      </c>
      <c r="C294" s="1073">
        <v>2730</v>
      </c>
      <c r="D294" s="1073">
        <v>2700</v>
      </c>
      <c r="E294" s="1073">
        <v>2680</v>
      </c>
      <c r="F294" s="1091">
        <v>490</v>
      </c>
      <c r="H294" s="1098"/>
    </row>
    <row r="295" spans="1:8" s="1067" customFormat="1" ht="14.25" customHeight="1" thickBot="1">
      <c r="A295" s="1079" t="s">
        <v>1385</v>
      </c>
      <c r="B295" s="1073" t="s">
        <v>1086</v>
      </c>
      <c r="C295" s="1073">
        <v>2380</v>
      </c>
      <c r="D295" s="1073">
        <v>2350</v>
      </c>
      <c r="E295" s="1073">
        <v>2330</v>
      </c>
      <c r="F295" s="1091">
        <v>530</v>
      </c>
      <c r="H295" s="1098"/>
    </row>
    <row r="296" spans="1:8" s="1067" customFormat="1" ht="14.25" customHeight="1" thickBot="1">
      <c r="A296" s="1079" t="s">
        <v>1385</v>
      </c>
      <c r="B296" s="1073" t="s">
        <v>1097</v>
      </c>
      <c r="C296" s="1073">
        <v>2650</v>
      </c>
      <c r="D296" s="1073">
        <v>2620</v>
      </c>
      <c r="E296" s="1073">
        <v>2590</v>
      </c>
      <c r="F296" s="1091">
        <v>590</v>
      </c>
      <c r="H296" s="1098"/>
    </row>
    <row r="297" spans="1:8" s="1067" customFormat="1" ht="14.25" customHeight="1" thickBot="1">
      <c r="A297" s="1079" t="s">
        <v>1385</v>
      </c>
      <c r="B297" s="1073" t="s">
        <v>1108</v>
      </c>
      <c r="C297" s="1073">
        <v>2700</v>
      </c>
      <c r="D297" s="1073">
        <v>2670</v>
      </c>
      <c r="E297" s="1073">
        <v>2650</v>
      </c>
      <c r="F297" s="1091">
        <v>630</v>
      </c>
      <c r="H297" s="1098"/>
    </row>
    <row r="298" spans="1:8" s="1067" customFormat="1" ht="14.25" customHeight="1" thickBot="1">
      <c r="A298" s="1079" t="s">
        <v>1385</v>
      </c>
      <c r="B298" s="1073" t="s">
        <v>1119</v>
      </c>
      <c r="C298" s="1073">
        <v>2650</v>
      </c>
      <c r="D298" s="1073">
        <v>2620</v>
      </c>
      <c r="E298" s="1073">
        <v>2590</v>
      </c>
      <c r="F298" s="1091">
        <v>640</v>
      </c>
      <c r="H298" s="1098"/>
    </row>
    <row r="299" spans="1:8" s="1067" customFormat="1" ht="14.25" customHeight="1" thickBot="1">
      <c r="A299" s="1079" t="s">
        <v>1385</v>
      </c>
      <c r="B299" s="1073" t="s">
        <v>1131</v>
      </c>
      <c r="C299" s="1073">
        <v>2500</v>
      </c>
      <c r="D299" s="1073">
        <v>2480</v>
      </c>
      <c r="E299" s="1073">
        <v>2460</v>
      </c>
      <c r="F299" s="1100"/>
      <c r="H299" s="1098"/>
    </row>
    <row r="300" spans="1:8" s="1067" customFormat="1" ht="14.25" customHeight="1" thickBot="1">
      <c r="A300" s="1079" t="s">
        <v>1385</v>
      </c>
      <c r="B300" s="1073" t="s">
        <v>1141</v>
      </c>
      <c r="C300" s="1073">
        <v>2760</v>
      </c>
      <c r="D300" s="1073">
        <v>2730</v>
      </c>
      <c r="E300" s="1073">
        <v>2700</v>
      </c>
      <c r="F300" s="1091">
        <v>630</v>
      </c>
      <c r="H300" s="1098"/>
    </row>
    <row r="301" spans="1:8" s="1067" customFormat="1" ht="14.25" customHeight="1" thickBot="1">
      <c r="A301" s="1079" t="s">
        <v>1385</v>
      </c>
      <c r="B301" s="1073" t="s">
        <v>1151</v>
      </c>
      <c r="C301" s="1073">
        <v>2510</v>
      </c>
      <c r="D301" s="1073">
        <v>2480</v>
      </c>
      <c r="E301" s="1073">
        <v>2460</v>
      </c>
      <c r="F301" s="1100"/>
      <c r="H301" s="1098"/>
    </row>
    <row r="302" spans="1:8" s="1067" customFormat="1" ht="14.25" customHeight="1" thickBot="1">
      <c r="A302" s="1079" t="s">
        <v>1385</v>
      </c>
      <c r="B302" s="1073" t="s">
        <v>1161</v>
      </c>
      <c r="C302" s="1073">
        <v>2480</v>
      </c>
      <c r="D302" s="1073">
        <v>2450</v>
      </c>
      <c r="E302" s="1073">
        <v>2420</v>
      </c>
      <c r="F302" s="1091">
        <v>600</v>
      </c>
      <c r="H302" s="1098"/>
    </row>
    <row r="303" spans="1:8" s="1067" customFormat="1" ht="14.25" customHeight="1" thickBot="1">
      <c r="A303" s="1079" t="s">
        <v>1385</v>
      </c>
      <c r="B303" s="1073" t="s">
        <v>1171</v>
      </c>
      <c r="C303" s="1073">
        <v>2270</v>
      </c>
      <c r="D303" s="1073">
        <v>2240</v>
      </c>
      <c r="E303" s="1073">
        <v>2210</v>
      </c>
      <c r="F303" s="1091">
        <v>540</v>
      </c>
      <c r="H303" s="1098"/>
    </row>
    <row r="304" spans="1:8" s="1067" customFormat="1" ht="14.25" customHeight="1" thickBot="1">
      <c r="A304" s="1079" t="s">
        <v>1385</v>
      </c>
      <c r="B304" s="1073" t="s">
        <v>1181</v>
      </c>
      <c r="C304" s="1073">
        <v>2310</v>
      </c>
      <c r="D304" s="1073">
        <v>2290</v>
      </c>
      <c r="E304" s="1073">
        <v>2270</v>
      </c>
      <c r="F304" s="1100"/>
      <c r="H304" s="1098"/>
    </row>
    <row r="305" spans="1:8" s="1067" customFormat="1" ht="14.25" customHeight="1" thickBot="1">
      <c r="A305" s="1079" t="s">
        <v>1385</v>
      </c>
      <c r="B305" s="1073" t="s">
        <v>1191</v>
      </c>
      <c r="C305" s="1073">
        <v>2490</v>
      </c>
      <c r="D305" s="1073">
        <v>2470</v>
      </c>
      <c r="E305" s="1073">
        <v>2440</v>
      </c>
      <c r="F305" s="1091">
        <v>560</v>
      </c>
      <c r="H305" s="1098"/>
    </row>
    <row r="306" spans="1:8" s="1067" customFormat="1" ht="14.25" customHeight="1" thickBot="1">
      <c r="A306" s="1079" t="s">
        <v>1385</v>
      </c>
      <c r="B306" s="1073" t="s">
        <v>1201</v>
      </c>
      <c r="C306" s="1073">
        <v>2420</v>
      </c>
      <c r="D306" s="1073">
        <v>2400</v>
      </c>
      <c r="E306" s="1073">
        <v>2380</v>
      </c>
      <c r="F306" s="1100"/>
      <c r="H306" s="1098"/>
    </row>
    <row r="307" spans="1:8" s="1067" customFormat="1" ht="14.25" customHeight="1" thickBot="1">
      <c r="A307" s="1079" t="s">
        <v>1385</v>
      </c>
      <c r="B307" s="1073" t="s">
        <v>1211</v>
      </c>
      <c r="C307" s="1073">
        <v>2770</v>
      </c>
      <c r="D307" s="1073">
        <v>2740</v>
      </c>
      <c r="E307" s="1073">
        <v>2710</v>
      </c>
      <c r="F307" s="1091">
        <v>650</v>
      </c>
      <c r="H307" s="1098"/>
    </row>
    <row r="308" spans="1:8" s="1067" customFormat="1" ht="14.25" customHeight="1" thickBot="1">
      <c r="A308" s="1079" t="s">
        <v>1385</v>
      </c>
      <c r="B308" s="1073" t="s">
        <v>1221</v>
      </c>
      <c r="C308" s="1073">
        <v>2610</v>
      </c>
      <c r="D308" s="1073">
        <v>2580</v>
      </c>
      <c r="E308" s="1073">
        <v>2550</v>
      </c>
      <c r="F308" s="1091">
        <v>580</v>
      </c>
      <c r="H308" s="1098"/>
    </row>
    <row r="309" spans="1:8" s="1067" customFormat="1" ht="14.25" customHeight="1" thickBot="1">
      <c r="A309" s="1079" t="s">
        <v>1385</v>
      </c>
      <c r="B309" s="1073" t="s">
        <v>1231</v>
      </c>
      <c r="C309" s="1073">
        <v>2690</v>
      </c>
      <c r="D309" s="1073">
        <v>2670</v>
      </c>
      <c r="E309" s="1073">
        <v>2650</v>
      </c>
      <c r="F309" s="1100"/>
      <c r="H309" s="1098"/>
    </row>
    <row r="310" spans="1:8" s="1067" customFormat="1" ht="14.25" customHeight="1" thickBot="1">
      <c r="A310" s="1079" t="s">
        <v>1385</v>
      </c>
      <c r="B310" s="1073" t="s">
        <v>1240</v>
      </c>
      <c r="C310" s="1073">
        <v>2360</v>
      </c>
      <c r="D310" s="1073">
        <v>2330</v>
      </c>
      <c r="E310" s="1073">
        <v>2310</v>
      </c>
      <c r="F310" s="1091">
        <v>560</v>
      </c>
      <c r="H310" s="1098"/>
    </row>
    <row r="311" spans="1:8" s="1067" customFormat="1" ht="14.25" customHeight="1" thickBot="1">
      <c r="A311" s="1079" t="s">
        <v>1385</v>
      </c>
      <c r="B311" s="1073" t="s">
        <v>1249</v>
      </c>
      <c r="C311" s="1073">
        <v>1970</v>
      </c>
      <c r="D311" s="1073">
        <v>1950</v>
      </c>
      <c r="E311" s="1073">
        <v>1920</v>
      </c>
      <c r="F311" s="1091">
        <v>470</v>
      </c>
      <c r="H311" s="1098"/>
    </row>
    <row r="312" spans="1:8" s="1067" customFormat="1" ht="14.25" customHeight="1" thickBot="1">
      <c r="A312" s="1079" t="s">
        <v>1385</v>
      </c>
      <c r="B312" s="1073" t="s">
        <v>1257</v>
      </c>
      <c r="C312" s="1073">
        <v>2230</v>
      </c>
      <c r="D312" s="1073">
        <v>2200</v>
      </c>
      <c r="E312" s="1073">
        <v>2170</v>
      </c>
      <c r="F312" s="1091">
        <v>460</v>
      </c>
      <c r="H312" s="1098"/>
    </row>
    <row r="313" spans="1:8" s="1067" customFormat="1" ht="14.25" customHeight="1" thickBot="1">
      <c r="A313" s="1079" t="s">
        <v>1385</v>
      </c>
      <c r="B313" s="1073" t="s">
        <v>1264</v>
      </c>
      <c r="C313" s="1073">
        <v>2770</v>
      </c>
      <c r="D313" s="1073">
        <v>2740</v>
      </c>
      <c r="E313" s="1073">
        <v>2710</v>
      </c>
      <c r="F313" s="1091">
        <v>610</v>
      </c>
      <c r="H313" s="1098"/>
    </row>
    <row r="314" spans="1:8" s="1067" customFormat="1" ht="14.25" customHeight="1" thickBot="1">
      <c r="A314" s="1079" t="s">
        <v>1385</v>
      </c>
      <c r="B314" s="1073" t="s">
        <v>1271</v>
      </c>
      <c r="C314" s="1073"/>
      <c r="D314" s="1073"/>
      <c r="E314" s="1073"/>
      <c r="F314" s="1091">
        <v>490</v>
      </c>
      <c r="H314" s="1098"/>
    </row>
    <row r="315" spans="1:8" s="1067" customFormat="1" ht="14.25" customHeight="1" thickBot="1">
      <c r="A315" s="1079" t="s">
        <v>1385</v>
      </c>
      <c r="B315" s="1073" t="s">
        <v>1278</v>
      </c>
      <c r="C315" s="1073"/>
      <c r="D315" s="1073"/>
      <c r="E315" s="1073"/>
      <c r="F315" s="1091">
        <v>520</v>
      </c>
      <c r="H315" s="1098"/>
    </row>
    <row r="316" spans="1:8" s="1067" customFormat="1" ht="14.25" customHeight="1" thickBot="1">
      <c r="A316" s="1079" t="s">
        <v>1385</v>
      </c>
      <c r="B316" s="1089" t="s">
        <v>1285</v>
      </c>
      <c r="C316" s="1089"/>
      <c r="D316" s="1089"/>
      <c r="E316" s="1089"/>
      <c r="F316" s="1099">
        <v>460</v>
      </c>
      <c r="H316" s="1098"/>
    </row>
    <row r="317" spans="1:8" s="1067" customFormat="1" ht="14.25" customHeight="1" thickBot="1">
      <c r="A317" s="1079" t="s">
        <v>882</v>
      </c>
      <c r="B317" s="1080" t="s">
        <v>1390</v>
      </c>
      <c r="C317" s="1080">
        <v>1200</v>
      </c>
      <c r="D317" s="1080">
        <v>1180</v>
      </c>
      <c r="E317" s="1080">
        <v>1160</v>
      </c>
      <c r="F317" s="1081">
        <v>370</v>
      </c>
      <c r="H317" s="1064"/>
    </row>
    <row r="318" spans="1:8" s="1067" customFormat="1" ht="14.25" customHeight="1" thickBot="1">
      <c r="A318" s="1079" t="s">
        <v>882</v>
      </c>
      <c r="B318" s="1073" t="s">
        <v>1391</v>
      </c>
      <c r="C318" s="1073">
        <v>1090</v>
      </c>
      <c r="D318" s="1073">
        <v>1060</v>
      </c>
      <c r="E318" s="1073">
        <v>1040</v>
      </c>
      <c r="F318" s="1100"/>
      <c r="H318" s="1064"/>
    </row>
    <row r="319" spans="1:8" s="1067" customFormat="1" ht="14.25" customHeight="1" thickBot="1">
      <c r="A319" s="1079" t="s">
        <v>882</v>
      </c>
      <c r="B319" s="1073" t="s">
        <v>1392</v>
      </c>
      <c r="C319" s="1073">
        <v>1520</v>
      </c>
      <c r="D319" s="1073">
        <v>1470</v>
      </c>
      <c r="E319" s="1073">
        <v>1440</v>
      </c>
      <c r="F319" s="1091">
        <v>370</v>
      </c>
      <c r="H319" s="1064"/>
    </row>
    <row r="320" spans="1:8" s="1067" customFormat="1" ht="14.25" customHeight="1" thickBot="1">
      <c r="A320" s="1079" t="s">
        <v>882</v>
      </c>
      <c r="B320" s="1073" t="s">
        <v>1073</v>
      </c>
      <c r="C320" s="1073">
        <v>1360</v>
      </c>
      <c r="D320" s="1073">
        <v>1300</v>
      </c>
      <c r="E320" s="1073">
        <v>1270</v>
      </c>
      <c r="F320" s="1100"/>
      <c r="H320" s="1064"/>
    </row>
    <row r="321" spans="1:8" s="1067" customFormat="1" ht="14.25" customHeight="1" thickBot="1">
      <c r="A321" s="1079" t="s">
        <v>882</v>
      </c>
      <c r="B321" s="1073" t="s">
        <v>1087</v>
      </c>
      <c r="C321" s="1073">
        <v>1750</v>
      </c>
      <c r="D321" s="1073">
        <v>1690</v>
      </c>
      <c r="E321" s="1073">
        <v>1660</v>
      </c>
      <c r="F321" s="1100"/>
      <c r="H321" s="1064"/>
    </row>
    <row r="322" spans="1:8" s="1067" customFormat="1" ht="14.25" customHeight="1" thickBot="1">
      <c r="A322" s="1079" t="s">
        <v>882</v>
      </c>
      <c r="B322" s="1073" t="s">
        <v>1098</v>
      </c>
      <c r="C322" s="1073">
        <v>1650</v>
      </c>
      <c r="D322" s="1073">
        <v>1610</v>
      </c>
      <c r="E322" s="1073">
        <v>1580</v>
      </c>
      <c r="F322" s="1091">
        <v>500</v>
      </c>
      <c r="H322" s="1064"/>
    </row>
    <row r="323" spans="1:8" s="1067" customFormat="1" ht="14.25" customHeight="1" thickBot="1">
      <c r="A323" s="1079" t="s">
        <v>882</v>
      </c>
      <c r="B323" s="1073" t="s">
        <v>1109</v>
      </c>
      <c r="C323" s="1073">
        <v>1780</v>
      </c>
      <c r="D323" s="1073">
        <v>1740</v>
      </c>
      <c r="E323" s="1073">
        <v>1720</v>
      </c>
      <c r="F323" s="1100"/>
      <c r="H323" s="1064"/>
    </row>
    <row r="324" spans="1:8" s="1067" customFormat="1" ht="14.25" customHeight="1" thickBot="1">
      <c r="A324" s="1079" t="s">
        <v>882</v>
      </c>
      <c r="B324" s="1073" t="s">
        <v>1120</v>
      </c>
      <c r="C324" s="1073">
        <v>1650</v>
      </c>
      <c r="D324" s="1073">
        <v>1610</v>
      </c>
      <c r="E324" s="1073">
        <v>1580</v>
      </c>
      <c r="F324" s="1100"/>
      <c r="H324" s="1064"/>
    </row>
    <row r="325" spans="1:8" s="1067" customFormat="1" ht="14.25" customHeight="1" thickBot="1">
      <c r="A325" s="1079" t="s">
        <v>882</v>
      </c>
      <c r="B325" s="1073" t="s">
        <v>1132</v>
      </c>
      <c r="C325" s="1073">
        <v>1330</v>
      </c>
      <c r="D325" s="1073">
        <v>1270</v>
      </c>
      <c r="E325" s="1073">
        <v>1240</v>
      </c>
      <c r="F325" s="1091">
        <v>430</v>
      </c>
      <c r="H325" s="1064"/>
    </row>
    <row r="326" spans="1:8" s="1067" customFormat="1" ht="14.25" customHeight="1" thickBot="1">
      <c r="A326" s="1079" t="s">
        <v>882</v>
      </c>
      <c r="B326" s="1073" t="s">
        <v>1142</v>
      </c>
      <c r="C326" s="1073">
        <v>1470</v>
      </c>
      <c r="D326" s="1073">
        <v>1430</v>
      </c>
      <c r="E326" s="1073">
        <v>1400</v>
      </c>
      <c r="F326" s="1100"/>
      <c r="H326" s="1064"/>
    </row>
    <row r="327" spans="1:8" s="1067" customFormat="1" ht="14.25" customHeight="1" thickBot="1">
      <c r="A327" s="1079" t="s">
        <v>882</v>
      </c>
      <c r="B327" s="1073" t="s">
        <v>1152</v>
      </c>
      <c r="C327" s="1073">
        <v>1420</v>
      </c>
      <c r="D327" s="1073">
        <v>1380</v>
      </c>
      <c r="E327" s="1073">
        <v>1360</v>
      </c>
      <c r="F327" s="1091">
        <v>420</v>
      </c>
      <c r="H327" s="1064"/>
    </row>
    <row r="328" spans="1:8" s="1067" customFormat="1" ht="14.25" customHeight="1" thickBot="1">
      <c r="A328" s="1079" t="s">
        <v>882</v>
      </c>
      <c r="B328" s="1073" t="s">
        <v>1162</v>
      </c>
      <c r="C328" s="1073">
        <v>1400</v>
      </c>
      <c r="D328" s="1073">
        <v>1360</v>
      </c>
      <c r="E328" s="1073">
        <v>1330</v>
      </c>
      <c r="F328" s="1091">
        <v>460</v>
      </c>
      <c r="H328" s="1064"/>
    </row>
    <row r="329" spans="1:8" s="1067" customFormat="1" ht="14.25" customHeight="1" thickBot="1">
      <c r="A329" s="1079" t="s">
        <v>882</v>
      </c>
      <c r="B329" s="1073" t="s">
        <v>1172</v>
      </c>
      <c r="C329" s="1073">
        <v>1640</v>
      </c>
      <c r="D329" s="1073">
        <v>1610</v>
      </c>
      <c r="E329" s="1073">
        <v>1580</v>
      </c>
      <c r="F329" s="1091">
        <v>410</v>
      </c>
      <c r="H329" s="1064"/>
    </row>
    <row r="330" spans="1:8" s="1067" customFormat="1" ht="14.25" customHeight="1" thickBot="1">
      <c r="A330" s="1079" t="s">
        <v>882</v>
      </c>
      <c r="B330" s="1073" t="s">
        <v>1182</v>
      </c>
      <c r="C330" s="1073">
        <v>1260</v>
      </c>
      <c r="D330" s="1073">
        <v>1220</v>
      </c>
      <c r="E330" s="1073">
        <v>1200</v>
      </c>
      <c r="F330" s="1100"/>
      <c r="H330" s="1064"/>
    </row>
    <row r="331" spans="1:8" s="1067" customFormat="1" ht="14.25" customHeight="1" thickBot="1">
      <c r="A331" s="1079" t="s">
        <v>882</v>
      </c>
      <c r="B331" s="1073" t="s">
        <v>1192</v>
      </c>
      <c r="C331" s="1073">
        <v>1620</v>
      </c>
      <c r="D331" s="1073">
        <v>1560</v>
      </c>
      <c r="E331" s="1073">
        <v>1530</v>
      </c>
      <c r="F331" s="1091">
        <v>490</v>
      </c>
      <c r="H331" s="1064"/>
    </row>
    <row r="332" spans="1:8" s="1067" customFormat="1" ht="14.25" customHeight="1" thickBot="1">
      <c r="A332" s="1079" t="s">
        <v>882</v>
      </c>
      <c r="B332" s="1073" t="s">
        <v>1202</v>
      </c>
      <c r="C332" s="1073">
        <v>1520</v>
      </c>
      <c r="D332" s="1073">
        <v>1470</v>
      </c>
      <c r="E332" s="1073">
        <v>1440</v>
      </c>
      <c r="F332" s="1091">
        <v>440</v>
      </c>
      <c r="H332" s="1064"/>
    </row>
    <row r="333" spans="1:8" s="1067" customFormat="1" ht="14.25" customHeight="1" thickBot="1">
      <c r="A333" s="1079" t="s">
        <v>882</v>
      </c>
      <c r="B333" s="1073" t="s">
        <v>1212</v>
      </c>
      <c r="C333" s="1073">
        <v>1370</v>
      </c>
      <c r="D333" s="1073">
        <v>1320</v>
      </c>
      <c r="E333" s="1073">
        <v>1300</v>
      </c>
      <c r="F333" s="1091">
        <v>460</v>
      </c>
      <c r="H333" s="1064"/>
    </row>
    <row r="334" spans="1:8" s="1067" customFormat="1" ht="14.25" customHeight="1" thickBot="1">
      <c r="A334" s="1079" t="s">
        <v>882</v>
      </c>
      <c r="B334" s="1073" t="s">
        <v>1222</v>
      </c>
      <c r="C334" s="1073">
        <v>1410</v>
      </c>
      <c r="D334" s="1073">
        <v>1340</v>
      </c>
      <c r="E334" s="1073">
        <v>1310</v>
      </c>
      <c r="F334" s="1091">
        <v>410</v>
      </c>
      <c r="H334" s="1064"/>
    </row>
    <row r="335" spans="1:8" s="1067" customFormat="1" ht="14.25" customHeight="1" thickBot="1">
      <c r="A335" s="1079" t="s">
        <v>882</v>
      </c>
      <c r="B335" s="1073" t="s">
        <v>1232</v>
      </c>
      <c r="C335" s="1073">
        <v>1260</v>
      </c>
      <c r="D335" s="1073">
        <v>1220</v>
      </c>
      <c r="E335" s="1073">
        <v>1200</v>
      </c>
      <c r="F335" s="1100"/>
      <c r="H335" s="1064"/>
    </row>
    <row r="336" spans="1:8" s="1067" customFormat="1" ht="14.25" customHeight="1" thickBot="1">
      <c r="A336" s="1079" t="s">
        <v>882</v>
      </c>
      <c r="B336" s="1073" t="s">
        <v>1241</v>
      </c>
      <c r="C336" s="1073">
        <v>1160</v>
      </c>
      <c r="D336" s="1073">
        <v>1140</v>
      </c>
      <c r="E336" s="1073">
        <v>1120</v>
      </c>
      <c r="F336" s="1091">
        <v>430</v>
      </c>
      <c r="H336" s="1064"/>
    </row>
    <row r="337" spans="1:8" s="1067" customFormat="1" ht="14.25" customHeight="1" thickBot="1">
      <c r="A337" s="1079" t="s">
        <v>882</v>
      </c>
      <c r="B337" s="1089" t="s">
        <v>1250</v>
      </c>
      <c r="C337" s="1089"/>
      <c r="D337" s="1089"/>
      <c r="E337" s="1089"/>
      <c r="F337" s="1099">
        <v>380</v>
      </c>
      <c r="H337" s="1064"/>
    </row>
    <row r="338" spans="1:8" s="1067" customFormat="1" ht="14.25" customHeight="1" thickBot="1">
      <c r="A338" s="1079" t="s">
        <v>883</v>
      </c>
      <c r="B338" s="1080" t="s">
        <v>1393</v>
      </c>
      <c r="C338" s="1080">
        <v>880</v>
      </c>
      <c r="D338" s="1080">
        <v>850</v>
      </c>
      <c r="E338" s="1080">
        <v>830</v>
      </c>
      <c r="F338" s="1102"/>
      <c r="H338" s="1064"/>
    </row>
    <row r="339" spans="1:8" s="1067" customFormat="1" ht="14.25" customHeight="1" thickBot="1">
      <c r="A339" s="1079" t="s">
        <v>883</v>
      </c>
      <c r="B339" s="1073" t="s">
        <v>1394</v>
      </c>
      <c r="C339" s="1073">
        <v>830</v>
      </c>
      <c r="D339" s="1073">
        <v>800</v>
      </c>
      <c r="E339" s="1073">
        <v>780</v>
      </c>
      <c r="F339" s="1100"/>
      <c r="H339" s="1064"/>
    </row>
    <row r="340" spans="1:8" s="1067" customFormat="1" ht="14.25" customHeight="1" thickBot="1">
      <c r="A340" s="1079" t="s">
        <v>883</v>
      </c>
      <c r="B340" s="1073" t="s">
        <v>1395</v>
      </c>
      <c r="C340" s="1073">
        <v>980</v>
      </c>
      <c r="D340" s="1073">
        <v>950</v>
      </c>
      <c r="E340" s="1073">
        <v>920</v>
      </c>
      <c r="F340" s="1100"/>
      <c r="H340" s="1064"/>
    </row>
    <row r="341" spans="1:8" s="1067" customFormat="1" ht="14.25" customHeight="1" thickBot="1">
      <c r="A341" s="1079" t="s">
        <v>883</v>
      </c>
      <c r="B341" s="1073" t="s">
        <v>1396</v>
      </c>
      <c r="C341" s="1073">
        <v>760</v>
      </c>
      <c r="D341" s="1073">
        <v>720</v>
      </c>
      <c r="E341" s="1073">
        <v>690</v>
      </c>
      <c r="F341" s="1091">
        <v>350</v>
      </c>
      <c r="H341" s="1064"/>
    </row>
    <row r="342" spans="1:8" s="1067" customFormat="1" ht="14.25" customHeight="1" thickBot="1">
      <c r="A342" s="1079" t="s">
        <v>883</v>
      </c>
      <c r="B342" s="1073" t="s">
        <v>1088</v>
      </c>
      <c r="C342" s="1073">
        <v>910</v>
      </c>
      <c r="D342" s="1073">
        <v>870</v>
      </c>
      <c r="E342" s="1073">
        <v>850</v>
      </c>
      <c r="F342" s="1091">
        <v>370</v>
      </c>
      <c r="H342" s="1064"/>
    </row>
    <row r="343" spans="1:8" s="1067" customFormat="1" ht="14.25" customHeight="1" thickBot="1">
      <c r="A343" s="1079" t="s">
        <v>883</v>
      </c>
      <c r="B343" s="1073" t="s">
        <v>1099</v>
      </c>
      <c r="C343" s="1073">
        <v>800</v>
      </c>
      <c r="D343" s="1073">
        <v>760</v>
      </c>
      <c r="E343" s="1073">
        <v>730</v>
      </c>
      <c r="F343" s="1091">
        <v>340</v>
      </c>
      <c r="H343" s="1064"/>
    </row>
    <row r="344" spans="1:8" s="1067" customFormat="1" ht="14.25" customHeight="1" thickBot="1">
      <c r="A344" s="1079" t="s">
        <v>883</v>
      </c>
      <c r="B344" s="1089" t="s">
        <v>1110</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5"/>
    <col min="2" max="16384" width="9" style="1009"/>
  </cols>
  <sheetData>
    <row r="1" spans="1:14" ht="15.6">
      <c r="A1" s="1007" t="s">
        <v>847</v>
      </c>
      <c r="B1" s="1008"/>
      <c r="C1" s="1008"/>
      <c r="D1" s="1008"/>
      <c r="E1" s="1008"/>
      <c r="F1" s="1008"/>
      <c r="G1" s="1008"/>
      <c r="H1" s="1008"/>
      <c r="I1" s="1008"/>
      <c r="J1" s="1008"/>
      <c r="K1" s="1008"/>
      <c r="L1" s="1008"/>
      <c r="M1" s="1008"/>
      <c r="N1" s="1008"/>
    </row>
    <row r="2" spans="1:14">
      <c r="A2" s="1010" t="s">
        <v>848</v>
      </c>
      <c r="B2" s="1011" t="s">
        <v>849</v>
      </c>
      <c r="C2" s="1011" t="s">
        <v>850</v>
      </c>
      <c r="D2" s="1011" t="s">
        <v>851</v>
      </c>
      <c r="E2" s="1011" t="s">
        <v>852</v>
      </c>
      <c r="F2" s="1011" t="s">
        <v>853</v>
      </c>
      <c r="G2" s="1011" t="s">
        <v>854</v>
      </c>
      <c r="H2" s="1012" t="s">
        <v>855</v>
      </c>
      <c r="I2" s="1012" t="s">
        <v>856</v>
      </c>
      <c r="J2" s="1013" t="s">
        <v>857</v>
      </c>
      <c r="K2" s="1013" t="s">
        <v>858</v>
      </c>
      <c r="L2" s="1013" t="s">
        <v>859</v>
      </c>
      <c r="M2" s="1013" t="s">
        <v>860</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5.6">
      <c r="A103" s="1007" t="s">
        <v>869</v>
      </c>
      <c r="B103" s="1008"/>
      <c r="C103" s="1008"/>
      <c r="D103" s="1008"/>
      <c r="E103" s="1008"/>
      <c r="F103" s="1008"/>
      <c r="G103" s="1008"/>
      <c r="H103" s="1008"/>
      <c r="I103" s="1008"/>
      <c r="J103" s="1008"/>
      <c r="K103" s="1008"/>
      <c r="L103" s="1008"/>
      <c r="M103" s="1008"/>
      <c r="N103" s="1008"/>
    </row>
    <row r="104" spans="1:14" ht="15.6">
      <c r="A104" s="1010" t="s">
        <v>848</v>
      </c>
      <c r="B104" s="1011" t="s">
        <v>849</v>
      </c>
      <c r="C104" s="1011" t="s">
        <v>850</v>
      </c>
      <c r="D104" s="1011" t="s">
        <v>851</v>
      </c>
      <c r="E104" s="1011" t="s">
        <v>852</v>
      </c>
      <c r="F104" s="1011" t="s">
        <v>853</v>
      </c>
      <c r="G104" s="1011" t="s">
        <v>854</v>
      </c>
      <c r="H104" s="1012" t="s">
        <v>855</v>
      </c>
      <c r="I104" s="1012" t="s">
        <v>856</v>
      </c>
      <c r="J104" s="1013" t="s">
        <v>857</v>
      </c>
      <c r="K104" s="1013" t="s">
        <v>858</v>
      </c>
      <c r="L104" s="1013" t="s">
        <v>859</v>
      </c>
      <c r="M104" s="1013" t="s">
        <v>860</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5.6">
      <c r="A205" s="1007" t="s">
        <v>870</v>
      </c>
      <c r="B205" s="1008"/>
      <c r="C205" s="1008"/>
      <c r="D205" s="1008"/>
      <c r="E205" s="1008"/>
      <c r="F205" s="1008"/>
      <c r="G205" s="1008"/>
      <c r="H205" s="1008"/>
      <c r="I205" s="1008"/>
      <c r="J205" s="1008"/>
      <c r="K205" s="1008"/>
      <c r="L205" s="1008"/>
      <c r="M205" s="1008"/>
    </row>
    <row r="206" spans="1:13">
      <c r="A206" s="1010" t="s">
        <v>871</v>
      </c>
      <c r="B206" s="1011" t="s">
        <v>872</v>
      </c>
      <c r="C206" s="1011" t="s">
        <v>873</v>
      </c>
      <c r="D206" s="1011" t="s">
        <v>874</v>
      </c>
      <c r="E206" s="1011" t="s">
        <v>875</v>
      </c>
      <c r="F206" s="1011" t="s">
        <v>876</v>
      </c>
      <c r="G206" s="1011" t="s">
        <v>877</v>
      </c>
      <c r="H206" s="1012" t="s">
        <v>878</v>
      </c>
      <c r="I206" s="1012" t="s">
        <v>879</v>
      </c>
      <c r="J206" s="1013" t="s">
        <v>880</v>
      </c>
      <c r="K206" s="1013" t="s">
        <v>881</v>
      </c>
      <c r="L206" s="1013" t="s">
        <v>882</v>
      </c>
      <c r="M206" s="1013" t="s">
        <v>883</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5.6">
      <c r="A307" s="1007" t="s">
        <v>884</v>
      </c>
      <c r="B307" s="1008"/>
      <c r="C307" s="1008"/>
      <c r="D307" s="1008"/>
      <c r="E307" s="1008"/>
      <c r="F307" s="1008"/>
      <c r="G307" s="1008"/>
      <c r="H307" s="1008"/>
      <c r="I307" s="1008"/>
      <c r="J307" s="1008"/>
      <c r="K307" s="1008"/>
      <c r="L307" s="1008"/>
      <c r="M307" s="1008"/>
    </row>
    <row r="308" spans="1:13">
      <c r="A308" s="1010" t="s">
        <v>871</v>
      </c>
      <c r="B308" s="1011" t="s">
        <v>872</v>
      </c>
      <c r="C308" s="1011" t="s">
        <v>873</v>
      </c>
      <c r="D308" s="1011" t="s">
        <v>874</v>
      </c>
      <c r="E308" s="1011" t="s">
        <v>875</v>
      </c>
      <c r="F308" s="1011" t="s">
        <v>876</v>
      </c>
      <c r="G308" s="1011" t="s">
        <v>877</v>
      </c>
      <c r="H308" s="1012" t="s">
        <v>878</v>
      </c>
      <c r="I308" s="1012" t="s">
        <v>879</v>
      </c>
      <c r="J308" s="1013" t="s">
        <v>880</v>
      </c>
      <c r="K308" s="1013" t="s">
        <v>881</v>
      </c>
      <c r="L308" s="1013" t="s">
        <v>882</v>
      </c>
      <c r="M308" s="1013" t="s">
        <v>883</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9" customWidth="1"/>
    <col min="2" max="2" width="10.21875" style="1880" customWidth="1"/>
  </cols>
  <sheetData>
    <row r="1" spans="1:6">
      <c r="A1" s="3435" t="s">
        <v>2041</v>
      </c>
      <c r="B1" s="3435"/>
    </row>
    <row r="2" spans="1:6" ht="15" thickBot="1">
      <c r="A2" s="1850"/>
      <c r="B2" s="1850"/>
    </row>
    <row r="3" spans="1:6" ht="15" thickBot="1">
      <c r="A3" s="1850"/>
      <c r="B3" s="1850"/>
      <c r="C3" s="1851" t="s">
        <v>2042</v>
      </c>
      <c r="D3" s="1851" t="s">
        <v>2043</v>
      </c>
      <c r="E3" s="1851" t="s">
        <v>2044</v>
      </c>
      <c r="F3" s="1851" t="s">
        <v>2045</v>
      </c>
    </row>
    <row r="4" spans="1:6" ht="15" thickBot="1">
      <c r="A4" s="1852" t="s">
        <v>2046</v>
      </c>
      <c r="B4" s="1853" t="s">
        <v>2047</v>
      </c>
      <c r="C4" s="1851"/>
      <c r="D4" s="1851"/>
      <c r="E4" s="1851"/>
      <c r="F4" s="1851"/>
    </row>
    <row r="5" spans="1:6" ht="15" thickBot="1">
      <c r="A5" s="1854" t="s">
        <v>2048</v>
      </c>
      <c r="B5" s="1855" t="s">
        <v>2049</v>
      </c>
      <c r="C5" s="1856">
        <v>8.8999999999999996E-2</v>
      </c>
      <c r="D5" s="1856">
        <v>7.3999999999999996E-2</v>
      </c>
      <c r="E5" s="1856">
        <v>7.4999999999999997E-2</v>
      </c>
      <c r="F5" s="1857">
        <v>0.1</v>
      </c>
    </row>
    <row r="6" spans="1:6" ht="15" thickBot="1">
      <c r="A6" s="1854" t="s">
        <v>1062</v>
      </c>
      <c r="B6" s="1858" t="s">
        <v>2050</v>
      </c>
      <c r="C6" s="1859">
        <v>0.1</v>
      </c>
      <c r="D6" s="1859">
        <v>9.0999999999999998E-2</v>
      </c>
      <c r="E6" s="1859">
        <v>9.0999999999999998E-2</v>
      </c>
      <c r="F6" s="1860">
        <v>0.1</v>
      </c>
    </row>
    <row r="7" spans="1:6" ht="15" thickBot="1">
      <c r="A7" s="1854" t="s">
        <v>1062</v>
      </c>
      <c r="B7" s="1861" t="s">
        <v>1050</v>
      </c>
      <c r="C7" s="1859">
        <v>8.5999999999999993E-2</v>
      </c>
      <c r="D7" s="1859">
        <v>9.6000000000000002E-2</v>
      </c>
      <c r="E7" s="1859">
        <v>7.5999999999999998E-2</v>
      </c>
      <c r="F7" s="1860">
        <v>0.1</v>
      </c>
    </row>
    <row r="8" spans="1:6" ht="15" thickBot="1">
      <c r="A8" s="1854" t="s">
        <v>1062</v>
      </c>
      <c r="B8" s="1858" t="s">
        <v>1063</v>
      </c>
      <c r="C8" s="1859">
        <v>9.9000000000000005E-2</v>
      </c>
      <c r="D8" s="1859">
        <v>9.8000000000000004E-2</v>
      </c>
      <c r="E8" s="1859">
        <v>9.8000000000000004E-2</v>
      </c>
      <c r="F8" s="1860">
        <v>0.1</v>
      </c>
    </row>
    <row r="9" spans="1:6" ht="15" thickBot="1">
      <c r="A9" s="1862" t="s">
        <v>1062</v>
      </c>
      <c r="B9" s="1863" t="s">
        <v>1077</v>
      </c>
      <c r="C9" s="1864">
        <v>0.05</v>
      </c>
      <c r="D9" s="1865"/>
      <c r="E9" s="1865"/>
      <c r="F9" s="1866"/>
    </row>
    <row r="10" spans="1:6" ht="15" thickBot="1">
      <c r="A10" s="1854" t="s">
        <v>1121</v>
      </c>
      <c r="B10" s="1855" t="s">
        <v>2051</v>
      </c>
      <c r="C10" s="1856">
        <v>8.8999999999999996E-2</v>
      </c>
      <c r="D10" s="1856">
        <v>7.2999999999999995E-2</v>
      </c>
      <c r="E10" s="1856">
        <v>8.2000000000000003E-2</v>
      </c>
      <c r="F10" s="1857">
        <v>0.1</v>
      </c>
    </row>
    <row r="11" spans="1:6" ht="15" thickBot="1">
      <c r="A11" s="1854" t="s">
        <v>1121</v>
      </c>
      <c r="B11" s="1861" t="s">
        <v>1037</v>
      </c>
      <c r="C11" s="1859">
        <v>8.8999999999999996E-2</v>
      </c>
      <c r="D11" s="1859">
        <v>7.2999999999999995E-2</v>
      </c>
      <c r="E11" s="1859">
        <v>8.2000000000000003E-2</v>
      </c>
      <c r="F11" s="1860">
        <v>0.1</v>
      </c>
    </row>
    <row r="12" spans="1:6" ht="15" thickBot="1">
      <c r="A12" s="1854" t="s">
        <v>1121</v>
      </c>
      <c r="B12" s="1861" t="s">
        <v>1051</v>
      </c>
      <c r="C12" s="1859">
        <v>6.0999999999999999E-2</v>
      </c>
      <c r="D12" s="1859">
        <v>7.0999999999999994E-2</v>
      </c>
      <c r="E12" s="1859">
        <v>9.6000000000000002E-2</v>
      </c>
      <c r="F12" s="1860">
        <v>0.1</v>
      </c>
    </row>
    <row r="13" spans="1:6" ht="15" thickBot="1">
      <c r="A13" s="1854" t="s">
        <v>1121</v>
      </c>
      <c r="B13" s="1861" t="s">
        <v>1064</v>
      </c>
      <c r="C13" s="1859">
        <v>6.9000000000000006E-2</v>
      </c>
      <c r="D13" s="1859">
        <v>6.5000000000000002E-2</v>
      </c>
      <c r="E13" s="1859">
        <v>6.6000000000000003E-2</v>
      </c>
      <c r="F13" s="1860">
        <v>0.1</v>
      </c>
    </row>
    <row r="14" spans="1:6" ht="15" thickBot="1">
      <c r="A14" s="1854" t="s">
        <v>1121</v>
      </c>
      <c r="B14" s="1861" t="s">
        <v>1078</v>
      </c>
      <c r="C14" s="1859">
        <v>0.1</v>
      </c>
      <c r="D14" s="1859">
        <v>6.5000000000000002E-2</v>
      </c>
      <c r="E14" s="1859">
        <v>7.0000000000000007E-2</v>
      </c>
      <c r="F14" s="1860">
        <v>0.1</v>
      </c>
    </row>
    <row r="15" spans="1:6" ht="15" thickBot="1">
      <c r="A15" s="1854" t="s">
        <v>1121</v>
      </c>
      <c r="B15" s="1861" t="s">
        <v>1089</v>
      </c>
      <c r="C15" s="1859">
        <v>9.8000000000000004E-2</v>
      </c>
      <c r="D15" s="1859">
        <v>8.8999999999999996E-2</v>
      </c>
      <c r="E15" s="1859">
        <v>8.8999999999999996E-2</v>
      </c>
      <c r="F15" s="1860">
        <v>0.1</v>
      </c>
    </row>
    <row r="16" spans="1:6" ht="15" thickBot="1">
      <c r="A16" s="1854" t="s">
        <v>1121</v>
      </c>
      <c r="B16" s="1861" t="s">
        <v>1100</v>
      </c>
      <c r="C16" s="1859">
        <v>7.0000000000000007E-2</v>
      </c>
      <c r="D16" s="1859">
        <v>9.2999999999999999E-2</v>
      </c>
      <c r="E16" s="1859">
        <v>9.6000000000000002E-2</v>
      </c>
      <c r="F16" s="1860">
        <v>0.1</v>
      </c>
    </row>
    <row r="17" spans="1:6" ht="15" thickBot="1">
      <c r="A17" s="1854" t="s">
        <v>1121</v>
      </c>
      <c r="B17" s="1861" t="s">
        <v>1111</v>
      </c>
      <c r="C17" s="1859">
        <v>9.5000000000000001E-2</v>
      </c>
      <c r="D17" s="1859">
        <v>0.1</v>
      </c>
      <c r="E17" s="1859">
        <v>0.1</v>
      </c>
      <c r="F17" s="1867"/>
    </row>
    <row r="18" spans="1:6" ht="15" thickBot="1">
      <c r="A18" s="1854" t="s">
        <v>1121</v>
      </c>
      <c r="B18" s="1861" t="s">
        <v>1123</v>
      </c>
      <c r="C18" s="1859">
        <v>7.3999999999999996E-2</v>
      </c>
      <c r="D18" s="1859">
        <v>9.9000000000000005E-2</v>
      </c>
      <c r="E18" s="1859">
        <v>0.1</v>
      </c>
      <c r="F18" s="1867"/>
    </row>
    <row r="19" spans="1:6" ht="15" thickBot="1">
      <c r="A19" s="1854" t="s">
        <v>1121</v>
      </c>
      <c r="B19" s="1861" t="s">
        <v>1133</v>
      </c>
      <c r="C19" s="1859">
        <v>9.9000000000000005E-2</v>
      </c>
      <c r="D19" s="1859">
        <v>7.5999999999999998E-2</v>
      </c>
      <c r="E19" s="1859">
        <v>8.6999999999999994E-2</v>
      </c>
      <c r="F19" s="1867"/>
    </row>
    <row r="20" spans="1:6" ht="15" thickBot="1">
      <c r="A20" s="1854" t="s">
        <v>1121</v>
      </c>
      <c r="B20" s="1861" t="s">
        <v>1143</v>
      </c>
      <c r="C20" s="1859">
        <v>9.8000000000000004E-2</v>
      </c>
      <c r="D20" s="1859">
        <v>8.5000000000000006E-2</v>
      </c>
      <c r="E20" s="1859">
        <v>8.2000000000000003E-2</v>
      </c>
      <c r="F20" s="1867"/>
    </row>
    <row r="21" spans="1:6" ht="15" thickBot="1">
      <c r="A21" s="1854" t="s">
        <v>1121</v>
      </c>
      <c r="B21" s="1861" t="s">
        <v>1153</v>
      </c>
      <c r="C21" s="1859">
        <v>6.6000000000000003E-2</v>
      </c>
      <c r="D21" s="1859">
        <v>6.4000000000000001E-2</v>
      </c>
      <c r="E21" s="1859">
        <v>6.5000000000000002E-2</v>
      </c>
      <c r="F21" s="1867"/>
    </row>
    <row r="22" spans="1:6" ht="15" thickBot="1">
      <c r="A22" s="1854" t="s">
        <v>1121</v>
      </c>
      <c r="B22" s="1861" t="s">
        <v>2052</v>
      </c>
      <c r="C22" s="1859">
        <v>0.08</v>
      </c>
      <c r="D22" s="1859">
        <v>9.8000000000000004E-2</v>
      </c>
      <c r="E22" s="1859">
        <v>9.8000000000000004E-2</v>
      </c>
      <c r="F22" s="1867"/>
    </row>
    <row r="23" spans="1:6" ht="15" thickBot="1">
      <c r="A23" s="1854" t="s">
        <v>1121</v>
      </c>
      <c r="B23" s="1861" t="s">
        <v>1173</v>
      </c>
      <c r="C23" s="1859">
        <v>9.9000000000000005E-2</v>
      </c>
      <c r="D23" s="1859">
        <v>9.8000000000000004E-2</v>
      </c>
      <c r="E23" s="1859">
        <v>9.0999999999999998E-2</v>
      </c>
      <c r="F23" s="1867"/>
    </row>
    <row r="24" spans="1:6" ht="15" thickBot="1">
      <c r="A24" s="1854" t="s">
        <v>1121</v>
      </c>
      <c r="B24" s="1861" t="s">
        <v>1183</v>
      </c>
      <c r="C24" s="1859">
        <v>8.8999999999999996E-2</v>
      </c>
      <c r="D24" s="1859">
        <v>9.7000000000000003E-2</v>
      </c>
      <c r="E24" s="1859">
        <v>7.0000000000000007E-2</v>
      </c>
      <c r="F24" s="1867"/>
    </row>
    <row r="25" spans="1:6" ht="15" thickBot="1">
      <c r="A25" s="1854" t="s">
        <v>1121</v>
      </c>
      <c r="B25" s="1861" t="s">
        <v>1193</v>
      </c>
      <c r="C25" s="1859">
        <v>8.8999999999999996E-2</v>
      </c>
      <c r="D25" s="1859">
        <v>0.1</v>
      </c>
      <c r="E25" s="1859">
        <v>8.1000000000000003E-2</v>
      </c>
      <c r="F25" s="1867"/>
    </row>
    <row r="26" spans="1:6" ht="15" thickBot="1">
      <c r="A26" s="1854" t="s">
        <v>1121</v>
      </c>
      <c r="B26" s="1861" t="s">
        <v>1203</v>
      </c>
      <c r="C26" s="1868"/>
      <c r="D26" s="1859">
        <v>9.6000000000000002E-2</v>
      </c>
      <c r="E26" s="1859">
        <v>9.2999999999999999E-2</v>
      </c>
      <c r="F26" s="1867"/>
    </row>
    <row r="27" spans="1:6" ht="15" thickBot="1">
      <c r="A27" s="1854" t="s">
        <v>1121</v>
      </c>
      <c r="B27" s="1861" t="s">
        <v>1213</v>
      </c>
      <c r="C27" s="1868"/>
      <c r="D27" s="1859">
        <v>7.5999999999999998E-2</v>
      </c>
      <c r="E27" s="1859">
        <v>9.1999999999999998E-2</v>
      </c>
      <c r="F27" s="1867"/>
    </row>
    <row r="28" spans="1:6" ht="15" thickBot="1">
      <c r="A28" s="1862" t="s">
        <v>1121</v>
      </c>
      <c r="B28" s="1863" t="s">
        <v>1223</v>
      </c>
      <c r="C28" s="1865"/>
      <c r="D28" s="1864">
        <v>7.5999999999999998E-2</v>
      </c>
      <c r="E28" s="1864">
        <v>9.1999999999999998E-2</v>
      </c>
      <c r="F28" s="1866"/>
    </row>
    <row r="29" spans="1:6" ht="15" thickBot="1">
      <c r="A29" s="1854" t="s">
        <v>1292</v>
      </c>
      <c r="B29" s="1855" t="s">
        <v>2053</v>
      </c>
      <c r="C29" s="1856">
        <v>6.4000000000000001E-2</v>
      </c>
      <c r="D29" s="1856">
        <v>6.5000000000000002E-2</v>
      </c>
      <c r="E29" s="1856">
        <v>6.9000000000000006E-2</v>
      </c>
      <c r="F29" s="1857">
        <v>0.1</v>
      </c>
    </row>
    <row r="30" spans="1:6" ht="15" thickBot="1">
      <c r="A30" s="1854" t="s">
        <v>1292</v>
      </c>
      <c r="B30" s="1861" t="s">
        <v>1038</v>
      </c>
      <c r="C30" s="1859">
        <v>6.4000000000000001E-2</v>
      </c>
      <c r="D30" s="1859">
        <v>9.9000000000000005E-2</v>
      </c>
      <c r="E30" s="1859">
        <v>0.1</v>
      </c>
      <c r="F30" s="1860">
        <v>0.1</v>
      </c>
    </row>
    <row r="31" spans="1:6" ht="15" thickBot="1">
      <c r="A31" s="1854" t="s">
        <v>1292</v>
      </c>
      <c r="B31" s="1861" t="s">
        <v>1052</v>
      </c>
      <c r="C31" s="1859">
        <v>0.1</v>
      </c>
      <c r="D31" s="1859">
        <v>9.5000000000000001E-2</v>
      </c>
      <c r="E31" s="1859">
        <v>8.8999999999999996E-2</v>
      </c>
      <c r="F31" s="1860">
        <v>0.1</v>
      </c>
    </row>
    <row r="32" spans="1:6" ht="15" thickBot="1">
      <c r="A32" s="1854" t="s">
        <v>1292</v>
      </c>
      <c r="B32" s="1861" t="s">
        <v>1065</v>
      </c>
      <c r="C32" s="1859">
        <v>0.05</v>
      </c>
      <c r="D32" s="1859">
        <v>0.05</v>
      </c>
      <c r="E32" s="1859">
        <v>8.7999999999999995E-2</v>
      </c>
      <c r="F32" s="1860">
        <v>0.1</v>
      </c>
    </row>
    <row r="33" spans="1:6" ht="15" thickBot="1">
      <c r="A33" s="1854" t="s">
        <v>1292</v>
      </c>
      <c r="B33" s="1861" t="s">
        <v>1079</v>
      </c>
      <c r="C33" s="1859">
        <v>7.4999999999999997E-2</v>
      </c>
      <c r="D33" s="1859">
        <v>9.4E-2</v>
      </c>
      <c r="E33" s="1859">
        <v>9.7000000000000003E-2</v>
      </c>
      <c r="F33" s="1860">
        <v>0.1</v>
      </c>
    </row>
    <row r="34" spans="1:6" ht="15" thickBot="1">
      <c r="A34" s="1854" t="s">
        <v>1292</v>
      </c>
      <c r="B34" s="1861" t="s">
        <v>1090</v>
      </c>
      <c r="C34" s="1859">
        <v>9.8000000000000004E-2</v>
      </c>
      <c r="D34" s="1859">
        <v>8.5999999999999993E-2</v>
      </c>
      <c r="E34" s="1859">
        <v>9.7000000000000003E-2</v>
      </c>
      <c r="F34" s="1860">
        <v>0.1</v>
      </c>
    </row>
    <row r="35" spans="1:6" ht="15" thickBot="1">
      <c r="A35" s="1854" t="s">
        <v>1292</v>
      </c>
      <c r="B35" s="1861" t="s">
        <v>1101</v>
      </c>
      <c r="C35" s="1859">
        <v>5.8999999999999997E-2</v>
      </c>
      <c r="D35" s="1859">
        <v>6.5000000000000002E-2</v>
      </c>
      <c r="E35" s="1859">
        <v>7.0000000000000007E-2</v>
      </c>
      <c r="F35" s="1860">
        <v>0.1</v>
      </c>
    </row>
    <row r="36" spans="1:6" ht="15" thickBot="1">
      <c r="A36" s="1854" t="s">
        <v>1292</v>
      </c>
      <c r="B36" s="1861" t="s">
        <v>1112</v>
      </c>
      <c r="C36" s="1859">
        <v>6.3E-2</v>
      </c>
      <c r="D36" s="1859">
        <v>0.1</v>
      </c>
      <c r="E36" s="1859">
        <v>0.1</v>
      </c>
      <c r="F36" s="1860">
        <v>0.1</v>
      </c>
    </row>
    <row r="37" spans="1:6" ht="15" thickBot="1">
      <c r="A37" s="1854" t="s">
        <v>1292</v>
      </c>
      <c r="B37" s="1861" t="s">
        <v>1124</v>
      </c>
      <c r="C37" s="1859">
        <v>7.3999999999999996E-2</v>
      </c>
      <c r="D37" s="1859">
        <v>0.1</v>
      </c>
      <c r="E37" s="1859">
        <v>0.1</v>
      </c>
      <c r="F37" s="1860">
        <v>0.1</v>
      </c>
    </row>
    <row r="38" spans="1:6" ht="15" thickBot="1">
      <c r="A38" s="1854" t="s">
        <v>1292</v>
      </c>
      <c r="B38" s="1861" t="s">
        <v>1134</v>
      </c>
      <c r="C38" s="1859">
        <v>0.1</v>
      </c>
      <c r="D38" s="1859">
        <v>9.6000000000000002E-2</v>
      </c>
      <c r="E38" s="1859">
        <v>9.6000000000000002E-2</v>
      </c>
      <c r="F38" s="1867"/>
    </row>
    <row r="39" spans="1:6" ht="15" thickBot="1">
      <c r="A39" s="1854" t="s">
        <v>1292</v>
      </c>
      <c r="B39" s="1861" t="s">
        <v>1144</v>
      </c>
      <c r="C39" s="1859">
        <v>0.1</v>
      </c>
      <c r="D39" s="1859">
        <v>9.6000000000000002E-2</v>
      </c>
      <c r="E39" s="1859">
        <v>9.6000000000000002E-2</v>
      </c>
      <c r="F39" s="1867"/>
    </row>
    <row r="40" spans="1:6" ht="15" thickBot="1">
      <c r="A40" s="1854" t="s">
        <v>1292</v>
      </c>
      <c r="B40" s="1861" t="s">
        <v>1154</v>
      </c>
      <c r="C40" s="1859">
        <v>9.6000000000000002E-2</v>
      </c>
      <c r="D40" s="1859">
        <v>0.1</v>
      </c>
      <c r="E40" s="1859">
        <v>9.9000000000000005E-2</v>
      </c>
      <c r="F40" s="1867"/>
    </row>
    <row r="41" spans="1:6" ht="15" thickBot="1">
      <c r="A41" s="1854" t="s">
        <v>1292</v>
      </c>
      <c r="B41" s="1861" t="s">
        <v>1164</v>
      </c>
      <c r="C41" s="1859">
        <v>9.6000000000000002E-2</v>
      </c>
      <c r="D41" s="1859">
        <v>9.8000000000000004E-2</v>
      </c>
      <c r="E41" s="1859">
        <v>9.8000000000000004E-2</v>
      </c>
      <c r="F41" s="1867"/>
    </row>
    <row r="42" spans="1:6" ht="15" thickBot="1">
      <c r="A42" s="1854" t="s">
        <v>1292</v>
      </c>
      <c r="B42" s="1861" t="s">
        <v>1174</v>
      </c>
      <c r="C42" s="1859">
        <v>0.1</v>
      </c>
      <c r="D42" s="1859">
        <v>8.7999999999999995E-2</v>
      </c>
      <c r="E42" s="1859">
        <v>0.1</v>
      </c>
      <c r="F42" s="1867"/>
    </row>
    <row r="43" spans="1:6" ht="15" thickBot="1">
      <c r="A43" s="1854" t="s">
        <v>1292</v>
      </c>
      <c r="B43" s="1861" t="s">
        <v>1184</v>
      </c>
      <c r="C43" s="1859">
        <v>9.8000000000000004E-2</v>
      </c>
      <c r="D43" s="1859">
        <v>9.7000000000000003E-2</v>
      </c>
      <c r="E43" s="1859">
        <v>9.6000000000000002E-2</v>
      </c>
      <c r="F43" s="1867"/>
    </row>
    <row r="44" spans="1:6" ht="15" thickBot="1">
      <c r="A44" s="1854" t="s">
        <v>1292</v>
      </c>
      <c r="B44" s="1861" t="s">
        <v>1194</v>
      </c>
      <c r="C44" s="1859">
        <v>8.5999999999999993E-2</v>
      </c>
      <c r="D44" s="1859">
        <v>7.9000000000000001E-2</v>
      </c>
      <c r="E44" s="1859">
        <v>7.0999999999999994E-2</v>
      </c>
      <c r="F44" s="1867"/>
    </row>
    <row r="45" spans="1:6" ht="15" thickBot="1">
      <c r="A45" s="1854" t="s">
        <v>1292</v>
      </c>
      <c r="B45" s="1861" t="s">
        <v>1204</v>
      </c>
      <c r="C45" s="1859">
        <v>9.8000000000000004E-2</v>
      </c>
      <c r="D45" s="1859">
        <v>9.6000000000000002E-2</v>
      </c>
      <c r="E45" s="1859">
        <v>9.6000000000000002E-2</v>
      </c>
      <c r="F45" s="1867"/>
    </row>
    <row r="46" spans="1:6" ht="15" thickBot="1">
      <c r="A46" s="1854" t="s">
        <v>1292</v>
      </c>
      <c r="B46" s="1861" t="s">
        <v>1214</v>
      </c>
      <c r="C46" s="1859">
        <v>8.5999999999999993E-2</v>
      </c>
      <c r="D46" s="1859">
        <v>9.8000000000000004E-2</v>
      </c>
      <c r="E46" s="1859">
        <v>8.7999999999999995E-2</v>
      </c>
      <c r="F46" s="1867"/>
    </row>
    <row r="47" spans="1:6" ht="15" thickBot="1">
      <c r="A47" s="1854" t="s">
        <v>1292</v>
      </c>
      <c r="B47" s="1861" t="s">
        <v>1224</v>
      </c>
      <c r="C47" s="1859">
        <v>9.6000000000000002E-2</v>
      </c>
      <c r="D47" s="1868"/>
      <c r="E47" s="1859">
        <v>6.9000000000000006E-2</v>
      </c>
      <c r="F47" s="1867"/>
    </row>
    <row r="48" spans="1:6" ht="15" thickBot="1">
      <c r="A48" s="1862" t="s">
        <v>1292</v>
      </c>
      <c r="B48" s="1863" t="s">
        <v>1233</v>
      </c>
      <c r="C48" s="1864">
        <v>9.8000000000000004E-2</v>
      </c>
      <c r="D48" s="1865"/>
      <c r="E48" s="1864">
        <v>9.5000000000000001E-2</v>
      </c>
      <c r="F48" s="1866"/>
    </row>
    <row r="49" spans="1:6" ht="15" thickBot="1">
      <c r="A49" s="1854" t="s">
        <v>890</v>
      </c>
      <c r="B49" s="1855" t="s">
        <v>2054</v>
      </c>
      <c r="C49" s="1856">
        <v>9.7000000000000003E-2</v>
      </c>
      <c r="D49" s="1856">
        <v>9.5000000000000001E-2</v>
      </c>
      <c r="E49" s="1856">
        <v>9.7000000000000003E-2</v>
      </c>
      <c r="F49" s="1857">
        <v>0.1</v>
      </c>
    </row>
    <row r="50" spans="1:6" ht="15" thickBot="1">
      <c r="A50" s="1854" t="s">
        <v>890</v>
      </c>
      <c r="B50" s="1858" t="s">
        <v>1039</v>
      </c>
      <c r="C50" s="1859">
        <v>7.4999999999999997E-2</v>
      </c>
      <c r="D50" s="1859">
        <v>9.5000000000000001E-2</v>
      </c>
      <c r="E50" s="1859">
        <v>0.1</v>
      </c>
      <c r="F50" s="1860">
        <v>0.1</v>
      </c>
    </row>
    <row r="51" spans="1:6" ht="15" thickBot="1">
      <c r="A51" s="1854" t="s">
        <v>890</v>
      </c>
      <c r="B51" s="1858" t="s">
        <v>1053</v>
      </c>
      <c r="C51" s="1859">
        <v>9.8000000000000004E-2</v>
      </c>
      <c r="D51" s="1859">
        <v>8.8999999999999996E-2</v>
      </c>
      <c r="E51" s="1859">
        <v>0.1</v>
      </c>
      <c r="F51" s="1860">
        <v>0.1</v>
      </c>
    </row>
    <row r="52" spans="1:6" ht="15" thickBot="1">
      <c r="A52" s="1854" t="s">
        <v>890</v>
      </c>
      <c r="B52" s="1858" t="s">
        <v>1066</v>
      </c>
      <c r="C52" s="1859">
        <v>9.8000000000000004E-2</v>
      </c>
      <c r="D52" s="1859">
        <v>9.7000000000000003E-2</v>
      </c>
      <c r="E52" s="1859">
        <v>8.1000000000000003E-2</v>
      </c>
      <c r="F52" s="1860">
        <v>0.1</v>
      </c>
    </row>
    <row r="53" spans="1:6" ht="15" thickBot="1">
      <c r="A53" s="1854" t="s">
        <v>890</v>
      </c>
      <c r="B53" s="1858" t="s">
        <v>1080</v>
      </c>
      <c r="C53" s="1859">
        <v>9.7000000000000003E-2</v>
      </c>
      <c r="D53" s="1859">
        <v>7.5999999999999998E-2</v>
      </c>
      <c r="E53" s="1859">
        <v>7.0999999999999994E-2</v>
      </c>
      <c r="F53" s="1860">
        <v>0.1</v>
      </c>
    </row>
    <row r="54" spans="1:6" ht="15" thickBot="1">
      <c r="A54" s="1854" t="s">
        <v>890</v>
      </c>
      <c r="B54" s="1858" t="s">
        <v>1091</v>
      </c>
      <c r="C54" s="1859">
        <v>7.5999999999999998E-2</v>
      </c>
      <c r="D54" s="1859">
        <v>0.1</v>
      </c>
      <c r="E54" s="1859">
        <v>9.9000000000000005E-2</v>
      </c>
      <c r="F54" s="1860">
        <v>0.1</v>
      </c>
    </row>
    <row r="55" spans="1:6" ht="15" thickBot="1">
      <c r="A55" s="1854" t="s">
        <v>890</v>
      </c>
      <c r="B55" s="1858" t="s">
        <v>1102</v>
      </c>
      <c r="C55" s="1859">
        <v>0.1</v>
      </c>
      <c r="D55" s="1859">
        <v>0.1</v>
      </c>
      <c r="E55" s="1859">
        <v>9.6000000000000002E-2</v>
      </c>
      <c r="F55" s="1860">
        <v>0.1</v>
      </c>
    </row>
    <row r="56" spans="1:6" ht="15" thickBot="1">
      <c r="A56" s="1854" t="s">
        <v>890</v>
      </c>
      <c r="B56" s="1858" t="s">
        <v>1113</v>
      </c>
      <c r="C56" s="1859">
        <v>0.1</v>
      </c>
      <c r="D56" s="1859">
        <v>9.6000000000000002E-2</v>
      </c>
      <c r="E56" s="1859">
        <v>5.1999999999999998E-2</v>
      </c>
      <c r="F56" s="1860">
        <v>0.1</v>
      </c>
    </row>
    <row r="57" spans="1:6" ht="15" thickBot="1">
      <c r="A57" s="1854" t="s">
        <v>890</v>
      </c>
      <c r="B57" s="1858" t="s">
        <v>1125</v>
      </c>
      <c r="C57" s="1859">
        <v>9.7000000000000003E-2</v>
      </c>
      <c r="D57" s="1859">
        <v>9.6000000000000002E-2</v>
      </c>
      <c r="E57" s="1859">
        <v>9.6000000000000002E-2</v>
      </c>
      <c r="F57" s="1860">
        <v>0.1</v>
      </c>
    </row>
    <row r="58" spans="1:6" ht="15" thickBot="1">
      <c r="A58" s="1854" t="s">
        <v>890</v>
      </c>
      <c r="B58" s="1858" t="s">
        <v>1135</v>
      </c>
      <c r="C58" s="1859">
        <v>9.6000000000000002E-2</v>
      </c>
      <c r="D58" s="1859">
        <v>9.9000000000000005E-2</v>
      </c>
      <c r="E58" s="1859">
        <v>9.6000000000000002E-2</v>
      </c>
      <c r="F58" s="1860">
        <v>0.1</v>
      </c>
    </row>
    <row r="59" spans="1:6" ht="15" thickBot="1">
      <c r="A59" s="1854" t="s">
        <v>890</v>
      </c>
      <c r="B59" s="1858" t="s">
        <v>1145</v>
      </c>
      <c r="C59" s="1859">
        <v>7.1999999999999995E-2</v>
      </c>
      <c r="D59" s="1859">
        <v>9.6000000000000002E-2</v>
      </c>
      <c r="E59" s="1859">
        <v>7.0999999999999994E-2</v>
      </c>
      <c r="F59" s="1860">
        <v>0.1</v>
      </c>
    </row>
    <row r="60" spans="1:6" ht="15" thickBot="1">
      <c r="A60" s="1854" t="s">
        <v>890</v>
      </c>
      <c r="B60" s="1858" t="s">
        <v>1155</v>
      </c>
      <c r="C60" s="1859">
        <v>9.6000000000000002E-2</v>
      </c>
      <c r="D60" s="1859">
        <v>8.8999999999999996E-2</v>
      </c>
      <c r="E60" s="1859">
        <v>9.6000000000000002E-2</v>
      </c>
      <c r="F60" s="1860">
        <v>0.1</v>
      </c>
    </row>
    <row r="61" spans="1:6" ht="15" thickBot="1">
      <c r="A61" s="1854" t="s">
        <v>890</v>
      </c>
      <c r="B61" s="1858" t="s">
        <v>1165</v>
      </c>
      <c r="C61" s="1859">
        <v>8.8999999999999996E-2</v>
      </c>
      <c r="D61" s="1859">
        <v>9.8000000000000004E-2</v>
      </c>
      <c r="E61" s="1859">
        <v>8.7999999999999995E-2</v>
      </c>
      <c r="F61" s="1867"/>
    </row>
    <row r="62" spans="1:6" ht="15" thickBot="1">
      <c r="A62" s="1854" t="s">
        <v>890</v>
      </c>
      <c r="B62" s="1858" t="s">
        <v>1175</v>
      </c>
      <c r="C62" s="1859">
        <v>9.8000000000000004E-2</v>
      </c>
      <c r="D62" s="1859">
        <v>9.2999999999999999E-2</v>
      </c>
      <c r="E62" s="1859">
        <v>9.7000000000000003E-2</v>
      </c>
      <c r="F62" s="1867"/>
    </row>
    <row r="63" spans="1:6" ht="15" thickBot="1">
      <c r="A63" s="1854" t="s">
        <v>890</v>
      </c>
      <c r="B63" s="1858" t="s">
        <v>1185</v>
      </c>
      <c r="C63" s="1859">
        <v>9.6000000000000002E-2</v>
      </c>
      <c r="D63" s="1859">
        <v>9.8000000000000004E-2</v>
      </c>
      <c r="E63" s="1859">
        <v>0.09</v>
      </c>
      <c r="F63" s="1867"/>
    </row>
    <row r="64" spans="1:6" ht="15" thickBot="1">
      <c r="A64" s="1854" t="s">
        <v>890</v>
      </c>
      <c r="B64" s="1858" t="s">
        <v>1195</v>
      </c>
      <c r="C64" s="1859">
        <v>9.9000000000000005E-2</v>
      </c>
      <c r="D64" s="1859">
        <v>9.7000000000000003E-2</v>
      </c>
      <c r="E64" s="1859">
        <v>9.9000000000000005E-2</v>
      </c>
      <c r="F64" s="1867"/>
    </row>
    <row r="65" spans="1:6" ht="15" thickBot="1">
      <c r="A65" s="1854" t="s">
        <v>890</v>
      </c>
      <c r="B65" s="1858" t="s">
        <v>1205</v>
      </c>
      <c r="C65" s="1859">
        <v>9.8000000000000004E-2</v>
      </c>
      <c r="D65" s="1859">
        <v>9.6000000000000002E-2</v>
      </c>
      <c r="E65" s="1859">
        <v>9.6000000000000002E-2</v>
      </c>
      <c r="F65" s="1867"/>
    </row>
    <row r="66" spans="1:6" ht="15" thickBot="1">
      <c r="A66" s="1854" t="s">
        <v>890</v>
      </c>
      <c r="B66" s="1858" t="s">
        <v>1215</v>
      </c>
      <c r="C66" s="1859">
        <v>9.6000000000000002E-2</v>
      </c>
      <c r="D66" s="1859">
        <v>9.1999999999999998E-2</v>
      </c>
      <c r="E66" s="1859">
        <v>9.6000000000000002E-2</v>
      </c>
      <c r="F66" s="1867"/>
    </row>
    <row r="67" spans="1:6" ht="15" thickBot="1">
      <c r="A67" s="1854" t="s">
        <v>890</v>
      </c>
      <c r="B67" s="1858" t="s">
        <v>1225</v>
      </c>
      <c r="C67" s="1859">
        <v>9.4E-2</v>
      </c>
      <c r="D67" s="1859">
        <v>0.1</v>
      </c>
      <c r="E67" s="1859">
        <v>8.7999999999999995E-2</v>
      </c>
      <c r="F67" s="1867"/>
    </row>
    <row r="68" spans="1:6" ht="15" thickBot="1">
      <c r="A68" s="1854" t="s">
        <v>890</v>
      </c>
      <c r="B68" s="1858" t="s">
        <v>1234</v>
      </c>
      <c r="C68" s="1859">
        <v>0.1</v>
      </c>
      <c r="D68" s="1859">
        <v>8.7999999999999995E-2</v>
      </c>
      <c r="E68" s="1859">
        <v>9.7000000000000003E-2</v>
      </c>
      <c r="F68" s="1867"/>
    </row>
    <row r="69" spans="1:6" ht="15" thickBot="1">
      <c r="A69" s="1854" t="s">
        <v>890</v>
      </c>
      <c r="B69" s="1858" t="s">
        <v>1243</v>
      </c>
      <c r="C69" s="1859">
        <v>6.4000000000000001E-2</v>
      </c>
      <c r="D69" s="1859">
        <v>0.1</v>
      </c>
      <c r="E69" s="1859">
        <v>0.1</v>
      </c>
      <c r="F69" s="1867"/>
    </row>
    <row r="70" spans="1:6" ht="15" thickBot="1">
      <c r="A70" s="1854" t="s">
        <v>890</v>
      </c>
      <c r="B70" s="1858" t="s">
        <v>1251</v>
      </c>
      <c r="C70" s="1859">
        <v>9.0999999999999998E-2</v>
      </c>
      <c r="D70" s="1868"/>
      <c r="E70" s="1868"/>
      <c r="F70" s="1867"/>
    </row>
    <row r="71" spans="1:6" ht="15" thickBot="1">
      <c r="A71" s="1854" t="s">
        <v>890</v>
      </c>
      <c r="B71" s="1858" t="s">
        <v>1258</v>
      </c>
      <c r="C71" s="1859">
        <v>0.1</v>
      </c>
      <c r="D71" s="1868"/>
      <c r="E71" s="1868"/>
      <c r="F71" s="1867"/>
    </row>
    <row r="72" spans="1:6" ht="24.6" thickBot="1">
      <c r="A72" s="1854" t="s">
        <v>890</v>
      </c>
      <c r="B72" s="1858" t="s">
        <v>2055</v>
      </c>
      <c r="C72" s="1868"/>
      <c r="D72" s="1868"/>
      <c r="E72" s="1868"/>
      <c r="F72" s="1860">
        <v>0.05</v>
      </c>
    </row>
    <row r="73" spans="1:6" ht="24.6" thickBot="1">
      <c r="A73" s="1854" t="s">
        <v>890</v>
      </c>
      <c r="B73" s="1858" t="s">
        <v>2056</v>
      </c>
      <c r="C73" s="1868"/>
      <c r="D73" s="1868"/>
      <c r="E73" s="1868"/>
      <c r="F73" s="1860">
        <v>0.05</v>
      </c>
    </row>
    <row r="74" spans="1:6" ht="24.6" thickBot="1">
      <c r="A74" s="1854" t="s">
        <v>890</v>
      </c>
      <c r="B74" s="1858" t="s">
        <v>2057</v>
      </c>
      <c r="C74" s="1868"/>
      <c r="D74" s="1868"/>
      <c r="E74" s="1868"/>
      <c r="F74" s="1860">
        <v>0.05</v>
      </c>
    </row>
    <row r="75" spans="1:6" ht="24.6" thickBot="1">
      <c r="A75" s="1862" t="s">
        <v>890</v>
      </c>
      <c r="B75" s="1869" t="s">
        <v>2058</v>
      </c>
      <c r="C75" s="1865"/>
      <c r="D75" s="1865"/>
      <c r="E75" s="1865"/>
      <c r="F75" s="1870">
        <v>0.05</v>
      </c>
    </row>
    <row r="76" spans="1:6" ht="15" thickBot="1">
      <c r="A76" s="1854" t="s">
        <v>1373</v>
      </c>
      <c r="B76" s="1855" t="s">
        <v>2059</v>
      </c>
      <c r="C76" s="1856">
        <v>0.1</v>
      </c>
      <c r="D76" s="1856">
        <v>0.1</v>
      </c>
      <c r="E76" s="1856">
        <v>0.1</v>
      </c>
      <c r="F76" s="1857">
        <v>0.1</v>
      </c>
    </row>
    <row r="77" spans="1:6" ht="15" thickBot="1">
      <c r="A77" s="1854" t="s">
        <v>1373</v>
      </c>
      <c r="B77" s="1858" t="s">
        <v>1040</v>
      </c>
      <c r="C77" s="1859">
        <v>8.7999999999999995E-2</v>
      </c>
      <c r="D77" s="1859">
        <v>8.6999999999999994E-2</v>
      </c>
      <c r="E77" s="1859">
        <v>7.9000000000000001E-2</v>
      </c>
      <c r="F77" s="1860">
        <v>0.1</v>
      </c>
    </row>
    <row r="78" spans="1:6" ht="15" thickBot="1">
      <c r="A78" s="1854" t="s">
        <v>1373</v>
      </c>
      <c r="B78" s="1858" t="s">
        <v>1054</v>
      </c>
      <c r="C78" s="1859">
        <v>8.6999999999999994E-2</v>
      </c>
      <c r="D78" s="1859">
        <v>8.4000000000000005E-2</v>
      </c>
      <c r="E78" s="1859">
        <v>9.6000000000000002E-2</v>
      </c>
      <c r="F78" s="1860">
        <v>0.1</v>
      </c>
    </row>
    <row r="79" spans="1:6" ht="15" thickBot="1">
      <c r="A79" s="1854" t="s">
        <v>1373</v>
      </c>
      <c r="B79" s="1858" t="s">
        <v>1067</v>
      </c>
      <c r="C79" s="1859">
        <v>9.8000000000000004E-2</v>
      </c>
      <c r="D79" s="1859">
        <v>9.8000000000000004E-2</v>
      </c>
      <c r="E79" s="1859">
        <v>9.0999999999999998E-2</v>
      </c>
      <c r="F79" s="1860">
        <v>0.1</v>
      </c>
    </row>
    <row r="80" spans="1:6" ht="15" thickBot="1">
      <c r="A80" s="1854" t="s">
        <v>1373</v>
      </c>
      <c r="B80" s="1858" t="s">
        <v>1081</v>
      </c>
      <c r="C80" s="1859">
        <v>9.6000000000000002E-2</v>
      </c>
      <c r="D80" s="1859">
        <v>9.6000000000000002E-2</v>
      </c>
      <c r="E80" s="1859">
        <v>0.1</v>
      </c>
      <c r="F80" s="1860">
        <v>0.1</v>
      </c>
    </row>
    <row r="81" spans="1:6" ht="15" thickBot="1">
      <c r="A81" s="1854" t="s">
        <v>1373</v>
      </c>
      <c r="B81" s="1858" t="s">
        <v>1092</v>
      </c>
      <c r="C81" s="1859">
        <v>9.9000000000000005E-2</v>
      </c>
      <c r="D81" s="1859">
        <v>9.9000000000000005E-2</v>
      </c>
      <c r="E81" s="1859">
        <v>9.8000000000000004E-2</v>
      </c>
      <c r="F81" s="1860">
        <v>0.1</v>
      </c>
    </row>
    <row r="82" spans="1:6" ht="15" thickBot="1">
      <c r="A82" s="1854" t="s">
        <v>1373</v>
      </c>
      <c r="B82" s="1858" t="s">
        <v>1103</v>
      </c>
      <c r="C82" s="1859">
        <v>9.9000000000000005E-2</v>
      </c>
      <c r="D82" s="1859">
        <v>9.9000000000000005E-2</v>
      </c>
      <c r="E82" s="1859">
        <v>9.7000000000000003E-2</v>
      </c>
      <c r="F82" s="1860">
        <v>0.1</v>
      </c>
    </row>
    <row r="83" spans="1:6" ht="15" thickBot="1">
      <c r="A83" s="1854" t="s">
        <v>1373</v>
      </c>
      <c r="B83" s="1858" t="s">
        <v>1114</v>
      </c>
      <c r="C83" s="1859">
        <v>9.8000000000000004E-2</v>
      </c>
      <c r="D83" s="1859">
        <v>9.8000000000000004E-2</v>
      </c>
      <c r="E83" s="1859">
        <v>9.8000000000000004E-2</v>
      </c>
      <c r="F83" s="1860">
        <v>0.1</v>
      </c>
    </row>
    <row r="84" spans="1:6" ht="15" thickBot="1">
      <c r="A84" s="1854" t="s">
        <v>1373</v>
      </c>
      <c r="B84" s="1858" t="s">
        <v>1126</v>
      </c>
      <c r="C84" s="1859">
        <v>9.9000000000000005E-2</v>
      </c>
      <c r="D84" s="1859">
        <v>9.9000000000000005E-2</v>
      </c>
      <c r="E84" s="1859">
        <v>9.9000000000000005E-2</v>
      </c>
      <c r="F84" s="1860">
        <v>0.1</v>
      </c>
    </row>
    <row r="85" spans="1:6" ht="15" thickBot="1">
      <c r="A85" s="1854" t="s">
        <v>1373</v>
      </c>
      <c r="B85" s="1858" t="s">
        <v>1136</v>
      </c>
      <c r="C85" s="1859">
        <v>9.9000000000000005E-2</v>
      </c>
      <c r="D85" s="1859">
        <v>9.9000000000000005E-2</v>
      </c>
      <c r="E85" s="1859">
        <v>9.9000000000000005E-2</v>
      </c>
      <c r="F85" s="1860">
        <v>0.1</v>
      </c>
    </row>
    <row r="86" spans="1:6" ht="15" thickBot="1">
      <c r="A86" s="1854" t="s">
        <v>1373</v>
      </c>
      <c r="B86" s="1858" t="s">
        <v>1146</v>
      </c>
      <c r="C86" s="1859">
        <v>0.1</v>
      </c>
      <c r="D86" s="1859">
        <v>0.1</v>
      </c>
      <c r="E86" s="1859">
        <v>7.6999999999999999E-2</v>
      </c>
      <c r="F86" s="1860">
        <v>0.1</v>
      </c>
    </row>
    <row r="87" spans="1:6" ht="15" thickBot="1">
      <c r="A87" s="1854" t="s">
        <v>1373</v>
      </c>
      <c r="B87" s="1858" t="s">
        <v>1156</v>
      </c>
      <c r="C87" s="1859">
        <v>0.1</v>
      </c>
      <c r="D87" s="1859">
        <v>0.1</v>
      </c>
      <c r="E87" s="1859">
        <v>9.8000000000000004E-2</v>
      </c>
      <c r="F87" s="1867"/>
    </row>
    <row r="88" spans="1:6" ht="15" thickBot="1">
      <c r="A88" s="1854" t="s">
        <v>1373</v>
      </c>
      <c r="B88" s="1858" t="s">
        <v>1166</v>
      </c>
      <c r="C88" s="1859">
        <v>9.1999999999999998E-2</v>
      </c>
      <c r="D88" s="1859">
        <v>8.5000000000000006E-2</v>
      </c>
      <c r="E88" s="1859">
        <v>9.6000000000000002E-2</v>
      </c>
      <c r="F88" s="1867"/>
    </row>
    <row r="89" spans="1:6" ht="15" thickBot="1">
      <c r="A89" s="1854" t="s">
        <v>1373</v>
      </c>
      <c r="B89" s="1858" t="s">
        <v>1176</v>
      </c>
      <c r="C89" s="1859">
        <v>0.1</v>
      </c>
      <c r="D89" s="1859">
        <v>0.1</v>
      </c>
      <c r="E89" s="1859">
        <v>9.7000000000000003E-2</v>
      </c>
      <c r="F89" s="1867"/>
    </row>
    <row r="90" spans="1:6" ht="15" thickBot="1">
      <c r="A90" s="1854" t="s">
        <v>1373</v>
      </c>
      <c r="B90" s="1858" t="s">
        <v>1186</v>
      </c>
      <c r="C90" s="1859">
        <v>9.8000000000000004E-2</v>
      </c>
      <c r="D90" s="1859">
        <v>9.8000000000000004E-2</v>
      </c>
      <c r="E90" s="1859">
        <v>8.7999999999999995E-2</v>
      </c>
      <c r="F90" s="1867"/>
    </row>
    <row r="91" spans="1:6" ht="15" thickBot="1">
      <c r="A91" s="1854" t="s">
        <v>1373</v>
      </c>
      <c r="B91" s="1858" t="s">
        <v>1196</v>
      </c>
      <c r="C91" s="1859">
        <v>9.9000000000000005E-2</v>
      </c>
      <c r="D91" s="1859">
        <v>9.9000000000000005E-2</v>
      </c>
      <c r="E91" s="1859">
        <v>9.0999999999999998E-2</v>
      </c>
      <c r="F91" s="1867"/>
    </row>
    <row r="92" spans="1:6" ht="15" thickBot="1">
      <c r="A92" s="1854" t="s">
        <v>1373</v>
      </c>
      <c r="B92" s="1858" t="s">
        <v>1206</v>
      </c>
      <c r="C92" s="1859">
        <v>9.6000000000000002E-2</v>
      </c>
      <c r="D92" s="1859">
        <v>9.6000000000000002E-2</v>
      </c>
      <c r="E92" s="1859">
        <v>7.2999999999999995E-2</v>
      </c>
      <c r="F92" s="1867"/>
    </row>
    <row r="93" spans="1:6" ht="15" thickBot="1">
      <c r="A93" s="1854" t="s">
        <v>1373</v>
      </c>
      <c r="B93" s="1858" t="s">
        <v>1216</v>
      </c>
      <c r="C93" s="1859">
        <v>9.6000000000000002E-2</v>
      </c>
      <c r="D93" s="1859">
        <v>9.6000000000000002E-2</v>
      </c>
      <c r="E93" s="1859">
        <v>9.9000000000000005E-2</v>
      </c>
      <c r="F93" s="1867"/>
    </row>
    <row r="94" spans="1:6" ht="15" thickBot="1">
      <c r="A94" s="1854" t="s">
        <v>1373</v>
      </c>
      <c r="B94" s="1858" t="s">
        <v>1226</v>
      </c>
      <c r="C94" s="1859">
        <v>7.5999999999999998E-2</v>
      </c>
      <c r="D94" s="1859">
        <v>7.3999999999999996E-2</v>
      </c>
      <c r="E94" s="1859">
        <v>9.7000000000000003E-2</v>
      </c>
      <c r="F94" s="1867"/>
    </row>
    <row r="95" spans="1:6" ht="15" thickBot="1">
      <c r="A95" s="1854" t="s">
        <v>1373</v>
      </c>
      <c r="B95" s="1858" t="s">
        <v>1235</v>
      </c>
      <c r="C95" s="1859">
        <v>9.9000000000000005E-2</v>
      </c>
      <c r="D95" s="1859">
        <v>9.4E-2</v>
      </c>
      <c r="E95" s="1859">
        <v>9.6000000000000002E-2</v>
      </c>
      <c r="F95" s="1867"/>
    </row>
    <row r="96" spans="1:6" ht="15" thickBot="1">
      <c r="A96" s="1854" t="s">
        <v>1373</v>
      </c>
      <c r="B96" s="1858" t="s">
        <v>1244</v>
      </c>
      <c r="C96" s="1859">
        <v>9.9000000000000005E-2</v>
      </c>
      <c r="D96" s="1859">
        <v>9.9000000000000005E-2</v>
      </c>
      <c r="E96" s="1859">
        <v>9.9000000000000005E-2</v>
      </c>
      <c r="F96" s="1867"/>
    </row>
    <row r="97" spans="1:6" ht="15" thickBot="1">
      <c r="A97" s="1854" t="s">
        <v>1373</v>
      </c>
      <c r="B97" s="1858" t="s">
        <v>1252</v>
      </c>
      <c r="C97" s="1859">
        <v>9.8000000000000004E-2</v>
      </c>
      <c r="D97" s="1859">
        <v>9.8000000000000004E-2</v>
      </c>
      <c r="E97" s="1859">
        <v>9.7000000000000003E-2</v>
      </c>
      <c r="F97" s="1867"/>
    </row>
    <row r="98" spans="1:6" ht="15" thickBot="1">
      <c r="A98" s="1854" t="s">
        <v>1373</v>
      </c>
      <c r="B98" s="1858" t="s">
        <v>1259</v>
      </c>
      <c r="C98" s="1859">
        <v>0.1</v>
      </c>
      <c r="D98" s="1859">
        <v>0.1</v>
      </c>
      <c r="E98" s="1859">
        <v>9.7000000000000003E-2</v>
      </c>
      <c r="F98" s="1867"/>
    </row>
    <row r="99" spans="1:6" ht="15" thickBot="1">
      <c r="A99" s="1854" t="s">
        <v>1373</v>
      </c>
      <c r="B99" s="1858" t="s">
        <v>1266</v>
      </c>
      <c r="C99" s="1859">
        <v>0.1</v>
      </c>
      <c r="D99" s="1859">
        <v>0.1</v>
      </c>
      <c r="E99" s="1868"/>
      <c r="F99" s="1867"/>
    </row>
    <row r="100" spans="1:6" ht="15" thickBot="1">
      <c r="A100" s="1854" t="s">
        <v>1373</v>
      </c>
      <c r="B100" s="1858" t="s">
        <v>1273</v>
      </c>
      <c r="C100" s="1859">
        <v>0.09</v>
      </c>
      <c r="D100" s="1859">
        <v>8.8999999999999996E-2</v>
      </c>
      <c r="E100" s="1868"/>
      <c r="F100" s="1867"/>
    </row>
    <row r="101" spans="1:6" ht="15" thickBot="1">
      <c r="A101" s="1854" t="s">
        <v>1373</v>
      </c>
      <c r="B101" s="1858" t="s">
        <v>1280</v>
      </c>
      <c r="C101" s="1859">
        <v>9.8000000000000004E-2</v>
      </c>
      <c r="D101" s="1859">
        <v>9.7000000000000003E-2</v>
      </c>
      <c r="E101" s="1868"/>
      <c r="F101" s="1867"/>
    </row>
    <row r="102" spans="1:6" ht="24.6" thickBot="1">
      <c r="A102" s="1854" t="s">
        <v>1373</v>
      </c>
      <c r="B102" s="1858" t="s">
        <v>2060</v>
      </c>
      <c r="C102" s="1868"/>
      <c r="D102" s="1868"/>
      <c r="E102" s="1868"/>
      <c r="F102" s="1860">
        <v>0.05</v>
      </c>
    </row>
    <row r="103" spans="1:6" ht="24.6" thickBot="1">
      <c r="A103" s="1854" t="s">
        <v>1373</v>
      </c>
      <c r="B103" s="1858" t="s">
        <v>2061</v>
      </c>
      <c r="C103" s="1868"/>
      <c r="D103" s="1868"/>
      <c r="E103" s="1868"/>
      <c r="F103" s="1860">
        <v>0.05</v>
      </c>
    </row>
    <row r="104" spans="1:6" ht="15" thickBot="1">
      <c r="A104" s="1854" t="s">
        <v>1373</v>
      </c>
      <c r="B104" s="1858" t="s">
        <v>2062</v>
      </c>
      <c r="C104" s="1868"/>
      <c r="D104" s="1868"/>
      <c r="E104" s="1868"/>
      <c r="F104" s="1860">
        <v>0.05</v>
      </c>
    </row>
    <row r="105" spans="1:6" ht="24.6" thickBot="1">
      <c r="A105" s="1854" t="s">
        <v>1373</v>
      </c>
      <c r="B105" s="1858" t="s">
        <v>2063</v>
      </c>
      <c r="C105" s="1868"/>
      <c r="D105" s="1868"/>
      <c r="E105" s="1868"/>
      <c r="F105" s="1860">
        <v>0.05</v>
      </c>
    </row>
    <row r="106" spans="1:6" ht="24.6" thickBot="1">
      <c r="A106" s="1854" t="s">
        <v>1373</v>
      </c>
      <c r="B106" s="1858" t="s">
        <v>2064</v>
      </c>
      <c r="C106" s="1868"/>
      <c r="D106" s="1868"/>
      <c r="E106" s="1868"/>
      <c r="F106" s="1860">
        <v>0.05</v>
      </c>
    </row>
    <row r="107" spans="1:6" ht="24.6" thickBot="1">
      <c r="A107" s="1854" t="s">
        <v>1373</v>
      </c>
      <c r="B107" s="1858" t="s">
        <v>2065</v>
      </c>
      <c r="C107" s="1868"/>
      <c r="D107" s="1868"/>
      <c r="E107" s="1868"/>
      <c r="F107" s="1860">
        <v>0.05</v>
      </c>
    </row>
    <row r="108" spans="1:6" ht="24.6" thickBot="1">
      <c r="A108" s="1854" t="s">
        <v>1373</v>
      </c>
      <c r="B108" s="1858" t="s">
        <v>2066</v>
      </c>
      <c r="C108" s="1868"/>
      <c r="D108" s="1868"/>
      <c r="E108" s="1868"/>
      <c r="F108" s="1860">
        <v>0.05</v>
      </c>
    </row>
    <row r="109" spans="1:6" ht="24.6" thickBot="1">
      <c r="A109" s="1862" t="s">
        <v>1373</v>
      </c>
      <c r="B109" s="1869" t="s">
        <v>2067</v>
      </c>
      <c r="C109" s="1865"/>
      <c r="D109" s="1865"/>
      <c r="E109" s="1865"/>
      <c r="F109" s="1870">
        <v>0.05</v>
      </c>
    </row>
    <row r="110" spans="1:6" ht="15" thickBot="1">
      <c r="A110" s="1854" t="s">
        <v>1375</v>
      </c>
      <c r="B110" s="1855" t="s">
        <v>2068</v>
      </c>
      <c r="C110" s="1856">
        <v>0.129</v>
      </c>
      <c r="D110" s="1856">
        <v>0.129</v>
      </c>
      <c r="E110" s="1856">
        <v>0.126</v>
      </c>
      <c r="F110" s="1857">
        <v>0.13</v>
      </c>
    </row>
    <row r="111" spans="1:6" ht="15" thickBot="1">
      <c r="A111" s="1854" t="s">
        <v>1375</v>
      </c>
      <c r="B111" s="1858" t="s">
        <v>1041</v>
      </c>
      <c r="C111" s="1859">
        <v>0.11</v>
      </c>
      <c r="D111" s="1859">
        <v>0.11</v>
      </c>
      <c r="E111" s="1859">
        <v>9.9000000000000005E-2</v>
      </c>
      <c r="F111" s="1860">
        <v>0.128</v>
      </c>
    </row>
    <row r="112" spans="1:6" ht="15" thickBot="1">
      <c r="A112" s="1854" t="s">
        <v>1375</v>
      </c>
      <c r="B112" s="1858" t="s">
        <v>1055</v>
      </c>
      <c r="C112" s="1859">
        <v>0.125</v>
      </c>
      <c r="D112" s="1859">
        <v>0.125</v>
      </c>
      <c r="E112" s="1859">
        <v>0.12</v>
      </c>
      <c r="F112" s="1860">
        <v>0.125</v>
      </c>
    </row>
    <row r="113" spans="1:6" ht="15" thickBot="1">
      <c r="A113" s="1854" t="s">
        <v>1375</v>
      </c>
      <c r="B113" s="1858" t="s">
        <v>1068</v>
      </c>
      <c r="C113" s="1859">
        <v>0.13</v>
      </c>
      <c r="D113" s="1859">
        <v>0.13</v>
      </c>
      <c r="E113" s="1859">
        <v>0.13</v>
      </c>
      <c r="F113" s="1860">
        <v>0.13</v>
      </c>
    </row>
    <row r="114" spans="1:6" ht="15" thickBot="1">
      <c r="A114" s="1854" t="s">
        <v>1375</v>
      </c>
      <c r="B114" s="1858" t="s">
        <v>1082</v>
      </c>
      <c r="C114" s="1859">
        <v>0.123</v>
      </c>
      <c r="D114" s="1859">
        <v>0.123</v>
      </c>
      <c r="E114" s="1859">
        <v>0.12</v>
      </c>
      <c r="F114" s="1860">
        <v>0.13</v>
      </c>
    </row>
    <row r="115" spans="1:6" ht="15" thickBot="1">
      <c r="A115" s="1854" t="s">
        <v>1375</v>
      </c>
      <c r="B115" s="1858" t="s">
        <v>1093</v>
      </c>
      <c r="C115" s="1859">
        <v>0.125</v>
      </c>
      <c r="D115" s="1859">
        <v>0.125</v>
      </c>
      <c r="E115" s="1859">
        <v>0.11700000000000001</v>
      </c>
      <c r="F115" s="1860">
        <v>0.13</v>
      </c>
    </row>
    <row r="116" spans="1:6" ht="15" thickBot="1">
      <c r="A116" s="1854" t="s">
        <v>1375</v>
      </c>
      <c r="B116" s="1858" t="s">
        <v>1104</v>
      </c>
      <c r="C116" s="1859">
        <v>0.11700000000000001</v>
      </c>
      <c r="D116" s="1859">
        <v>0.11700000000000001</v>
      </c>
      <c r="E116" s="1859">
        <v>8.7999999999999995E-2</v>
      </c>
      <c r="F116" s="1860">
        <v>0.13</v>
      </c>
    </row>
    <row r="117" spans="1:6" ht="15" thickBot="1">
      <c r="A117" s="1854" t="s">
        <v>1375</v>
      </c>
      <c r="B117" s="1858" t="s">
        <v>1115</v>
      </c>
      <c r="C117" s="1859">
        <v>0.13</v>
      </c>
      <c r="D117" s="1859">
        <v>0.13</v>
      </c>
      <c r="E117" s="1859">
        <v>0.129</v>
      </c>
      <c r="F117" s="1860">
        <v>0.13</v>
      </c>
    </row>
    <row r="118" spans="1:6" ht="15" thickBot="1">
      <c r="A118" s="1854" t="s">
        <v>1375</v>
      </c>
      <c r="B118" s="1858" t="s">
        <v>1127</v>
      </c>
      <c r="C118" s="1859">
        <v>0.123</v>
      </c>
      <c r="D118" s="1859">
        <v>0.123</v>
      </c>
      <c r="E118" s="1859">
        <v>0.11600000000000001</v>
      </c>
      <c r="F118" s="1860">
        <v>0.13</v>
      </c>
    </row>
    <row r="119" spans="1:6" ht="15" thickBot="1">
      <c r="A119" s="1854" t="s">
        <v>1375</v>
      </c>
      <c r="B119" s="1858" t="s">
        <v>1137</v>
      </c>
      <c r="C119" s="1859">
        <v>0.127</v>
      </c>
      <c r="D119" s="1859">
        <v>0.127</v>
      </c>
      <c r="E119" s="1859">
        <v>0.124</v>
      </c>
      <c r="F119" s="1860">
        <v>0.13</v>
      </c>
    </row>
    <row r="120" spans="1:6" ht="15" thickBot="1">
      <c r="A120" s="1854" t="s">
        <v>1375</v>
      </c>
      <c r="B120" s="1858" t="s">
        <v>1147</v>
      </c>
      <c r="C120" s="1859">
        <v>0.125</v>
      </c>
      <c r="D120" s="1859">
        <v>0.125</v>
      </c>
      <c r="E120" s="1859">
        <v>0.122</v>
      </c>
      <c r="F120" s="1860">
        <v>0.13</v>
      </c>
    </row>
    <row r="121" spans="1:6" ht="15" thickBot="1">
      <c r="A121" s="1854" t="s">
        <v>1375</v>
      </c>
      <c r="B121" s="1858" t="s">
        <v>1157</v>
      </c>
      <c r="C121" s="1859">
        <v>0.13</v>
      </c>
      <c r="D121" s="1859">
        <v>0.13</v>
      </c>
      <c r="E121" s="1859">
        <v>0.13</v>
      </c>
      <c r="F121" s="1860">
        <v>0.13</v>
      </c>
    </row>
    <row r="122" spans="1:6" ht="15" thickBot="1">
      <c r="A122" s="1854" t="s">
        <v>1375</v>
      </c>
      <c r="B122" s="1858" t="s">
        <v>1167</v>
      </c>
      <c r="C122" s="1859">
        <v>0.13</v>
      </c>
      <c r="D122" s="1859">
        <v>0.13</v>
      </c>
      <c r="E122" s="1859">
        <v>0.125</v>
      </c>
      <c r="F122" s="1860">
        <v>0.13</v>
      </c>
    </row>
    <row r="123" spans="1:6" ht="15" thickBot="1">
      <c r="A123" s="1854" t="s">
        <v>1375</v>
      </c>
      <c r="B123" s="1858" t="s">
        <v>1177</v>
      </c>
      <c r="C123" s="1859">
        <v>0.129</v>
      </c>
      <c r="D123" s="1859">
        <v>0.129</v>
      </c>
      <c r="E123" s="1859">
        <v>0.123</v>
      </c>
      <c r="F123" s="1860">
        <v>0.13</v>
      </c>
    </row>
    <row r="124" spans="1:6" ht="15" thickBot="1">
      <c r="A124" s="1854" t="s">
        <v>1375</v>
      </c>
      <c r="B124" s="1858" t="s">
        <v>1187</v>
      </c>
      <c r="C124" s="1859">
        <v>0.10199999999999999</v>
      </c>
      <c r="D124" s="1859">
        <v>0.10100000000000001</v>
      </c>
      <c r="E124" s="1859">
        <v>0.08</v>
      </c>
      <c r="F124" s="1867"/>
    </row>
    <row r="125" spans="1:6" ht="15" thickBot="1">
      <c r="A125" s="1854" t="s">
        <v>1375</v>
      </c>
      <c r="B125" s="1858" t="s">
        <v>1197</v>
      </c>
      <c r="C125" s="1859">
        <v>0.13</v>
      </c>
      <c r="D125" s="1859">
        <v>0.13</v>
      </c>
      <c r="E125" s="1859">
        <v>0.129</v>
      </c>
      <c r="F125" s="1867"/>
    </row>
    <row r="126" spans="1:6" ht="15" thickBot="1">
      <c r="A126" s="1854" t="s">
        <v>1375</v>
      </c>
      <c r="B126" s="1858" t="s">
        <v>1207</v>
      </c>
      <c r="C126" s="1859">
        <v>0.13</v>
      </c>
      <c r="D126" s="1859">
        <v>0.13</v>
      </c>
      <c r="E126" s="1859">
        <v>0.126</v>
      </c>
      <c r="F126" s="1867"/>
    </row>
    <row r="127" spans="1:6" ht="15" thickBot="1">
      <c r="A127" s="1854" t="s">
        <v>1375</v>
      </c>
      <c r="B127" s="1858" t="s">
        <v>1217</v>
      </c>
      <c r="C127" s="1859">
        <v>0.125</v>
      </c>
      <c r="D127" s="1859">
        <v>0.125</v>
      </c>
      <c r="E127" s="1859">
        <v>0.121</v>
      </c>
      <c r="F127" s="1867"/>
    </row>
    <row r="128" spans="1:6" ht="15" thickBot="1">
      <c r="A128" s="1854" t="s">
        <v>1375</v>
      </c>
      <c r="B128" s="1858" t="s">
        <v>1227</v>
      </c>
      <c r="C128" s="1859">
        <v>0.12</v>
      </c>
      <c r="D128" s="1859">
        <v>0.12</v>
      </c>
      <c r="E128" s="1859">
        <v>0.105</v>
      </c>
      <c r="F128" s="1867"/>
    </row>
    <row r="129" spans="1:6" ht="15" thickBot="1">
      <c r="A129" s="1854" t="s">
        <v>1375</v>
      </c>
      <c r="B129" s="1858" t="s">
        <v>1236</v>
      </c>
      <c r="C129" s="1859">
        <v>0.13</v>
      </c>
      <c r="D129" s="1859">
        <v>0.13</v>
      </c>
      <c r="E129" s="1859">
        <v>0.126</v>
      </c>
      <c r="F129" s="1867"/>
    </row>
    <row r="130" spans="1:6" ht="15" thickBot="1">
      <c r="A130" s="1854" t="s">
        <v>1375</v>
      </c>
      <c r="B130" s="1858" t="s">
        <v>1245</v>
      </c>
      <c r="C130" s="1859">
        <v>0.125</v>
      </c>
      <c r="D130" s="1859">
        <v>0.125</v>
      </c>
      <c r="E130" s="1859">
        <v>0.122</v>
      </c>
      <c r="F130" s="1867"/>
    </row>
    <row r="131" spans="1:6" ht="15" thickBot="1">
      <c r="A131" s="1854" t="s">
        <v>1375</v>
      </c>
      <c r="B131" s="1858" t="s">
        <v>1253</v>
      </c>
      <c r="C131" s="1859">
        <v>0.127</v>
      </c>
      <c r="D131" s="1859">
        <v>0.126</v>
      </c>
      <c r="E131" s="1859">
        <v>0.123</v>
      </c>
      <c r="F131" s="1867"/>
    </row>
    <row r="132" spans="1:6" ht="15" thickBot="1">
      <c r="A132" s="1854" t="s">
        <v>1375</v>
      </c>
      <c r="B132" s="1858" t="s">
        <v>1260</v>
      </c>
      <c r="C132" s="1859">
        <v>9.0999999999999998E-2</v>
      </c>
      <c r="D132" s="1859">
        <v>0.121</v>
      </c>
      <c r="E132" s="1859">
        <v>9.9000000000000005E-2</v>
      </c>
      <c r="F132" s="1867"/>
    </row>
    <row r="133" spans="1:6" ht="15" thickBot="1">
      <c r="A133" s="1854" t="s">
        <v>1375</v>
      </c>
      <c r="B133" s="1858" t="s">
        <v>1267</v>
      </c>
      <c r="C133" s="1859">
        <v>0.13</v>
      </c>
      <c r="D133" s="1859">
        <v>0.13</v>
      </c>
      <c r="E133" s="1859">
        <v>0.129</v>
      </c>
      <c r="F133" s="1867"/>
    </row>
    <row r="134" spans="1:6" ht="15" thickBot="1">
      <c r="A134" s="1854" t="s">
        <v>1375</v>
      </c>
      <c r="B134" s="1858" t="s">
        <v>2069</v>
      </c>
      <c r="C134" s="1859">
        <v>6.8000000000000005E-2</v>
      </c>
      <c r="D134" s="1859">
        <v>6.5000000000000002E-2</v>
      </c>
      <c r="E134" s="1859">
        <v>6.5000000000000002E-2</v>
      </c>
      <c r="F134" s="1860">
        <v>0.13</v>
      </c>
    </row>
    <row r="135" spans="1:6" ht="15" thickBot="1">
      <c r="A135" s="1854" t="s">
        <v>1375</v>
      </c>
      <c r="B135" s="1858" t="s">
        <v>1281</v>
      </c>
      <c r="C135" s="1859">
        <v>0.123</v>
      </c>
      <c r="D135" s="1859">
        <v>0.123</v>
      </c>
      <c r="E135" s="1859">
        <v>0.11</v>
      </c>
      <c r="F135" s="1867"/>
    </row>
    <row r="136" spans="1:6" ht="15" thickBot="1">
      <c r="A136" s="1854" t="s">
        <v>1375</v>
      </c>
      <c r="B136" s="1858" t="s">
        <v>1288</v>
      </c>
      <c r="C136" s="1859">
        <v>0.13</v>
      </c>
      <c r="D136" s="1859">
        <v>0.13</v>
      </c>
      <c r="E136" s="1859">
        <v>0.125</v>
      </c>
      <c r="F136" s="1867"/>
    </row>
    <row r="137" spans="1:6" ht="15" thickBot="1">
      <c r="A137" s="1854" t="s">
        <v>1375</v>
      </c>
      <c r="B137" s="1858" t="s">
        <v>1295</v>
      </c>
      <c r="C137" s="1859">
        <v>0.121</v>
      </c>
      <c r="D137" s="1859">
        <v>0.122</v>
      </c>
      <c r="E137" s="1859">
        <v>0.115</v>
      </c>
      <c r="F137" s="1867"/>
    </row>
    <row r="138" spans="1:6" ht="15" thickBot="1">
      <c r="A138" s="1854" t="s">
        <v>1375</v>
      </c>
      <c r="B138" s="1858" t="s">
        <v>2070</v>
      </c>
      <c r="C138" s="1859">
        <v>0.105</v>
      </c>
      <c r="D138" s="1859">
        <v>0.125</v>
      </c>
      <c r="E138" s="1859">
        <v>0.112</v>
      </c>
      <c r="F138" s="1867"/>
    </row>
    <row r="139" spans="1:6" ht="15" thickBot="1">
      <c r="A139" s="1854" t="s">
        <v>1375</v>
      </c>
      <c r="B139" s="1858" t="s">
        <v>2071</v>
      </c>
      <c r="C139" s="1859">
        <v>0.127</v>
      </c>
      <c r="D139" s="1859">
        <v>0.127</v>
      </c>
      <c r="E139" s="1859">
        <v>0.122</v>
      </c>
      <c r="F139" s="1860">
        <v>0.13</v>
      </c>
    </row>
    <row r="140" spans="1:6" ht="15" thickBot="1">
      <c r="A140" s="1854" t="s">
        <v>1375</v>
      </c>
      <c r="B140" s="1858" t="s">
        <v>2072</v>
      </c>
      <c r="C140" s="1859">
        <v>0.125</v>
      </c>
      <c r="D140" s="1859">
        <v>0.125</v>
      </c>
      <c r="E140" s="1859">
        <v>0.11899999999999999</v>
      </c>
      <c r="F140" s="1860">
        <v>0.13</v>
      </c>
    </row>
    <row r="141" spans="1:6" ht="15" thickBot="1">
      <c r="A141" s="1854" t="s">
        <v>1375</v>
      </c>
      <c r="B141" s="1858" t="s">
        <v>1314</v>
      </c>
      <c r="C141" s="1859">
        <v>0.125</v>
      </c>
      <c r="D141" s="1859">
        <v>0.125</v>
      </c>
      <c r="E141" s="1859">
        <v>0.11700000000000001</v>
      </c>
      <c r="F141" s="1867"/>
    </row>
    <row r="142" spans="1:6" ht="15" thickBot="1">
      <c r="A142" s="1854" t="s">
        <v>1375</v>
      </c>
      <c r="B142" s="1858" t="s">
        <v>1319</v>
      </c>
      <c r="C142" s="1859">
        <v>0.125</v>
      </c>
      <c r="D142" s="1859">
        <v>0.125</v>
      </c>
      <c r="E142" s="1859">
        <v>0.115</v>
      </c>
      <c r="F142" s="1867"/>
    </row>
    <row r="143" spans="1:6" ht="15" thickBot="1">
      <c r="A143" s="1854" t="s">
        <v>1375</v>
      </c>
      <c r="B143" s="1858" t="s">
        <v>1324</v>
      </c>
      <c r="C143" s="1859">
        <v>0.121</v>
      </c>
      <c r="D143" s="1859">
        <v>0.121</v>
      </c>
      <c r="E143" s="1859">
        <v>0.108</v>
      </c>
      <c r="F143" s="1867"/>
    </row>
    <row r="144" spans="1:6" ht="15" thickBot="1">
      <c r="A144" s="1854" t="s">
        <v>1375</v>
      </c>
      <c r="B144" s="1871" t="s">
        <v>2073</v>
      </c>
      <c r="C144" s="1872">
        <v>0.126</v>
      </c>
      <c r="D144" s="1872">
        <v>0.126</v>
      </c>
      <c r="E144" s="1872">
        <v>0.121</v>
      </c>
      <c r="F144" s="1867"/>
    </row>
    <row r="145" spans="1:6" ht="15" thickBot="1">
      <c r="A145" s="1862" t="s">
        <v>1375</v>
      </c>
      <c r="B145" s="1873" t="s">
        <v>2074</v>
      </c>
      <c r="C145" s="1874"/>
      <c r="D145" s="1874"/>
      <c r="E145" s="1874"/>
      <c r="F145" s="1875">
        <v>0.05</v>
      </c>
    </row>
    <row r="146" spans="1:6" ht="24.6" thickBot="1">
      <c r="A146" s="1876" t="s">
        <v>1375</v>
      </c>
      <c r="B146" s="1861" t="s">
        <v>2075</v>
      </c>
      <c r="C146" s="1868"/>
      <c r="D146" s="1868"/>
      <c r="E146" s="1868"/>
      <c r="F146" s="1877">
        <v>0.05</v>
      </c>
    </row>
    <row r="147" spans="1:6" ht="24.6" thickBot="1">
      <c r="A147" s="1854" t="s">
        <v>1375</v>
      </c>
      <c r="B147" s="1858" t="s">
        <v>2076</v>
      </c>
      <c r="C147" s="1868"/>
      <c r="D147" s="1868"/>
      <c r="E147" s="1868"/>
      <c r="F147" s="1860">
        <v>0.05</v>
      </c>
    </row>
    <row r="148" spans="1:6" ht="24.6" thickBot="1">
      <c r="A148" s="1854" t="s">
        <v>1375</v>
      </c>
      <c r="B148" s="1858" t="s">
        <v>2077</v>
      </c>
      <c r="C148" s="1868"/>
      <c r="D148" s="1868"/>
      <c r="E148" s="1868"/>
      <c r="F148" s="1860">
        <v>0.05</v>
      </c>
    </row>
    <row r="149" spans="1:6" ht="24.6" thickBot="1">
      <c r="A149" s="1854" t="s">
        <v>1375</v>
      </c>
      <c r="B149" s="1858" t="s">
        <v>2078</v>
      </c>
      <c r="C149" s="1868"/>
      <c r="D149" s="1868"/>
      <c r="E149" s="1868"/>
      <c r="F149" s="1860">
        <v>0.05</v>
      </c>
    </row>
    <row r="150" spans="1:6" ht="24.6" thickBot="1">
      <c r="A150" s="1854" t="s">
        <v>1375</v>
      </c>
      <c r="B150" s="1858" t="s">
        <v>2079</v>
      </c>
      <c r="C150" s="1868"/>
      <c r="D150" s="1868"/>
      <c r="E150" s="1868"/>
      <c r="F150" s="1860">
        <v>0.05</v>
      </c>
    </row>
    <row r="151" spans="1:6" ht="24.6" thickBot="1">
      <c r="A151" s="1854" t="s">
        <v>1375</v>
      </c>
      <c r="B151" s="1858" t="s">
        <v>2080</v>
      </c>
      <c r="C151" s="1868"/>
      <c r="D151" s="1868"/>
      <c r="E151" s="1868"/>
      <c r="F151" s="1860">
        <v>0.05</v>
      </c>
    </row>
    <row r="152" spans="1:6" ht="24.6" thickBot="1">
      <c r="A152" s="1854" t="s">
        <v>1375</v>
      </c>
      <c r="B152" s="1858" t="s">
        <v>1357</v>
      </c>
      <c r="C152" s="1868"/>
      <c r="D152" s="1868"/>
      <c r="E152" s="1868"/>
      <c r="F152" s="1860">
        <v>0.05</v>
      </c>
    </row>
    <row r="153" spans="1:6" ht="15" thickBot="1">
      <c r="A153" s="1854" t="s">
        <v>1375</v>
      </c>
      <c r="B153" s="1858" t="s">
        <v>2081</v>
      </c>
      <c r="C153" s="1868"/>
      <c r="D153" s="1868"/>
      <c r="E153" s="1868"/>
      <c r="F153" s="1860">
        <v>0.05</v>
      </c>
    </row>
    <row r="154" spans="1:6" ht="15" thickBot="1">
      <c r="A154" s="1854" t="s">
        <v>1375</v>
      </c>
      <c r="B154" s="1858" t="s">
        <v>2082</v>
      </c>
      <c r="C154" s="1868"/>
      <c r="D154" s="1868"/>
      <c r="E154" s="1868"/>
      <c r="F154" s="1860">
        <v>0.05</v>
      </c>
    </row>
    <row r="155" spans="1:6" ht="24.6" thickBot="1">
      <c r="A155" s="1854" t="s">
        <v>1375</v>
      </c>
      <c r="B155" s="1858" t="s">
        <v>2083</v>
      </c>
      <c r="C155" s="1868"/>
      <c r="D155" s="1868"/>
      <c r="E155" s="1868"/>
      <c r="F155" s="1860">
        <v>0.05</v>
      </c>
    </row>
    <row r="156" spans="1:6" ht="24.6" thickBot="1">
      <c r="A156" s="1854" t="s">
        <v>1375</v>
      </c>
      <c r="B156" s="1858" t="s">
        <v>2084</v>
      </c>
      <c r="C156" s="1868"/>
      <c r="D156" s="1868"/>
      <c r="E156" s="1868"/>
      <c r="F156" s="1860">
        <v>0.05</v>
      </c>
    </row>
    <row r="157" spans="1:6" ht="24.6" thickBot="1">
      <c r="A157" s="1862" t="s">
        <v>1375</v>
      </c>
      <c r="B157" s="1869" t="s">
        <v>2085</v>
      </c>
      <c r="C157" s="1865"/>
      <c r="D157" s="1865"/>
      <c r="E157" s="1865"/>
      <c r="F157" s="1870">
        <v>0.05</v>
      </c>
    </row>
    <row r="158" spans="1:6" ht="15" thickBot="1">
      <c r="A158" s="1854" t="s">
        <v>1377</v>
      </c>
      <c r="B158" s="1855" t="s">
        <v>2086</v>
      </c>
      <c r="C158" s="1856">
        <v>0.13</v>
      </c>
      <c r="D158" s="1856">
        <v>0.13</v>
      </c>
      <c r="E158" s="1856">
        <v>0.13</v>
      </c>
      <c r="F158" s="1857">
        <v>0.13</v>
      </c>
    </row>
    <row r="159" spans="1:6" ht="15" thickBot="1">
      <c r="A159" s="1854" t="s">
        <v>1377</v>
      </c>
      <c r="B159" s="1858" t="s">
        <v>1042</v>
      </c>
      <c r="C159" s="1859">
        <v>0.13</v>
      </c>
      <c r="D159" s="1859">
        <v>0.13</v>
      </c>
      <c r="E159" s="1859">
        <v>0.13</v>
      </c>
      <c r="F159" s="1860">
        <v>0.13</v>
      </c>
    </row>
    <row r="160" spans="1:6" ht="15" thickBot="1">
      <c r="A160" s="1854" t="s">
        <v>1377</v>
      </c>
      <c r="B160" s="1858" t="s">
        <v>1056</v>
      </c>
      <c r="C160" s="1859">
        <v>0.13</v>
      </c>
      <c r="D160" s="1859">
        <v>0.13</v>
      </c>
      <c r="E160" s="1859">
        <v>0.129</v>
      </c>
      <c r="F160" s="1860">
        <v>0.13</v>
      </c>
    </row>
    <row r="161" spans="1:6" ht="15" thickBot="1">
      <c r="A161" s="1854" t="s">
        <v>1377</v>
      </c>
      <c r="B161" s="1858" t="s">
        <v>1069</v>
      </c>
      <c r="C161" s="1859">
        <v>0.128</v>
      </c>
      <c r="D161" s="1859">
        <v>0.128</v>
      </c>
      <c r="E161" s="1859">
        <v>0.125</v>
      </c>
      <c r="F161" s="1860">
        <v>0.13</v>
      </c>
    </row>
    <row r="162" spans="1:6" ht="15" thickBot="1">
      <c r="A162" s="1854" t="s">
        <v>1377</v>
      </c>
      <c r="B162" s="1858" t="s">
        <v>1083</v>
      </c>
      <c r="C162" s="1859">
        <v>0.122</v>
      </c>
      <c r="D162" s="1859">
        <v>0.122</v>
      </c>
      <c r="E162" s="1859">
        <v>0.126</v>
      </c>
      <c r="F162" s="1860">
        <v>0.122</v>
      </c>
    </row>
    <row r="163" spans="1:6" ht="15" thickBot="1">
      <c r="A163" s="1854" t="s">
        <v>1377</v>
      </c>
      <c r="B163" s="1858" t="s">
        <v>1094</v>
      </c>
      <c r="C163" s="1859">
        <v>0.13</v>
      </c>
      <c r="D163" s="1859">
        <v>0.13</v>
      </c>
      <c r="E163" s="1859">
        <v>0.125</v>
      </c>
      <c r="F163" s="1860">
        <v>0.13</v>
      </c>
    </row>
    <row r="164" spans="1:6" ht="15" thickBot="1">
      <c r="A164" s="1854" t="s">
        <v>1377</v>
      </c>
      <c r="B164" s="1858" t="s">
        <v>1105</v>
      </c>
      <c r="C164" s="1859">
        <v>0.13</v>
      </c>
      <c r="D164" s="1859">
        <v>0.13</v>
      </c>
      <c r="E164" s="1859">
        <v>0.13</v>
      </c>
      <c r="F164" s="1860">
        <v>0.13</v>
      </c>
    </row>
    <row r="165" spans="1:6" ht="15" thickBot="1">
      <c r="A165" s="1854" t="s">
        <v>1377</v>
      </c>
      <c r="B165" s="1858" t="s">
        <v>1116</v>
      </c>
      <c r="C165" s="1859">
        <v>0.13</v>
      </c>
      <c r="D165" s="1859">
        <v>0.13</v>
      </c>
      <c r="E165" s="1859">
        <v>0.124</v>
      </c>
      <c r="F165" s="1860">
        <v>0.13</v>
      </c>
    </row>
    <row r="166" spans="1:6" ht="15" thickBot="1">
      <c r="A166" s="1854" t="s">
        <v>1377</v>
      </c>
      <c r="B166" s="1858" t="s">
        <v>1128</v>
      </c>
      <c r="C166" s="1859">
        <v>0.13</v>
      </c>
      <c r="D166" s="1859">
        <v>0.13</v>
      </c>
      <c r="E166" s="1859">
        <v>0.13</v>
      </c>
      <c r="F166" s="1860">
        <v>0.13</v>
      </c>
    </row>
    <row r="167" spans="1:6" ht="15" thickBot="1">
      <c r="A167" s="1854" t="s">
        <v>1377</v>
      </c>
      <c r="B167" s="1858" t="s">
        <v>1138</v>
      </c>
      <c r="C167" s="1859">
        <v>0.125</v>
      </c>
      <c r="D167" s="1859">
        <v>0.125</v>
      </c>
      <c r="E167" s="1859">
        <v>0.121</v>
      </c>
      <c r="F167" s="1867"/>
    </row>
    <row r="168" spans="1:6" ht="15" thickBot="1">
      <c r="A168" s="1854" t="s">
        <v>1377</v>
      </c>
      <c r="B168" s="1858" t="s">
        <v>1148</v>
      </c>
      <c r="C168" s="1859">
        <v>0.13</v>
      </c>
      <c r="D168" s="1859">
        <v>0.13</v>
      </c>
      <c r="E168" s="1859">
        <v>0.126</v>
      </c>
      <c r="F168" s="1867"/>
    </row>
    <row r="169" spans="1:6" ht="15" thickBot="1">
      <c r="A169" s="1854" t="s">
        <v>1377</v>
      </c>
      <c r="B169" s="1858" t="s">
        <v>1158</v>
      </c>
      <c r="C169" s="1859">
        <v>0.128</v>
      </c>
      <c r="D169" s="1859">
        <v>0.129</v>
      </c>
      <c r="E169" s="1859">
        <v>0.13</v>
      </c>
      <c r="F169" s="1867"/>
    </row>
    <row r="170" spans="1:6" ht="15" thickBot="1">
      <c r="A170" s="1854" t="s">
        <v>1377</v>
      </c>
      <c r="B170" s="1858" t="s">
        <v>1168</v>
      </c>
      <c r="C170" s="1859">
        <v>0.14099999999999999</v>
      </c>
      <c r="D170" s="1859">
        <v>0.13</v>
      </c>
      <c r="E170" s="1859">
        <v>0.125</v>
      </c>
      <c r="F170" s="1867"/>
    </row>
    <row r="171" spans="1:6" ht="15" thickBot="1">
      <c r="A171" s="1854" t="s">
        <v>1377</v>
      </c>
      <c r="B171" s="1858" t="s">
        <v>2087</v>
      </c>
      <c r="C171" s="1859">
        <v>0.127</v>
      </c>
      <c r="D171" s="1859">
        <v>0.126</v>
      </c>
      <c r="E171" s="1859">
        <v>0.126</v>
      </c>
      <c r="F171" s="1860">
        <v>0.11799999999999999</v>
      </c>
    </row>
    <row r="172" spans="1:6" ht="15" thickBot="1">
      <c r="A172" s="1854" t="s">
        <v>1377</v>
      </c>
      <c r="B172" s="1858" t="s">
        <v>2088</v>
      </c>
      <c r="C172" s="1859">
        <v>0.13</v>
      </c>
      <c r="D172" s="1859">
        <v>0.13</v>
      </c>
      <c r="E172" s="1859">
        <v>0.13</v>
      </c>
      <c r="F172" s="1867"/>
    </row>
    <row r="173" spans="1:6" ht="15" thickBot="1">
      <c r="A173" s="1854" t="s">
        <v>1377</v>
      </c>
      <c r="B173" s="1858" t="s">
        <v>1198</v>
      </c>
      <c r="C173" s="1859">
        <v>0.13</v>
      </c>
      <c r="D173" s="1859">
        <v>0.13</v>
      </c>
      <c r="E173" s="1859">
        <v>0.13</v>
      </c>
      <c r="F173" s="1867"/>
    </row>
    <row r="174" spans="1:6" ht="15" thickBot="1">
      <c r="A174" s="1854" t="s">
        <v>1377</v>
      </c>
      <c r="B174" s="1858" t="s">
        <v>2089</v>
      </c>
      <c r="C174" s="1859">
        <v>0.13</v>
      </c>
      <c r="D174" s="1859">
        <v>0.13</v>
      </c>
      <c r="E174" s="1859">
        <v>0.13</v>
      </c>
      <c r="F174" s="1860">
        <v>0.13</v>
      </c>
    </row>
    <row r="175" spans="1:6" ht="15" thickBot="1">
      <c r="A175" s="1854" t="s">
        <v>1377</v>
      </c>
      <c r="B175" s="1858" t="s">
        <v>2090</v>
      </c>
      <c r="C175" s="1859">
        <v>0.13</v>
      </c>
      <c r="D175" s="1859">
        <v>0.13</v>
      </c>
      <c r="E175" s="1859">
        <v>0.13</v>
      </c>
      <c r="F175" s="1860">
        <v>0.13</v>
      </c>
    </row>
    <row r="176" spans="1:6" ht="15" thickBot="1">
      <c r="A176" s="1854" t="s">
        <v>1377</v>
      </c>
      <c r="B176" s="1858" t="s">
        <v>1228</v>
      </c>
      <c r="C176" s="1859">
        <v>0.13</v>
      </c>
      <c r="D176" s="1859">
        <v>0.13</v>
      </c>
      <c r="E176" s="1859">
        <v>0.13</v>
      </c>
      <c r="F176" s="1860">
        <v>0.13</v>
      </c>
    </row>
    <row r="177" spans="1:6" ht="15" thickBot="1">
      <c r="A177" s="1854" t="s">
        <v>1377</v>
      </c>
      <c r="B177" s="1858" t="s">
        <v>2091</v>
      </c>
      <c r="C177" s="1859">
        <v>0.13</v>
      </c>
      <c r="D177" s="1859">
        <v>0.13</v>
      </c>
      <c r="E177" s="1859">
        <v>0.13</v>
      </c>
      <c r="F177" s="1860">
        <v>0.13</v>
      </c>
    </row>
    <row r="178" spans="1:6" ht="15" thickBot="1">
      <c r="A178" s="1854" t="s">
        <v>1377</v>
      </c>
      <c r="B178" s="1858" t="s">
        <v>1246</v>
      </c>
      <c r="C178" s="1859">
        <v>0.13</v>
      </c>
      <c r="D178" s="1859">
        <v>0.13</v>
      </c>
      <c r="E178" s="1859">
        <v>0.13</v>
      </c>
      <c r="F178" s="1860">
        <v>0.127</v>
      </c>
    </row>
    <row r="179" spans="1:6" ht="15" thickBot="1">
      <c r="A179" s="1854" t="s">
        <v>1377</v>
      </c>
      <c r="B179" s="1858" t="s">
        <v>1254</v>
      </c>
      <c r="C179" s="1859">
        <v>0.13</v>
      </c>
      <c r="D179" s="1859">
        <v>0.13</v>
      </c>
      <c r="E179" s="1859">
        <v>0.13</v>
      </c>
      <c r="F179" s="1867"/>
    </row>
    <row r="180" spans="1:6" ht="15" thickBot="1">
      <c r="A180" s="1854" t="s">
        <v>1377</v>
      </c>
      <c r="B180" s="1858" t="s">
        <v>2092</v>
      </c>
      <c r="C180" s="1859">
        <v>0.13</v>
      </c>
      <c r="D180" s="1859">
        <v>0.13</v>
      </c>
      <c r="E180" s="1859">
        <v>0.125</v>
      </c>
      <c r="F180" s="1860">
        <v>0.13</v>
      </c>
    </row>
    <row r="181" spans="1:6" ht="15" thickBot="1">
      <c r="A181" s="1854" t="s">
        <v>1377</v>
      </c>
      <c r="B181" s="1858" t="s">
        <v>1268</v>
      </c>
      <c r="C181" s="1859">
        <v>0.122</v>
      </c>
      <c r="D181" s="1859">
        <v>0.123</v>
      </c>
      <c r="E181" s="1859">
        <v>0.126</v>
      </c>
      <c r="F181" s="1860">
        <v>0.121</v>
      </c>
    </row>
    <row r="182" spans="1:6" ht="15" thickBot="1">
      <c r="A182" s="1854" t="s">
        <v>1377</v>
      </c>
      <c r="B182" s="1858" t="s">
        <v>1275</v>
      </c>
      <c r="C182" s="1859">
        <v>0.125</v>
      </c>
      <c r="D182" s="1859">
        <v>0.125</v>
      </c>
      <c r="E182" s="1859">
        <v>0.11700000000000001</v>
      </c>
      <c r="F182" s="1860">
        <v>0.13</v>
      </c>
    </row>
    <row r="183" spans="1:6" ht="15" thickBot="1">
      <c r="A183" s="1854" t="s">
        <v>1377</v>
      </c>
      <c r="B183" s="1858" t="s">
        <v>1282</v>
      </c>
      <c r="C183" s="1859">
        <v>0.127</v>
      </c>
      <c r="D183" s="1859">
        <v>0.127</v>
      </c>
      <c r="E183" s="1859">
        <v>0.128</v>
      </c>
      <c r="F183" s="1867"/>
    </row>
    <row r="184" spans="1:6" ht="15" thickBot="1">
      <c r="A184" s="1854" t="s">
        <v>1377</v>
      </c>
      <c r="B184" s="1858" t="s">
        <v>1289</v>
      </c>
      <c r="C184" s="1859">
        <v>0.125</v>
      </c>
      <c r="D184" s="1859">
        <v>0.125</v>
      </c>
      <c r="E184" s="1859">
        <v>0.127</v>
      </c>
      <c r="F184" s="1867"/>
    </row>
    <row r="185" spans="1:6" ht="15" thickBot="1">
      <c r="A185" s="1854" t="s">
        <v>1377</v>
      </c>
      <c r="B185" s="1858" t="s">
        <v>2093</v>
      </c>
      <c r="C185" s="1859">
        <v>0.127</v>
      </c>
      <c r="D185" s="1859">
        <v>0.127</v>
      </c>
      <c r="E185" s="1859">
        <v>0.128</v>
      </c>
      <c r="F185" s="1860">
        <v>0.13</v>
      </c>
    </row>
    <row r="186" spans="1:6" ht="24.6" thickBot="1">
      <c r="A186" s="1854" t="s">
        <v>1377</v>
      </c>
      <c r="B186" s="1858" t="s">
        <v>2094</v>
      </c>
      <c r="C186" s="1868"/>
      <c r="D186" s="1868"/>
      <c r="E186" s="1868"/>
      <c r="F186" s="1860">
        <v>0.05</v>
      </c>
    </row>
    <row r="187" spans="1:6" ht="15" thickBot="1">
      <c r="A187" s="1854" t="s">
        <v>1377</v>
      </c>
      <c r="B187" s="1858" t="s">
        <v>2095</v>
      </c>
      <c r="C187" s="1868"/>
      <c r="D187" s="1868"/>
      <c r="E187" s="1868"/>
      <c r="F187" s="1860">
        <v>0.05</v>
      </c>
    </row>
    <row r="188" spans="1:6" ht="24.6" thickBot="1">
      <c r="A188" s="1854" t="s">
        <v>1377</v>
      </c>
      <c r="B188" s="1858" t="s">
        <v>2096</v>
      </c>
      <c r="C188" s="1868"/>
      <c r="D188" s="1868"/>
      <c r="E188" s="1868"/>
      <c r="F188" s="1860">
        <v>0.05</v>
      </c>
    </row>
    <row r="189" spans="1:6" ht="24.6" thickBot="1">
      <c r="A189" s="1854" t="s">
        <v>1377</v>
      </c>
      <c r="B189" s="1858" t="s">
        <v>2097</v>
      </c>
      <c r="C189" s="1868"/>
      <c r="D189" s="1868"/>
      <c r="E189" s="1868"/>
      <c r="F189" s="1860">
        <v>0.05</v>
      </c>
    </row>
    <row r="190" spans="1:6" ht="24.6" thickBot="1">
      <c r="A190" s="1854" t="s">
        <v>1377</v>
      </c>
      <c r="B190" s="1858" t="s">
        <v>2098</v>
      </c>
      <c r="C190" s="1868"/>
      <c r="D190" s="1868"/>
      <c r="E190" s="1868"/>
      <c r="F190" s="1860">
        <v>0.05</v>
      </c>
    </row>
    <row r="191" spans="1:6" ht="24.6" thickBot="1">
      <c r="A191" s="1854" t="s">
        <v>1377</v>
      </c>
      <c r="B191" s="1858" t="s">
        <v>2099</v>
      </c>
      <c r="C191" s="1868"/>
      <c r="D191" s="1868"/>
      <c r="E191" s="1868"/>
      <c r="F191" s="1860">
        <v>0.05</v>
      </c>
    </row>
    <row r="192" spans="1:6" ht="24.6" thickBot="1">
      <c r="A192" s="1854" t="s">
        <v>1377</v>
      </c>
      <c r="B192" s="1858" t="s">
        <v>2100</v>
      </c>
      <c r="C192" s="1868"/>
      <c r="D192" s="1868"/>
      <c r="E192" s="1868"/>
      <c r="F192" s="1860">
        <v>0.05</v>
      </c>
    </row>
    <row r="193" spans="1:6" ht="24.6" thickBot="1">
      <c r="A193" s="1854" t="s">
        <v>1377</v>
      </c>
      <c r="B193" s="1858" t="s">
        <v>2101</v>
      </c>
      <c r="C193" s="1868"/>
      <c r="D193" s="1868"/>
      <c r="E193" s="1868"/>
      <c r="F193" s="1860">
        <v>0.05</v>
      </c>
    </row>
    <row r="194" spans="1:6" ht="24.6" thickBot="1">
      <c r="A194" s="1854" t="s">
        <v>1377</v>
      </c>
      <c r="B194" s="1858" t="s">
        <v>2102</v>
      </c>
      <c r="C194" s="1868"/>
      <c r="D194" s="1868"/>
      <c r="E194" s="1868"/>
      <c r="F194" s="1860">
        <v>0.05</v>
      </c>
    </row>
    <row r="195" spans="1:6" ht="15" thickBot="1">
      <c r="A195" s="1854" t="s">
        <v>1377</v>
      </c>
      <c r="B195" s="1858" t="s">
        <v>2103</v>
      </c>
      <c r="C195" s="1868"/>
      <c r="D195" s="1868"/>
      <c r="E195" s="1868"/>
      <c r="F195" s="1860">
        <v>0.05</v>
      </c>
    </row>
    <row r="196" spans="1:6" ht="24.6" thickBot="1">
      <c r="A196" s="1854" t="s">
        <v>1377</v>
      </c>
      <c r="B196" s="1858" t="s">
        <v>2104</v>
      </c>
      <c r="C196" s="1868"/>
      <c r="D196" s="1868"/>
      <c r="E196" s="1868"/>
      <c r="F196" s="1860">
        <v>0.05</v>
      </c>
    </row>
    <row r="197" spans="1:6" ht="24.6" thickBot="1">
      <c r="A197" s="1854" t="s">
        <v>1377</v>
      </c>
      <c r="B197" s="1858" t="s">
        <v>2105</v>
      </c>
      <c r="C197" s="1868"/>
      <c r="D197" s="1868"/>
      <c r="E197" s="1868"/>
      <c r="F197" s="1860">
        <v>0.05</v>
      </c>
    </row>
    <row r="198" spans="1:6" ht="24.6" thickBot="1">
      <c r="A198" s="1854" t="s">
        <v>1377</v>
      </c>
      <c r="B198" s="1858" t="s">
        <v>2106</v>
      </c>
      <c r="C198" s="1868"/>
      <c r="D198" s="1868"/>
      <c r="E198" s="1868"/>
      <c r="F198" s="1860">
        <v>0.05</v>
      </c>
    </row>
    <row r="199" spans="1:6" ht="24.6" thickBot="1">
      <c r="A199" s="1854" t="s">
        <v>1377</v>
      </c>
      <c r="B199" s="1858" t="s">
        <v>2107</v>
      </c>
      <c r="C199" s="1868"/>
      <c r="D199" s="1868"/>
      <c r="E199" s="1868"/>
      <c r="F199" s="1860">
        <v>0.05</v>
      </c>
    </row>
    <row r="200" spans="1:6" ht="24.6" thickBot="1">
      <c r="A200" s="1854" t="s">
        <v>1377</v>
      </c>
      <c r="B200" s="1858" t="s">
        <v>2108</v>
      </c>
      <c r="C200" s="1868"/>
      <c r="D200" s="1868"/>
      <c r="E200" s="1868"/>
      <c r="F200" s="1860">
        <v>0.05</v>
      </c>
    </row>
    <row r="201" spans="1:6" ht="24.6" thickBot="1">
      <c r="A201" s="1854" t="s">
        <v>1377</v>
      </c>
      <c r="B201" s="1858" t="s">
        <v>2109</v>
      </c>
      <c r="C201" s="1868"/>
      <c r="D201" s="1868"/>
      <c r="E201" s="1868"/>
      <c r="F201" s="1860">
        <v>0.05</v>
      </c>
    </row>
    <row r="202" spans="1:6" ht="24.6" thickBot="1">
      <c r="A202" s="1854" t="s">
        <v>1377</v>
      </c>
      <c r="B202" s="1858" t="s">
        <v>2110</v>
      </c>
      <c r="C202" s="1868"/>
      <c r="D202" s="1868"/>
      <c r="E202" s="1868"/>
      <c r="F202" s="1860">
        <v>0.05</v>
      </c>
    </row>
    <row r="203" spans="1:6" ht="24.6" thickBot="1">
      <c r="A203" s="1854" t="s">
        <v>1377</v>
      </c>
      <c r="B203" s="1858" t="s">
        <v>2111</v>
      </c>
      <c r="C203" s="1868"/>
      <c r="D203" s="1868"/>
      <c r="E203" s="1868"/>
      <c r="F203" s="1860">
        <v>0.05</v>
      </c>
    </row>
    <row r="204" spans="1:6" ht="15" thickBot="1">
      <c r="A204" s="1854" t="s">
        <v>1377</v>
      </c>
      <c r="B204" s="1858" t="s">
        <v>2112</v>
      </c>
      <c r="C204" s="1868"/>
      <c r="D204" s="1868"/>
      <c r="E204" s="1868"/>
      <c r="F204" s="1860">
        <v>0.05</v>
      </c>
    </row>
    <row r="205" spans="1:6" ht="15" thickBot="1">
      <c r="A205" s="1862" t="s">
        <v>1377</v>
      </c>
      <c r="B205" s="1869" t="s">
        <v>2113</v>
      </c>
      <c r="C205" s="1865"/>
      <c r="D205" s="1865"/>
      <c r="E205" s="1865"/>
      <c r="F205" s="1870">
        <v>0.05</v>
      </c>
    </row>
    <row r="206" spans="1:6" ht="15" thickBot="1">
      <c r="A206" s="1854" t="s">
        <v>1379</v>
      </c>
      <c r="B206" s="1855" t="s">
        <v>2114</v>
      </c>
      <c r="C206" s="1856">
        <v>0.15</v>
      </c>
      <c r="D206" s="1856">
        <v>0.15</v>
      </c>
      <c r="E206" s="1856">
        <v>0.15</v>
      </c>
      <c r="F206" s="1857">
        <v>0.15</v>
      </c>
    </row>
    <row r="207" spans="1:6" ht="15" thickBot="1">
      <c r="A207" s="1854" t="s">
        <v>1379</v>
      </c>
      <c r="B207" s="1858" t="s">
        <v>1043</v>
      </c>
      <c r="C207" s="1859">
        <v>0.15</v>
      </c>
      <c r="D207" s="1859">
        <v>0.15</v>
      </c>
      <c r="E207" s="1859">
        <v>0.15</v>
      </c>
      <c r="F207" s="1860">
        <v>0.14399999999999999</v>
      </c>
    </row>
    <row r="208" spans="1:6" ht="15" thickBot="1">
      <c r="A208" s="1854" t="s">
        <v>1379</v>
      </c>
      <c r="B208" s="1858" t="s">
        <v>1057</v>
      </c>
      <c r="C208" s="1859">
        <v>0.15</v>
      </c>
      <c r="D208" s="1859">
        <v>0.15</v>
      </c>
      <c r="E208" s="1859">
        <v>0.15</v>
      </c>
      <c r="F208" s="1860">
        <v>0.15</v>
      </c>
    </row>
    <row r="209" spans="1:6" ht="15" thickBot="1">
      <c r="A209" s="1854" t="s">
        <v>1379</v>
      </c>
      <c r="B209" s="1858" t="s">
        <v>1070</v>
      </c>
      <c r="C209" s="1859">
        <v>0.13700000000000001</v>
      </c>
      <c r="D209" s="1859">
        <v>0.13700000000000001</v>
      </c>
      <c r="E209" s="1859">
        <v>0.14000000000000001</v>
      </c>
      <c r="F209" s="1860">
        <v>0.11700000000000001</v>
      </c>
    </row>
    <row r="210" spans="1:6" ht="15" thickBot="1">
      <c r="A210" s="1854" t="s">
        <v>1379</v>
      </c>
      <c r="B210" s="1858" t="s">
        <v>2115</v>
      </c>
      <c r="C210" s="1859">
        <v>0.15</v>
      </c>
      <c r="D210" s="1859">
        <v>0.15</v>
      </c>
      <c r="E210" s="1859">
        <v>0.15</v>
      </c>
      <c r="F210" s="1860">
        <v>0.13800000000000001</v>
      </c>
    </row>
    <row r="211" spans="1:6" ht="15" thickBot="1">
      <c r="A211" s="1854" t="s">
        <v>1379</v>
      </c>
      <c r="B211" s="1858" t="s">
        <v>2116</v>
      </c>
      <c r="C211" s="1859">
        <v>0.13700000000000001</v>
      </c>
      <c r="D211" s="1859">
        <v>0.13500000000000001</v>
      </c>
      <c r="E211" s="1859">
        <v>0.13600000000000001</v>
      </c>
      <c r="F211" s="1860">
        <v>0.1</v>
      </c>
    </row>
    <row r="212" spans="1:6" ht="15" thickBot="1">
      <c r="A212" s="1854" t="s">
        <v>1379</v>
      </c>
      <c r="B212" s="1858" t="s">
        <v>2117</v>
      </c>
      <c r="C212" s="1859">
        <v>0.15</v>
      </c>
      <c r="D212" s="1859">
        <v>0.15</v>
      </c>
      <c r="E212" s="1859">
        <v>0.14799999999999999</v>
      </c>
      <c r="F212" s="1860">
        <v>0.13600000000000001</v>
      </c>
    </row>
    <row r="213" spans="1:6" ht="15" thickBot="1">
      <c r="A213" s="1854" t="s">
        <v>1379</v>
      </c>
      <c r="B213" s="1858" t="s">
        <v>1117</v>
      </c>
      <c r="C213" s="1859">
        <v>0.15</v>
      </c>
      <c r="D213" s="1859">
        <v>0.15</v>
      </c>
      <c r="E213" s="1859">
        <v>0.15</v>
      </c>
      <c r="F213" s="1860">
        <v>0.13800000000000001</v>
      </c>
    </row>
    <row r="214" spans="1:6" ht="15" thickBot="1">
      <c r="A214" s="1854" t="s">
        <v>1379</v>
      </c>
      <c r="B214" s="1858" t="s">
        <v>1129</v>
      </c>
      <c r="C214" s="1859">
        <v>9.0999999999999998E-2</v>
      </c>
      <c r="D214" s="1859">
        <v>0.09</v>
      </c>
      <c r="E214" s="1859">
        <v>9.1999999999999998E-2</v>
      </c>
      <c r="F214" s="1867"/>
    </row>
    <row r="215" spans="1:6" ht="15" thickBot="1">
      <c r="A215" s="1854" t="s">
        <v>1379</v>
      </c>
      <c r="B215" s="1858" t="s">
        <v>2118</v>
      </c>
      <c r="C215" s="1859">
        <v>0.15</v>
      </c>
      <c r="D215" s="1859">
        <v>0.15</v>
      </c>
      <c r="E215" s="1859">
        <v>0.15</v>
      </c>
      <c r="F215" s="1860">
        <v>0.15</v>
      </c>
    </row>
    <row r="216" spans="1:6" ht="15" thickBot="1">
      <c r="A216" s="1854" t="s">
        <v>1379</v>
      </c>
      <c r="B216" s="1858" t="s">
        <v>1149</v>
      </c>
      <c r="C216" s="1859">
        <v>0.14699999999999999</v>
      </c>
      <c r="D216" s="1859">
        <v>0.14699999999999999</v>
      </c>
      <c r="E216" s="1859">
        <v>0.15</v>
      </c>
      <c r="F216" s="1860">
        <v>0.14000000000000001</v>
      </c>
    </row>
    <row r="217" spans="1:6" ht="15" thickBot="1">
      <c r="A217" s="1854" t="s">
        <v>1379</v>
      </c>
      <c r="B217" s="1858" t="s">
        <v>1159</v>
      </c>
      <c r="C217" s="1859">
        <v>0.15</v>
      </c>
      <c r="D217" s="1859">
        <v>0.15</v>
      </c>
      <c r="E217" s="1859">
        <v>0.15</v>
      </c>
      <c r="F217" s="1860">
        <v>0.15</v>
      </c>
    </row>
    <row r="218" spans="1:6" ht="15" thickBot="1">
      <c r="A218" s="1854" t="s">
        <v>1379</v>
      </c>
      <c r="B218" s="1858" t="s">
        <v>2119</v>
      </c>
      <c r="C218" s="1859">
        <v>0.15</v>
      </c>
      <c r="D218" s="1859">
        <v>0.15</v>
      </c>
      <c r="E218" s="1859">
        <v>0.15</v>
      </c>
      <c r="F218" s="1860">
        <v>0.15</v>
      </c>
    </row>
    <row r="219" spans="1:6" ht="15" thickBot="1">
      <c r="A219" s="1854" t="s">
        <v>1379</v>
      </c>
      <c r="B219" s="1858" t="s">
        <v>1179</v>
      </c>
      <c r="C219" s="1859">
        <v>0.15</v>
      </c>
      <c r="D219" s="1859">
        <v>0.15</v>
      </c>
      <c r="E219" s="1859">
        <v>0.15</v>
      </c>
      <c r="F219" s="1860">
        <v>0.14799999999999999</v>
      </c>
    </row>
    <row r="220" spans="1:6" ht="15" thickBot="1">
      <c r="A220" s="1854" t="s">
        <v>1379</v>
      </c>
      <c r="B220" s="1858" t="s">
        <v>2120</v>
      </c>
      <c r="C220" s="1859">
        <v>0.15</v>
      </c>
      <c r="D220" s="1859">
        <v>0.15</v>
      </c>
      <c r="E220" s="1859">
        <v>0.15</v>
      </c>
      <c r="F220" s="1860">
        <v>0.15</v>
      </c>
    </row>
    <row r="221" spans="1:6" ht="15" thickBot="1">
      <c r="A221" s="1854" t="s">
        <v>1379</v>
      </c>
      <c r="B221" s="1858" t="s">
        <v>1199</v>
      </c>
      <c r="C221" s="1859"/>
      <c r="D221" s="1868"/>
      <c r="E221" s="1868"/>
      <c r="F221" s="1860">
        <v>0.14799999999999999</v>
      </c>
    </row>
    <row r="222" spans="1:6" ht="15" thickBot="1">
      <c r="A222" s="1854" t="s">
        <v>1379</v>
      </c>
      <c r="B222" s="1858" t="s">
        <v>1209</v>
      </c>
      <c r="C222" s="1859"/>
      <c r="D222" s="1868"/>
      <c r="E222" s="1868"/>
      <c r="F222" s="1860">
        <v>0.1</v>
      </c>
    </row>
    <row r="223" spans="1:6" ht="15" thickBot="1">
      <c r="A223" s="1854" t="s">
        <v>1379</v>
      </c>
      <c r="B223" s="1858" t="s">
        <v>1219</v>
      </c>
      <c r="C223" s="1859"/>
      <c r="D223" s="1868"/>
      <c r="E223" s="1868"/>
      <c r="F223" s="1860">
        <v>0.15</v>
      </c>
    </row>
    <row r="224" spans="1:6" ht="15" thickBot="1">
      <c r="A224" s="1854" t="s">
        <v>1379</v>
      </c>
      <c r="B224" s="1858" t="s">
        <v>1229</v>
      </c>
      <c r="C224" s="1859"/>
      <c r="D224" s="1868"/>
      <c r="E224" s="1868"/>
      <c r="F224" s="1860">
        <v>0.15</v>
      </c>
    </row>
    <row r="225" spans="1:6" ht="15" thickBot="1">
      <c r="A225" s="1854" t="s">
        <v>1379</v>
      </c>
      <c r="B225" s="1858" t="s">
        <v>2121</v>
      </c>
      <c r="C225" s="1859">
        <v>0.15</v>
      </c>
      <c r="D225" s="1859">
        <v>0.15</v>
      </c>
      <c r="E225" s="1859">
        <v>0.15</v>
      </c>
      <c r="F225" s="1860">
        <v>0.15</v>
      </c>
    </row>
    <row r="226" spans="1:6" ht="15" thickBot="1">
      <c r="A226" s="1854" t="s">
        <v>1379</v>
      </c>
      <c r="B226" s="1858" t="s">
        <v>1247</v>
      </c>
      <c r="C226" s="1859">
        <v>0.15</v>
      </c>
      <c r="D226" s="1859">
        <v>0.15</v>
      </c>
      <c r="E226" s="1859">
        <v>0.15</v>
      </c>
      <c r="F226" s="1860">
        <v>0.14799999999999999</v>
      </c>
    </row>
    <row r="227" spans="1:6" ht="15" thickBot="1">
      <c r="A227" s="1854" t="s">
        <v>1379</v>
      </c>
      <c r="B227" s="1858" t="s">
        <v>2122</v>
      </c>
      <c r="C227" s="1859">
        <v>0.15</v>
      </c>
      <c r="D227" s="1859">
        <v>0.15</v>
      </c>
      <c r="E227" s="1859">
        <v>0.15</v>
      </c>
      <c r="F227" s="1860">
        <v>0.15</v>
      </c>
    </row>
    <row r="228" spans="1:6" ht="15" thickBot="1">
      <c r="A228" s="1854" t="s">
        <v>1379</v>
      </c>
      <c r="B228" s="1858" t="s">
        <v>1262</v>
      </c>
      <c r="C228" s="1859">
        <v>0.15</v>
      </c>
      <c r="D228" s="1859">
        <v>0.15</v>
      </c>
      <c r="E228" s="1859">
        <v>0.15</v>
      </c>
      <c r="F228" s="1860">
        <v>0.15</v>
      </c>
    </row>
    <row r="229" spans="1:6" ht="15" thickBot="1">
      <c r="A229" s="1854" t="s">
        <v>1379</v>
      </c>
      <c r="B229" s="1858" t="s">
        <v>1269</v>
      </c>
      <c r="C229" s="1859">
        <v>0.15</v>
      </c>
      <c r="D229" s="1859">
        <v>0.15</v>
      </c>
      <c r="E229" s="1859">
        <v>0.15</v>
      </c>
      <c r="F229" s="1867"/>
    </row>
    <row r="230" spans="1:6" ht="15" thickBot="1">
      <c r="A230" s="1854" t="s">
        <v>1379</v>
      </c>
      <c r="B230" s="1858" t="s">
        <v>1276</v>
      </c>
      <c r="C230" s="1859">
        <v>0.14499999999999999</v>
      </c>
      <c r="D230" s="1859">
        <v>0.14499999999999999</v>
      </c>
      <c r="E230" s="1859">
        <v>0.14399999999999999</v>
      </c>
      <c r="F230" s="1867"/>
    </row>
    <row r="231" spans="1:6" ht="15" thickBot="1">
      <c r="A231" s="1854" t="s">
        <v>1379</v>
      </c>
      <c r="B231" s="1858" t="s">
        <v>2123</v>
      </c>
      <c r="C231" s="1859">
        <v>0.128</v>
      </c>
      <c r="D231" s="1859">
        <v>0.125</v>
      </c>
      <c r="E231" s="1859">
        <v>0.13200000000000001</v>
      </c>
      <c r="F231" s="1867"/>
    </row>
    <row r="232" spans="1:6" ht="15" thickBot="1">
      <c r="A232" s="1854" t="s">
        <v>1379</v>
      </c>
      <c r="B232" s="1858" t="s">
        <v>2124</v>
      </c>
      <c r="C232" s="1859">
        <v>0.14499999999999999</v>
      </c>
      <c r="D232" s="1859">
        <v>0.14399999999999999</v>
      </c>
      <c r="E232" s="1859">
        <v>0.14599999999999999</v>
      </c>
      <c r="F232" s="1860">
        <v>0.13800000000000001</v>
      </c>
    </row>
    <row r="233" spans="1:6" ht="15" thickBot="1">
      <c r="A233" s="1854" t="s">
        <v>1379</v>
      </c>
      <c r="B233" s="1858" t="s">
        <v>2125</v>
      </c>
      <c r="C233" s="1859">
        <v>0.14499999999999999</v>
      </c>
      <c r="D233" s="1859">
        <v>0.14299999999999999</v>
      </c>
      <c r="E233" s="1859">
        <v>0.14199999999999999</v>
      </c>
      <c r="F233" s="1867"/>
    </row>
    <row r="234" spans="1:6" ht="15" thickBot="1">
      <c r="A234" s="1854" t="s">
        <v>1379</v>
      </c>
      <c r="B234" s="1858" t="s">
        <v>2126</v>
      </c>
      <c r="C234" s="1859">
        <v>0.14000000000000001</v>
      </c>
      <c r="D234" s="1859">
        <v>0.14000000000000001</v>
      </c>
      <c r="E234" s="1859">
        <v>0.14399999999999999</v>
      </c>
      <c r="F234" s="1867"/>
    </row>
    <row r="235" spans="1:6" ht="15" thickBot="1">
      <c r="A235" s="1854" t="s">
        <v>1379</v>
      </c>
      <c r="B235" s="1858" t="s">
        <v>2127</v>
      </c>
      <c r="C235" s="1859">
        <v>0.14099999999999999</v>
      </c>
      <c r="D235" s="1859">
        <v>0.14199999999999999</v>
      </c>
      <c r="E235" s="1859">
        <v>0.14499999999999999</v>
      </c>
      <c r="F235" s="1860">
        <v>0.15</v>
      </c>
    </row>
    <row r="236" spans="1:6" ht="15" thickBot="1">
      <c r="A236" s="1854" t="s">
        <v>1379</v>
      </c>
      <c r="B236" s="1858" t="s">
        <v>1311</v>
      </c>
      <c r="C236" s="1868"/>
      <c r="D236" s="1868"/>
      <c r="E236" s="1868"/>
      <c r="F236" s="1860">
        <v>0.14299999999999999</v>
      </c>
    </row>
    <row r="237" spans="1:6" ht="24.6" thickBot="1">
      <c r="A237" s="1854" t="s">
        <v>1379</v>
      </c>
      <c r="B237" s="1858" t="s">
        <v>2128</v>
      </c>
      <c r="C237" s="1868"/>
      <c r="D237" s="1868"/>
      <c r="E237" s="1868"/>
      <c r="F237" s="1860">
        <v>0.05</v>
      </c>
    </row>
    <row r="238" spans="1:6" ht="24.6" thickBot="1">
      <c r="A238" s="1854" t="s">
        <v>1379</v>
      </c>
      <c r="B238" s="1858" t="s">
        <v>2129</v>
      </c>
      <c r="C238" s="1868"/>
      <c r="D238" s="1868"/>
      <c r="E238" s="1868"/>
      <c r="F238" s="1860">
        <v>0.05</v>
      </c>
    </row>
    <row r="239" spans="1:6" ht="24.6" thickBot="1">
      <c r="A239" s="1854" t="s">
        <v>1379</v>
      </c>
      <c r="B239" s="1858" t="s">
        <v>2130</v>
      </c>
      <c r="C239" s="1868"/>
      <c r="D239" s="1868"/>
      <c r="E239" s="1868"/>
      <c r="F239" s="1860">
        <v>0.05</v>
      </c>
    </row>
    <row r="240" spans="1:6" ht="24.6" thickBot="1">
      <c r="A240" s="1854" t="s">
        <v>1379</v>
      </c>
      <c r="B240" s="1858" t="s">
        <v>2131</v>
      </c>
      <c r="C240" s="1868"/>
      <c r="D240" s="1868"/>
      <c r="E240" s="1868"/>
      <c r="F240" s="1860">
        <v>0.05</v>
      </c>
    </row>
    <row r="241" spans="1:6" ht="24.6" thickBot="1">
      <c r="A241" s="1854" t="s">
        <v>1379</v>
      </c>
      <c r="B241" s="1858" t="s">
        <v>2132</v>
      </c>
      <c r="C241" s="1868"/>
      <c r="D241" s="1868"/>
      <c r="E241" s="1868"/>
      <c r="F241" s="1860">
        <v>0.05</v>
      </c>
    </row>
    <row r="242" spans="1:6" ht="24.6" thickBot="1">
      <c r="A242" s="1854" t="s">
        <v>1379</v>
      </c>
      <c r="B242" s="1858" t="s">
        <v>2133</v>
      </c>
      <c r="C242" s="1868"/>
      <c r="D242" s="1868"/>
      <c r="E242" s="1868"/>
      <c r="F242" s="1860">
        <v>0.05</v>
      </c>
    </row>
    <row r="243" spans="1:6" ht="24.6" thickBot="1">
      <c r="A243" s="1854" t="s">
        <v>1379</v>
      </c>
      <c r="B243" s="1858" t="s">
        <v>2134</v>
      </c>
      <c r="C243" s="1868"/>
      <c r="D243" s="1868"/>
      <c r="E243" s="1868"/>
      <c r="F243" s="1860">
        <v>0.05</v>
      </c>
    </row>
    <row r="244" spans="1:6" ht="24.6" thickBot="1">
      <c r="A244" s="1862" t="s">
        <v>1379</v>
      </c>
      <c r="B244" s="1869" t="s">
        <v>2135</v>
      </c>
      <c r="C244" s="1865"/>
      <c r="D244" s="1865"/>
      <c r="E244" s="1865"/>
      <c r="F244" s="1870">
        <v>0.05</v>
      </c>
    </row>
    <row r="245" spans="1:6" ht="15" thickBot="1">
      <c r="A245" s="1854" t="s">
        <v>1381</v>
      </c>
      <c r="B245" s="1855" t="s">
        <v>2136</v>
      </c>
      <c r="C245" s="1856">
        <v>0.15</v>
      </c>
      <c r="D245" s="1856">
        <v>0.15</v>
      </c>
      <c r="E245" s="1856">
        <v>0.15</v>
      </c>
      <c r="F245" s="1857">
        <v>0.14299999999999999</v>
      </c>
    </row>
    <row r="246" spans="1:6" ht="15" thickBot="1">
      <c r="A246" s="1854" t="s">
        <v>1381</v>
      </c>
      <c r="B246" s="1858" t="s">
        <v>1044</v>
      </c>
      <c r="C246" s="1859">
        <v>0.15</v>
      </c>
      <c r="D246" s="1859">
        <v>0.15</v>
      </c>
      <c r="E246" s="1859">
        <v>0.15</v>
      </c>
      <c r="F246" s="1860">
        <v>0.114</v>
      </c>
    </row>
    <row r="247" spans="1:6" ht="15" thickBot="1">
      <c r="A247" s="1854" t="s">
        <v>1381</v>
      </c>
      <c r="B247" s="1858" t="s">
        <v>2137</v>
      </c>
      <c r="C247" s="1859">
        <v>0.15</v>
      </c>
      <c r="D247" s="1859">
        <v>0.15</v>
      </c>
      <c r="E247" s="1859">
        <v>0.15</v>
      </c>
      <c r="F247" s="1860">
        <v>0.15</v>
      </c>
    </row>
    <row r="248" spans="1:6" ht="15" thickBot="1">
      <c r="A248" s="1854" t="s">
        <v>1381</v>
      </c>
      <c r="B248" s="1858" t="s">
        <v>2138</v>
      </c>
      <c r="C248" s="1859">
        <v>0.15</v>
      </c>
      <c r="D248" s="1859">
        <v>0.15</v>
      </c>
      <c r="E248" s="1859">
        <v>0.15</v>
      </c>
      <c r="F248" s="1860">
        <v>0.14000000000000001</v>
      </c>
    </row>
    <row r="249" spans="1:6" ht="15" thickBot="1">
      <c r="A249" s="1854" t="s">
        <v>1381</v>
      </c>
      <c r="B249" s="1858" t="s">
        <v>2139</v>
      </c>
      <c r="C249" s="1859">
        <v>0.15</v>
      </c>
      <c r="D249" s="1859">
        <v>0.14899999999999999</v>
      </c>
      <c r="E249" s="1859">
        <v>0.15</v>
      </c>
      <c r="F249" s="1860">
        <v>0.1</v>
      </c>
    </row>
    <row r="250" spans="1:6" ht="15" thickBot="1">
      <c r="A250" s="1854" t="s">
        <v>1381</v>
      </c>
      <c r="B250" s="1858" t="s">
        <v>2140</v>
      </c>
      <c r="C250" s="1859">
        <v>0.15</v>
      </c>
      <c r="D250" s="1859">
        <v>0.15</v>
      </c>
      <c r="E250" s="1859">
        <v>0.15</v>
      </c>
      <c r="F250" s="1860">
        <v>0.14399999999999999</v>
      </c>
    </row>
    <row r="251" spans="1:6" ht="15" thickBot="1">
      <c r="A251" s="1854" t="s">
        <v>1381</v>
      </c>
      <c r="B251" s="1858" t="s">
        <v>1107</v>
      </c>
      <c r="C251" s="1859">
        <v>0.15</v>
      </c>
      <c r="D251" s="1859">
        <v>0.15</v>
      </c>
      <c r="E251" s="1859">
        <v>0.15</v>
      </c>
      <c r="F251" s="1860">
        <v>0.14299999999999999</v>
      </c>
    </row>
    <row r="252" spans="1:6" ht="15" thickBot="1">
      <c r="A252" s="1854" t="s">
        <v>1381</v>
      </c>
      <c r="B252" s="1858" t="s">
        <v>1118</v>
      </c>
      <c r="C252" s="1859">
        <v>0.15</v>
      </c>
      <c r="D252" s="1859">
        <v>0.15</v>
      </c>
      <c r="E252" s="1859">
        <v>0.15</v>
      </c>
      <c r="F252" s="1860">
        <v>0.1</v>
      </c>
    </row>
    <row r="253" spans="1:6" ht="15" thickBot="1">
      <c r="A253" s="1854" t="s">
        <v>1381</v>
      </c>
      <c r="B253" s="1858" t="s">
        <v>1130</v>
      </c>
      <c r="C253" s="1859">
        <v>0.15</v>
      </c>
      <c r="D253" s="1859">
        <v>0.15</v>
      </c>
      <c r="E253" s="1859">
        <v>0.15</v>
      </c>
      <c r="F253" s="1860">
        <v>0.1</v>
      </c>
    </row>
    <row r="254" spans="1:6" ht="15" thickBot="1">
      <c r="A254" s="1854" t="s">
        <v>1381</v>
      </c>
      <c r="B254" s="1858" t="s">
        <v>1140</v>
      </c>
      <c r="C254" s="1868"/>
      <c r="D254" s="1868"/>
      <c r="E254" s="1868"/>
      <c r="F254" s="1860">
        <v>0.15</v>
      </c>
    </row>
    <row r="255" spans="1:6" ht="15" thickBot="1">
      <c r="A255" s="1854" t="s">
        <v>1381</v>
      </c>
      <c r="B255" s="1858" t="s">
        <v>1150</v>
      </c>
      <c r="C255" s="1868"/>
      <c r="D255" s="1868"/>
      <c r="E255" s="1868"/>
      <c r="F255" s="1860">
        <v>0.14299999999999999</v>
      </c>
    </row>
    <row r="256" spans="1:6" ht="15" thickBot="1">
      <c r="A256" s="1854" t="s">
        <v>1381</v>
      </c>
      <c r="B256" s="1858" t="s">
        <v>2141</v>
      </c>
      <c r="C256" s="1859">
        <v>0.14599999999999999</v>
      </c>
      <c r="D256" s="1859">
        <v>0.14699999999999999</v>
      </c>
      <c r="E256" s="1859">
        <v>0.15</v>
      </c>
      <c r="F256" s="1860">
        <v>0.13200000000000001</v>
      </c>
    </row>
    <row r="257" spans="1:6" ht="15" thickBot="1">
      <c r="A257" s="1854" t="s">
        <v>1381</v>
      </c>
      <c r="B257" s="1858" t="s">
        <v>1170</v>
      </c>
      <c r="C257" s="1859">
        <v>0.15</v>
      </c>
      <c r="D257" s="1859">
        <v>0.15</v>
      </c>
      <c r="E257" s="1859">
        <v>0.15</v>
      </c>
      <c r="F257" s="1860">
        <v>0.13900000000000001</v>
      </c>
    </row>
    <row r="258" spans="1:6" ht="15" thickBot="1">
      <c r="A258" s="1854" t="s">
        <v>1381</v>
      </c>
      <c r="B258" s="1858" t="s">
        <v>1180</v>
      </c>
      <c r="C258" s="1859">
        <v>0.15</v>
      </c>
      <c r="D258" s="1859">
        <v>0.15</v>
      </c>
      <c r="E258" s="1859">
        <v>0.15</v>
      </c>
      <c r="F258" s="1860">
        <v>0.13</v>
      </c>
    </row>
    <row r="259" spans="1:6" ht="15" thickBot="1">
      <c r="A259" s="1854" t="s">
        <v>1381</v>
      </c>
      <c r="B259" s="1858" t="s">
        <v>2142</v>
      </c>
      <c r="C259" s="1859">
        <v>0.14799999999999999</v>
      </c>
      <c r="D259" s="1859">
        <v>0.14899999999999999</v>
      </c>
      <c r="E259" s="1859">
        <v>0.15</v>
      </c>
      <c r="F259" s="1860">
        <v>0.13700000000000001</v>
      </c>
    </row>
    <row r="260" spans="1:6" ht="15" thickBot="1">
      <c r="A260" s="1854" t="s">
        <v>1381</v>
      </c>
      <c r="B260" s="1858" t="s">
        <v>1200</v>
      </c>
      <c r="C260" s="1859">
        <v>0.15</v>
      </c>
      <c r="D260" s="1859">
        <v>0.15</v>
      </c>
      <c r="E260" s="1859">
        <v>0.15</v>
      </c>
      <c r="F260" s="1860">
        <v>0.14199999999999999</v>
      </c>
    </row>
    <row r="261" spans="1:6" ht="15" thickBot="1">
      <c r="A261" s="1854" t="s">
        <v>1381</v>
      </c>
      <c r="B261" s="1858" t="s">
        <v>1210</v>
      </c>
      <c r="C261" s="1859">
        <v>0.15</v>
      </c>
      <c r="D261" s="1859">
        <v>0.15</v>
      </c>
      <c r="E261" s="1859">
        <v>0.14899999999999999</v>
      </c>
      <c r="F261" s="1860">
        <v>0.14799999999999999</v>
      </c>
    </row>
    <row r="262" spans="1:6" ht="15" thickBot="1">
      <c r="A262" s="1854" t="s">
        <v>1381</v>
      </c>
      <c r="B262" s="1858" t="s">
        <v>1220</v>
      </c>
      <c r="C262" s="1859">
        <v>0.15</v>
      </c>
      <c r="D262" s="1859">
        <v>0.15</v>
      </c>
      <c r="E262" s="1859">
        <v>0.15</v>
      </c>
      <c r="F262" s="1867"/>
    </row>
    <row r="263" spans="1:6" ht="15" thickBot="1">
      <c r="A263" s="1854" t="s">
        <v>1381</v>
      </c>
      <c r="B263" s="1858" t="s">
        <v>2143</v>
      </c>
      <c r="C263" s="1859">
        <v>0.14899999999999999</v>
      </c>
      <c r="D263" s="1859">
        <v>0.14899999999999999</v>
      </c>
      <c r="E263" s="1859">
        <v>0.15</v>
      </c>
      <c r="F263" s="1860">
        <v>0.13</v>
      </c>
    </row>
    <row r="264" spans="1:6" ht="15" thickBot="1">
      <c r="A264" s="1854" t="s">
        <v>1381</v>
      </c>
      <c r="B264" s="1858" t="s">
        <v>1239</v>
      </c>
      <c r="C264" s="1859">
        <v>0.14799999999999999</v>
      </c>
      <c r="D264" s="1859">
        <v>0.14699999999999999</v>
      </c>
      <c r="E264" s="1859">
        <v>0.15</v>
      </c>
      <c r="F264" s="1860">
        <v>7.8E-2</v>
      </c>
    </row>
    <row r="265" spans="1:6" ht="15" thickBot="1">
      <c r="A265" s="1854" t="s">
        <v>1381</v>
      </c>
      <c r="B265" s="1858" t="s">
        <v>1248</v>
      </c>
      <c r="C265" s="1859">
        <v>0.15</v>
      </c>
      <c r="D265" s="1859">
        <v>0.15</v>
      </c>
      <c r="E265" s="1859">
        <v>0.15</v>
      </c>
      <c r="F265" s="1860">
        <v>7.3999999999999996E-2</v>
      </c>
    </row>
    <row r="266" spans="1:6" ht="15" thickBot="1">
      <c r="A266" s="1854" t="s">
        <v>1381</v>
      </c>
      <c r="B266" s="1858" t="s">
        <v>1256</v>
      </c>
      <c r="C266" s="1859">
        <v>0.14699999999999999</v>
      </c>
      <c r="D266" s="1859">
        <v>0.14699999999999999</v>
      </c>
      <c r="E266" s="1859">
        <v>0.15</v>
      </c>
      <c r="F266" s="1860">
        <v>0.14299999999999999</v>
      </c>
    </row>
    <row r="267" spans="1:6" ht="15" thickBot="1">
      <c r="A267" s="1854" t="s">
        <v>1381</v>
      </c>
      <c r="B267" s="1858" t="s">
        <v>1263</v>
      </c>
      <c r="C267" s="1859">
        <v>0.14199999999999999</v>
      </c>
      <c r="D267" s="1859">
        <v>0.14299999999999999</v>
      </c>
      <c r="E267" s="1859">
        <v>0.15</v>
      </c>
      <c r="F267" s="1867"/>
    </row>
    <row r="268" spans="1:6" ht="15" thickBot="1">
      <c r="A268" s="1854" t="s">
        <v>1381</v>
      </c>
      <c r="B268" s="1858" t="s">
        <v>2144</v>
      </c>
      <c r="C268" s="1859">
        <v>0.15</v>
      </c>
      <c r="D268" s="1859">
        <v>0.15</v>
      </c>
      <c r="E268" s="1859">
        <v>0.15</v>
      </c>
      <c r="F268" s="1860">
        <v>0.13</v>
      </c>
    </row>
    <row r="269" spans="1:6" ht="15" thickBot="1">
      <c r="A269" s="1854" t="s">
        <v>1381</v>
      </c>
      <c r="B269" s="1858" t="s">
        <v>1277</v>
      </c>
      <c r="C269" s="1859">
        <v>0.15</v>
      </c>
      <c r="D269" s="1859">
        <v>0.15</v>
      </c>
      <c r="E269" s="1859">
        <v>0.15</v>
      </c>
      <c r="F269" s="1860">
        <v>0.14299999999999999</v>
      </c>
    </row>
    <row r="270" spans="1:6" ht="15" thickBot="1">
      <c r="A270" s="1854" t="s">
        <v>1381</v>
      </c>
      <c r="B270" s="1858" t="s">
        <v>1284</v>
      </c>
      <c r="C270" s="1859">
        <v>0.14499999999999999</v>
      </c>
      <c r="D270" s="1859">
        <v>0.14499999999999999</v>
      </c>
      <c r="E270" s="1859">
        <v>0.15</v>
      </c>
      <c r="F270" s="1860">
        <v>0.14699999999999999</v>
      </c>
    </row>
    <row r="271" spans="1:6" ht="15" thickBot="1">
      <c r="A271" s="1854" t="s">
        <v>1381</v>
      </c>
      <c r="B271" s="1858" t="s">
        <v>1291</v>
      </c>
      <c r="C271" s="1859">
        <v>0.15</v>
      </c>
      <c r="D271" s="1859">
        <v>0.15</v>
      </c>
      <c r="E271" s="1859">
        <v>0.15</v>
      </c>
      <c r="F271" s="1860">
        <v>0.13800000000000001</v>
      </c>
    </row>
    <row r="272" spans="1:6" ht="15" thickBot="1">
      <c r="A272" s="1854" t="s">
        <v>1381</v>
      </c>
      <c r="B272" s="1858" t="s">
        <v>1298</v>
      </c>
      <c r="C272" s="1868"/>
      <c r="D272" s="1868"/>
      <c r="E272" s="1868"/>
      <c r="F272" s="1860">
        <v>0.14000000000000001</v>
      </c>
    </row>
    <row r="273" spans="1:6" ht="15" thickBot="1">
      <c r="A273" s="1854" t="s">
        <v>1381</v>
      </c>
      <c r="B273" s="1858" t="s">
        <v>2145</v>
      </c>
      <c r="C273" s="1859">
        <v>0.14199999999999999</v>
      </c>
      <c r="D273" s="1859">
        <v>0.14299999999999999</v>
      </c>
      <c r="E273" s="1859">
        <v>0.15</v>
      </c>
      <c r="F273" s="1860">
        <v>0.1</v>
      </c>
    </row>
    <row r="274" spans="1:6" ht="15" thickBot="1">
      <c r="A274" s="1854" t="s">
        <v>1381</v>
      </c>
      <c r="B274" s="1858" t="s">
        <v>2146</v>
      </c>
      <c r="C274" s="1859">
        <v>0.14799999999999999</v>
      </c>
      <c r="D274" s="1859">
        <v>0.14799999999999999</v>
      </c>
      <c r="E274" s="1859">
        <v>0.15</v>
      </c>
      <c r="F274" s="1860">
        <v>6.7000000000000004E-2</v>
      </c>
    </row>
    <row r="275" spans="1:6" ht="15" thickBot="1">
      <c r="A275" s="1854" t="s">
        <v>1381</v>
      </c>
      <c r="B275" s="1858" t="s">
        <v>2147</v>
      </c>
      <c r="C275" s="1859">
        <v>0.15</v>
      </c>
      <c r="D275" s="1859">
        <v>0.15</v>
      </c>
      <c r="E275" s="1859">
        <v>0.15</v>
      </c>
      <c r="F275" s="1860">
        <v>0.15</v>
      </c>
    </row>
    <row r="276" spans="1:6" ht="15" thickBot="1">
      <c r="A276" s="1854" t="s">
        <v>1381</v>
      </c>
      <c r="B276" s="1858" t="s">
        <v>2148</v>
      </c>
      <c r="C276" s="1859">
        <v>0.14499999999999999</v>
      </c>
      <c r="D276" s="1859">
        <v>0.14299999999999999</v>
      </c>
      <c r="E276" s="1859">
        <v>0.15</v>
      </c>
      <c r="F276" s="1860">
        <v>5.8999999999999997E-2</v>
      </c>
    </row>
    <row r="277" spans="1:6" ht="15" thickBot="1">
      <c r="A277" s="1854" t="s">
        <v>1381</v>
      </c>
      <c r="B277" s="1858" t="s">
        <v>2149</v>
      </c>
      <c r="C277" s="1859">
        <v>0.15</v>
      </c>
      <c r="D277" s="1859">
        <v>0.15</v>
      </c>
      <c r="E277" s="1859">
        <v>0.15</v>
      </c>
      <c r="F277" s="1860">
        <v>0.121</v>
      </c>
    </row>
    <row r="278" spans="1:6" ht="15" thickBot="1">
      <c r="A278" s="1854" t="s">
        <v>1381</v>
      </c>
      <c r="B278" s="1858" t="s">
        <v>2150</v>
      </c>
      <c r="C278" s="1859">
        <v>0.15</v>
      </c>
      <c r="D278" s="1859">
        <v>0.15</v>
      </c>
      <c r="E278" s="1859">
        <v>0.15</v>
      </c>
      <c r="F278" s="1860">
        <v>0.13800000000000001</v>
      </c>
    </row>
    <row r="279" spans="1:6" ht="24.6" thickBot="1">
      <c r="A279" s="1854" t="s">
        <v>1381</v>
      </c>
      <c r="B279" s="1858" t="s">
        <v>2151</v>
      </c>
      <c r="C279" s="1868"/>
      <c r="D279" s="1868"/>
      <c r="E279" s="1868"/>
      <c r="F279" s="1860">
        <v>0.05</v>
      </c>
    </row>
    <row r="280" spans="1:6" ht="24.6" thickBot="1">
      <c r="A280" s="1854" t="s">
        <v>1381</v>
      </c>
      <c r="B280" s="1858" t="s">
        <v>2152</v>
      </c>
      <c r="C280" s="1868"/>
      <c r="D280" s="1868"/>
      <c r="E280" s="1868"/>
      <c r="F280" s="1860">
        <v>0.05</v>
      </c>
    </row>
    <row r="281" spans="1:6" ht="24.6" thickBot="1">
      <c r="A281" s="1854" t="s">
        <v>1381</v>
      </c>
      <c r="B281" s="1858" t="s">
        <v>2153</v>
      </c>
      <c r="C281" s="1868"/>
      <c r="D281" s="1868"/>
      <c r="E281" s="1868"/>
      <c r="F281" s="1860">
        <v>0.05</v>
      </c>
    </row>
    <row r="282" spans="1:6" ht="24.6" thickBot="1">
      <c r="A282" s="1854" t="s">
        <v>1381</v>
      </c>
      <c r="B282" s="1858" t="s">
        <v>2154</v>
      </c>
      <c r="C282" s="1868"/>
      <c r="D282" s="1868"/>
      <c r="E282" s="1868"/>
      <c r="F282" s="1860">
        <v>0.05</v>
      </c>
    </row>
    <row r="283" spans="1:6" ht="24.6" thickBot="1">
      <c r="A283" s="1854" t="s">
        <v>1381</v>
      </c>
      <c r="B283" s="1858" t="s">
        <v>2155</v>
      </c>
      <c r="C283" s="1868"/>
      <c r="D283" s="1868"/>
      <c r="E283" s="1868"/>
      <c r="F283" s="1860">
        <v>0.05</v>
      </c>
    </row>
    <row r="284" spans="1:6" ht="24.6" thickBot="1">
      <c r="A284" s="1854" t="s">
        <v>1381</v>
      </c>
      <c r="B284" s="1858" t="s">
        <v>2156</v>
      </c>
      <c r="C284" s="1868"/>
      <c r="D284" s="1868"/>
      <c r="E284" s="1868"/>
      <c r="F284" s="1860">
        <v>0.05</v>
      </c>
    </row>
    <row r="285" spans="1:6" ht="24.6" thickBot="1">
      <c r="A285" s="1854" t="s">
        <v>1381</v>
      </c>
      <c r="B285" s="1858" t="s">
        <v>2157</v>
      </c>
      <c r="C285" s="1868"/>
      <c r="D285" s="1868"/>
      <c r="E285" s="1868"/>
      <c r="F285" s="1860">
        <v>0.05</v>
      </c>
    </row>
    <row r="286" spans="1:6" ht="24.6" thickBot="1">
      <c r="A286" s="1854" t="s">
        <v>1381</v>
      </c>
      <c r="B286" s="1858" t="s">
        <v>2158</v>
      </c>
      <c r="C286" s="1868"/>
      <c r="D286" s="1868"/>
      <c r="E286" s="1868"/>
      <c r="F286" s="1860">
        <v>0.05</v>
      </c>
    </row>
    <row r="287" spans="1:6" ht="24.6" thickBot="1">
      <c r="A287" s="1854" t="s">
        <v>1381</v>
      </c>
      <c r="B287" s="1858" t="s">
        <v>2159</v>
      </c>
      <c r="C287" s="1868"/>
      <c r="D287" s="1868"/>
      <c r="E287" s="1868"/>
      <c r="F287" s="1860">
        <v>0.05</v>
      </c>
    </row>
    <row r="288" spans="1:6" ht="24.6" thickBot="1">
      <c r="A288" s="1854" t="s">
        <v>1381</v>
      </c>
      <c r="B288" s="1858" t="s">
        <v>2160</v>
      </c>
      <c r="C288" s="1868"/>
      <c r="D288" s="1868"/>
      <c r="E288" s="1868"/>
      <c r="F288" s="1860">
        <v>0.05</v>
      </c>
    </row>
    <row r="289" spans="1:6" ht="24.6" thickBot="1">
      <c r="A289" s="1862" t="s">
        <v>1381</v>
      </c>
      <c r="B289" s="1869" t="s">
        <v>2161</v>
      </c>
      <c r="C289" s="1865"/>
      <c r="D289" s="1865"/>
      <c r="E289" s="1865"/>
      <c r="F289" s="1870">
        <v>0.05</v>
      </c>
    </row>
    <row r="290" spans="1:6" ht="15" thickBot="1">
      <c r="A290" s="1854" t="s">
        <v>1385</v>
      </c>
      <c r="B290" s="1855" t="s">
        <v>2162</v>
      </c>
      <c r="C290" s="1856">
        <v>0.15</v>
      </c>
      <c r="D290" s="1856">
        <v>0.15</v>
      </c>
      <c r="E290" s="1856">
        <v>0.15</v>
      </c>
      <c r="F290" s="1878"/>
    </row>
    <row r="291" spans="1:6" ht="15" thickBot="1">
      <c r="A291" s="1854" t="s">
        <v>1385</v>
      </c>
      <c r="B291" s="1858" t="s">
        <v>1045</v>
      </c>
      <c r="C291" s="1859">
        <v>0.15</v>
      </c>
      <c r="D291" s="1859">
        <v>0.15</v>
      </c>
      <c r="E291" s="1859">
        <v>0.15</v>
      </c>
      <c r="F291" s="1867"/>
    </row>
    <row r="292" spans="1:6" ht="15" thickBot="1">
      <c r="A292" s="1854" t="s">
        <v>1385</v>
      </c>
      <c r="B292" s="1858" t="s">
        <v>2163</v>
      </c>
      <c r="C292" s="1859">
        <v>0.15</v>
      </c>
      <c r="D292" s="1859">
        <v>0.15</v>
      </c>
      <c r="E292" s="1859">
        <v>0.15</v>
      </c>
      <c r="F292" s="1860">
        <v>0.14699999999999999</v>
      </c>
    </row>
    <row r="293" spans="1:6" ht="15" thickBot="1">
      <c r="A293" s="1854" t="s">
        <v>1385</v>
      </c>
      <c r="B293" s="1858" t="s">
        <v>2164</v>
      </c>
      <c r="C293" s="1868"/>
      <c r="D293" s="1868"/>
      <c r="E293" s="1868"/>
      <c r="F293" s="1860">
        <v>0.1</v>
      </c>
    </row>
    <row r="294" spans="1:6" ht="15" thickBot="1">
      <c r="A294" s="1854" t="s">
        <v>1385</v>
      </c>
      <c r="B294" s="1858" t="s">
        <v>2165</v>
      </c>
      <c r="C294" s="1859">
        <v>0.15</v>
      </c>
      <c r="D294" s="1859">
        <v>0.15</v>
      </c>
      <c r="E294" s="1859">
        <v>0.15</v>
      </c>
      <c r="F294" s="1860">
        <v>0.15</v>
      </c>
    </row>
    <row r="295" spans="1:6" ht="15" thickBot="1">
      <c r="A295" s="1854" t="s">
        <v>1385</v>
      </c>
      <c r="B295" s="1858" t="s">
        <v>1086</v>
      </c>
      <c r="C295" s="1859">
        <v>0.15</v>
      </c>
      <c r="D295" s="1859">
        <v>0.15</v>
      </c>
      <c r="E295" s="1859">
        <v>0.15</v>
      </c>
      <c r="F295" s="1860">
        <v>0.15</v>
      </c>
    </row>
    <row r="296" spans="1:6" ht="15" thickBot="1">
      <c r="A296" s="1854" t="s">
        <v>1385</v>
      </c>
      <c r="B296" s="1858" t="s">
        <v>2166</v>
      </c>
      <c r="C296" s="1859">
        <v>0.15</v>
      </c>
      <c r="D296" s="1859">
        <v>0.15</v>
      </c>
      <c r="E296" s="1859">
        <v>0.15</v>
      </c>
      <c r="F296" s="1860">
        <v>0.15</v>
      </c>
    </row>
    <row r="297" spans="1:6" ht="15" thickBot="1">
      <c r="A297" s="1854" t="s">
        <v>1385</v>
      </c>
      <c r="B297" s="1858" t="s">
        <v>2167</v>
      </c>
      <c r="C297" s="1859">
        <v>0.14799999999999999</v>
      </c>
      <c r="D297" s="1859">
        <v>0.14899999999999999</v>
      </c>
      <c r="E297" s="1859">
        <v>0.15</v>
      </c>
      <c r="F297" s="1860">
        <v>0.13700000000000001</v>
      </c>
    </row>
    <row r="298" spans="1:6" ht="15" thickBot="1">
      <c r="A298" s="1854" t="s">
        <v>1385</v>
      </c>
      <c r="B298" s="1858" t="s">
        <v>1119</v>
      </c>
      <c r="C298" s="1859">
        <v>0.13400000000000001</v>
      </c>
      <c r="D298" s="1859">
        <v>0.13400000000000001</v>
      </c>
      <c r="E298" s="1859">
        <v>0.14499999999999999</v>
      </c>
      <c r="F298" s="1860">
        <v>0.14799999999999999</v>
      </c>
    </row>
    <row r="299" spans="1:6" ht="15" thickBot="1">
      <c r="A299" s="1854" t="s">
        <v>1385</v>
      </c>
      <c r="B299" s="1858" t="s">
        <v>1131</v>
      </c>
      <c r="C299" s="1859">
        <v>0.15</v>
      </c>
      <c r="D299" s="1859">
        <v>0.15</v>
      </c>
      <c r="E299" s="1859">
        <v>0.15</v>
      </c>
      <c r="F299" s="1867"/>
    </row>
    <row r="300" spans="1:6" ht="15" thickBot="1">
      <c r="A300" s="1854" t="s">
        <v>1385</v>
      </c>
      <c r="B300" s="1858" t="s">
        <v>2168</v>
      </c>
      <c r="C300" s="1859">
        <v>0.15</v>
      </c>
      <c r="D300" s="1859">
        <v>0.15</v>
      </c>
      <c r="E300" s="1859">
        <v>0.15</v>
      </c>
      <c r="F300" s="1860">
        <v>0.15</v>
      </c>
    </row>
    <row r="301" spans="1:6" ht="15" thickBot="1">
      <c r="A301" s="1854" t="s">
        <v>1385</v>
      </c>
      <c r="B301" s="1858" t="s">
        <v>1151</v>
      </c>
      <c r="C301" s="1859">
        <v>0.15</v>
      </c>
      <c r="D301" s="1859">
        <v>0.15</v>
      </c>
      <c r="E301" s="1859">
        <v>0.15</v>
      </c>
      <c r="F301" s="1867"/>
    </row>
    <row r="302" spans="1:6" ht="15" thickBot="1">
      <c r="A302" s="1854" t="s">
        <v>1385</v>
      </c>
      <c r="B302" s="1858" t="s">
        <v>2169</v>
      </c>
      <c r="C302" s="1859">
        <v>0.15</v>
      </c>
      <c r="D302" s="1859">
        <v>0.15</v>
      </c>
      <c r="E302" s="1859">
        <v>0.15</v>
      </c>
      <c r="F302" s="1860">
        <v>0.15</v>
      </c>
    </row>
    <row r="303" spans="1:6" ht="15" thickBot="1">
      <c r="A303" s="1854" t="s">
        <v>1385</v>
      </c>
      <c r="B303" s="1858" t="s">
        <v>1171</v>
      </c>
      <c r="C303" s="1859">
        <v>0.15</v>
      </c>
      <c r="D303" s="1859">
        <v>0.15</v>
      </c>
      <c r="E303" s="1859">
        <v>0.15</v>
      </c>
      <c r="F303" s="1860">
        <v>0.15</v>
      </c>
    </row>
    <row r="304" spans="1:6" ht="15" thickBot="1">
      <c r="A304" s="1854" t="s">
        <v>1385</v>
      </c>
      <c r="B304" s="1858" t="s">
        <v>1181</v>
      </c>
      <c r="C304" s="1859">
        <v>0.15</v>
      </c>
      <c r="D304" s="1859">
        <v>0.15</v>
      </c>
      <c r="E304" s="1859">
        <v>0.15</v>
      </c>
      <c r="F304" s="1867"/>
    </row>
    <row r="305" spans="1:6" ht="15" thickBot="1">
      <c r="A305" s="1854" t="s">
        <v>1385</v>
      </c>
      <c r="B305" s="1858" t="s">
        <v>2170</v>
      </c>
      <c r="C305" s="1859">
        <v>0.15</v>
      </c>
      <c r="D305" s="1859">
        <v>0.15</v>
      </c>
      <c r="E305" s="1859">
        <v>0.15</v>
      </c>
      <c r="F305" s="1860">
        <v>0.14000000000000001</v>
      </c>
    </row>
    <row r="306" spans="1:6" ht="15" thickBot="1">
      <c r="A306" s="1854" t="s">
        <v>1385</v>
      </c>
      <c r="B306" s="1858" t="s">
        <v>1201</v>
      </c>
      <c r="C306" s="1859">
        <v>0.15</v>
      </c>
      <c r="D306" s="1859">
        <v>0.15</v>
      </c>
      <c r="E306" s="1859">
        <v>0.15</v>
      </c>
      <c r="F306" s="1867"/>
    </row>
    <row r="307" spans="1:6" ht="15" thickBot="1">
      <c r="A307" s="1854" t="s">
        <v>1385</v>
      </c>
      <c r="B307" s="1858" t="s">
        <v>2171</v>
      </c>
      <c r="C307" s="1859">
        <v>0.15</v>
      </c>
      <c r="D307" s="1859">
        <v>0.15</v>
      </c>
      <c r="E307" s="1859">
        <v>0.15</v>
      </c>
      <c r="F307" s="1860">
        <v>0.14299999999999999</v>
      </c>
    </row>
    <row r="308" spans="1:6" ht="15" thickBot="1">
      <c r="A308" s="1854" t="s">
        <v>1385</v>
      </c>
      <c r="B308" s="1858" t="s">
        <v>1221</v>
      </c>
      <c r="C308" s="1859">
        <v>0.15</v>
      </c>
      <c r="D308" s="1859">
        <v>0.15</v>
      </c>
      <c r="E308" s="1859">
        <v>0.15</v>
      </c>
      <c r="F308" s="1860">
        <v>0.15</v>
      </c>
    </row>
    <row r="309" spans="1:6" ht="15" thickBot="1">
      <c r="A309" s="1854" t="s">
        <v>1385</v>
      </c>
      <c r="B309" s="1858" t="s">
        <v>1231</v>
      </c>
      <c r="C309" s="1859">
        <v>0.15</v>
      </c>
      <c r="D309" s="1859">
        <v>0.15</v>
      </c>
      <c r="E309" s="1859">
        <v>0.15</v>
      </c>
      <c r="F309" s="1867"/>
    </row>
    <row r="310" spans="1:6" ht="15" thickBot="1">
      <c r="A310" s="1854" t="s">
        <v>1385</v>
      </c>
      <c r="B310" s="1858" t="s">
        <v>2172</v>
      </c>
      <c r="C310" s="1859">
        <v>0.15</v>
      </c>
      <c r="D310" s="1859">
        <v>0.15</v>
      </c>
      <c r="E310" s="1859">
        <v>0.15</v>
      </c>
      <c r="F310" s="1860">
        <v>0.13700000000000001</v>
      </c>
    </row>
    <row r="311" spans="1:6" ht="15" thickBot="1">
      <c r="A311" s="1854" t="s">
        <v>1385</v>
      </c>
      <c r="B311" s="1858" t="s">
        <v>2173</v>
      </c>
      <c r="C311" s="1859">
        <v>0.15</v>
      </c>
      <c r="D311" s="1859">
        <v>0.15</v>
      </c>
      <c r="E311" s="1859">
        <v>0.15</v>
      </c>
      <c r="F311" s="1860">
        <v>0.15</v>
      </c>
    </row>
    <row r="312" spans="1:6" ht="15" thickBot="1">
      <c r="A312" s="1854" t="s">
        <v>1385</v>
      </c>
      <c r="B312" s="1858" t="s">
        <v>1257</v>
      </c>
      <c r="C312" s="1859">
        <v>0.15</v>
      </c>
      <c r="D312" s="1859">
        <v>0.15</v>
      </c>
      <c r="E312" s="1859">
        <v>0.15</v>
      </c>
      <c r="F312" s="1860">
        <v>0.1</v>
      </c>
    </row>
    <row r="313" spans="1:6" ht="15" thickBot="1">
      <c r="A313" s="1854" t="s">
        <v>1385</v>
      </c>
      <c r="B313" s="1858" t="s">
        <v>2174</v>
      </c>
      <c r="C313" s="1859">
        <v>0.15</v>
      </c>
      <c r="D313" s="1859">
        <v>0.15</v>
      </c>
      <c r="E313" s="1859">
        <v>0.15</v>
      </c>
      <c r="F313" s="1860">
        <v>0.15</v>
      </c>
    </row>
    <row r="314" spans="1:6" ht="24.6" thickBot="1">
      <c r="A314" s="1854" t="s">
        <v>1385</v>
      </c>
      <c r="B314" s="1858" t="s">
        <v>2175</v>
      </c>
      <c r="C314" s="1868"/>
      <c r="D314" s="1868"/>
      <c r="E314" s="1868"/>
      <c r="F314" s="1860">
        <v>0.05</v>
      </c>
    </row>
    <row r="315" spans="1:6" ht="24.6" thickBot="1">
      <c r="A315" s="1854" t="s">
        <v>1385</v>
      </c>
      <c r="B315" s="1858" t="s">
        <v>2176</v>
      </c>
      <c r="C315" s="1868"/>
      <c r="D315" s="1868"/>
      <c r="E315" s="1868"/>
      <c r="F315" s="1860">
        <v>0.05</v>
      </c>
    </row>
    <row r="316" spans="1:6" ht="24.6" thickBot="1">
      <c r="A316" s="1862" t="s">
        <v>1385</v>
      </c>
      <c r="B316" s="1869" t="s">
        <v>2177</v>
      </c>
      <c r="C316" s="1865"/>
      <c r="D316" s="1865"/>
      <c r="E316" s="1865"/>
      <c r="F316" s="1870">
        <v>0.05</v>
      </c>
    </row>
    <row r="317" spans="1:6" ht="15" thickBot="1">
      <c r="A317" s="1854" t="s">
        <v>2178</v>
      </c>
      <c r="B317" s="1855" t="s">
        <v>2179</v>
      </c>
      <c r="C317" s="1856">
        <v>0.15</v>
      </c>
      <c r="D317" s="1856">
        <v>0.15</v>
      </c>
      <c r="E317" s="1856">
        <v>0.15</v>
      </c>
      <c r="F317" s="1857">
        <v>0.15</v>
      </c>
    </row>
    <row r="318" spans="1:6" ht="15" thickBot="1">
      <c r="A318" s="1854" t="s">
        <v>2178</v>
      </c>
      <c r="B318" s="1858" t="s">
        <v>2180</v>
      </c>
      <c r="C318" s="1859">
        <v>0.107</v>
      </c>
      <c r="D318" s="1859">
        <v>0.11</v>
      </c>
      <c r="E318" s="1859">
        <v>0.112</v>
      </c>
      <c r="F318" s="1867"/>
    </row>
    <row r="319" spans="1:6" ht="15" thickBot="1">
      <c r="A319" s="1854" t="s">
        <v>2178</v>
      </c>
      <c r="B319" s="1858" t="s">
        <v>2181</v>
      </c>
      <c r="C319" s="1859">
        <v>0.15</v>
      </c>
      <c r="D319" s="1859">
        <v>0.15</v>
      </c>
      <c r="E319" s="1859">
        <v>0.15</v>
      </c>
      <c r="F319" s="1860">
        <v>0.15</v>
      </c>
    </row>
    <row r="320" spans="1:6" ht="15" thickBot="1">
      <c r="A320" s="1854" t="s">
        <v>2178</v>
      </c>
      <c r="B320" s="1858" t="s">
        <v>1073</v>
      </c>
      <c r="C320" s="1859">
        <v>0.15</v>
      </c>
      <c r="D320" s="1859">
        <v>0.15</v>
      </c>
      <c r="E320" s="1859">
        <v>0.15</v>
      </c>
      <c r="F320" s="1867"/>
    </row>
    <row r="321" spans="1:6" ht="15" thickBot="1">
      <c r="A321" s="1854" t="s">
        <v>2178</v>
      </c>
      <c r="B321" s="1858" t="s">
        <v>2182</v>
      </c>
      <c r="C321" s="1859">
        <v>0.15</v>
      </c>
      <c r="D321" s="1859">
        <v>0.15</v>
      </c>
      <c r="E321" s="1859">
        <v>0.15</v>
      </c>
      <c r="F321" s="1867"/>
    </row>
    <row r="322" spans="1:6" ht="15" thickBot="1">
      <c r="A322" s="1854" t="s">
        <v>2178</v>
      </c>
      <c r="B322" s="1858" t="s">
        <v>2183</v>
      </c>
      <c r="C322" s="1859">
        <v>0.15</v>
      </c>
      <c r="D322" s="1859">
        <v>0.15</v>
      </c>
      <c r="E322" s="1859">
        <v>0.15</v>
      </c>
      <c r="F322" s="1860">
        <v>0.15</v>
      </c>
    </row>
    <row r="323" spans="1:6" ht="15" thickBot="1">
      <c r="A323" s="1854" t="s">
        <v>2178</v>
      </c>
      <c r="B323" s="1858" t="s">
        <v>2184</v>
      </c>
      <c r="C323" s="1859">
        <v>0.15</v>
      </c>
      <c r="D323" s="1859">
        <v>0.15</v>
      </c>
      <c r="E323" s="1859">
        <v>0.15</v>
      </c>
      <c r="F323" s="1867"/>
    </row>
    <row r="324" spans="1:6" ht="15" thickBot="1">
      <c r="A324" s="1854" t="s">
        <v>2178</v>
      </c>
      <c r="B324" s="1858" t="s">
        <v>2185</v>
      </c>
      <c r="C324" s="1859">
        <v>0.15</v>
      </c>
      <c r="D324" s="1859">
        <v>0.15</v>
      </c>
      <c r="E324" s="1859">
        <v>0.15</v>
      </c>
      <c r="F324" s="1867"/>
    </row>
    <row r="325" spans="1:6" ht="15" thickBot="1">
      <c r="A325" s="1854" t="s">
        <v>2178</v>
      </c>
      <c r="B325" s="1858" t="s">
        <v>2186</v>
      </c>
      <c r="C325" s="1859">
        <v>0.15</v>
      </c>
      <c r="D325" s="1859">
        <v>0.15</v>
      </c>
      <c r="E325" s="1859">
        <v>0.15</v>
      </c>
      <c r="F325" s="1860">
        <v>0.14699999999999999</v>
      </c>
    </row>
    <row r="326" spans="1:6" ht="15" thickBot="1">
      <c r="A326" s="1854" t="s">
        <v>2178</v>
      </c>
      <c r="B326" s="1858" t="s">
        <v>1142</v>
      </c>
      <c r="C326" s="1859">
        <v>0.15</v>
      </c>
      <c r="D326" s="1859">
        <v>0.15</v>
      </c>
      <c r="E326" s="1859">
        <v>0.15</v>
      </c>
      <c r="F326" s="1867"/>
    </row>
    <row r="327" spans="1:6" ht="15" thickBot="1">
      <c r="A327" s="1854" t="s">
        <v>2178</v>
      </c>
      <c r="B327" s="1858" t="s">
        <v>2187</v>
      </c>
      <c r="C327" s="1859">
        <v>0.15</v>
      </c>
      <c r="D327" s="1859">
        <v>0.15</v>
      </c>
      <c r="E327" s="1859">
        <v>0.15</v>
      </c>
      <c r="F327" s="1860">
        <v>0.15</v>
      </c>
    </row>
    <row r="328" spans="1:6" ht="15" thickBot="1">
      <c r="A328" s="1854" t="s">
        <v>2178</v>
      </c>
      <c r="B328" s="1858" t="s">
        <v>1162</v>
      </c>
      <c r="C328" s="1859">
        <v>0.15</v>
      </c>
      <c r="D328" s="1859">
        <v>0.15</v>
      </c>
      <c r="E328" s="1859">
        <v>0.15</v>
      </c>
      <c r="F328" s="1860">
        <v>0.14099999999999999</v>
      </c>
    </row>
    <row r="329" spans="1:6" ht="15" thickBot="1">
      <c r="A329" s="1854" t="s">
        <v>2178</v>
      </c>
      <c r="B329" s="1858" t="s">
        <v>1172</v>
      </c>
      <c r="C329" s="1859">
        <v>0.15</v>
      </c>
      <c r="D329" s="1859">
        <v>0.15</v>
      </c>
      <c r="E329" s="1859">
        <v>0.15</v>
      </c>
      <c r="F329" s="1860">
        <v>0.15</v>
      </c>
    </row>
    <row r="330" spans="1:6" ht="15" thickBot="1">
      <c r="A330" s="1854" t="s">
        <v>2178</v>
      </c>
      <c r="B330" s="1858" t="s">
        <v>1182</v>
      </c>
      <c r="C330" s="1859">
        <v>0.15</v>
      </c>
      <c r="D330" s="1859">
        <v>0.15</v>
      </c>
      <c r="E330" s="1859">
        <v>0.15</v>
      </c>
      <c r="F330" s="1867"/>
    </row>
    <row r="331" spans="1:6" ht="15" thickBot="1">
      <c r="A331" s="1854" t="s">
        <v>2178</v>
      </c>
      <c r="B331" s="1858" t="s">
        <v>2188</v>
      </c>
      <c r="C331" s="1859">
        <v>0.15</v>
      </c>
      <c r="D331" s="1859">
        <v>0.15</v>
      </c>
      <c r="E331" s="1859">
        <v>0.15</v>
      </c>
      <c r="F331" s="1860">
        <v>0.15</v>
      </c>
    </row>
    <row r="332" spans="1:6" ht="15" thickBot="1">
      <c r="A332" s="1854" t="s">
        <v>2178</v>
      </c>
      <c r="B332" s="1858" t="s">
        <v>1202</v>
      </c>
      <c r="C332" s="1859">
        <v>0.15</v>
      </c>
      <c r="D332" s="1859">
        <v>0.15</v>
      </c>
      <c r="E332" s="1859">
        <v>0.15</v>
      </c>
      <c r="F332" s="1860">
        <v>0.15</v>
      </c>
    </row>
    <row r="333" spans="1:6" ht="15" thickBot="1">
      <c r="A333" s="1854" t="s">
        <v>2178</v>
      </c>
      <c r="B333" s="1858" t="s">
        <v>2189</v>
      </c>
      <c r="C333" s="1859">
        <v>0.15</v>
      </c>
      <c r="D333" s="1859">
        <v>0.15</v>
      </c>
      <c r="E333" s="1859">
        <v>0.15</v>
      </c>
      <c r="F333" s="1860">
        <v>0.14099999999999999</v>
      </c>
    </row>
    <row r="334" spans="1:6" ht="15" thickBot="1">
      <c r="A334" s="1854" t="s">
        <v>2178</v>
      </c>
      <c r="B334" s="1858" t="s">
        <v>1222</v>
      </c>
      <c r="C334" s="1859">
        <v>0.15</v>
      </c>
      <c r="D334" s="1859">
        <v>0.15</v>
      </c>
      <c r="E334" s="1859">
        <v>0.15</v>
      </c>
      <c r="F334" s="1860">
        <v>0.15</v>
      </c>
    </row>
    <row r="335" spans="1:6" ht="15" thickBot="1">
      <c r="A335" s="1854" t="s">
        <v>2178</v>
      </c>
      <c r="B335" s="1858" t="s">
        <v>1232</v>
      </c>
      <c r="C335" s="1859">
        <v>0.15</v>
      </c>
      <c r="D335" s="1859">
        <v>0.15</v>
      </c>
      <c r="E335" s="1859">
        <v>0.15</v>
      </c>
      <c r="F335" s="1867"/>
    </row>
    <row r="336" spans="1:6" ht="15" thickBot="1">
      <c r="A336" s="1854" t="s">
        <v>2178</v>
      </c>
      <c r="B336" s="1858" t="s">
        <v>2190</v>
      </c>
      <c r="C336" s="1859">
        <v>0.15</v>
      </c>
      <c r="D336" s="1859">
        <v>0.15</v>
      </c>
      <c r="E336" s="1859">
        <v>0.15</v>
      </c>
      <c r="F336" s="1860">
        <v>0.11799999999999999</v>
      </c>
    </row>
    <row r="337" spans="1:6" ht="15" thickBot="1">
      <c r="A337" s="1862" t="s">
        <v>2178</v>
      </c>
      <c r="B337" s="1869" t="s">
        <v>1250</v>
      </c>
      <c r="C337" s="1865"/>
      <c r="D337" s="1865"/>
      <c r="E337" s="1865"/>
      <c r="F337" s="1870">
        <v>0.14299999999999999</v>
      </c>
    </row>
    <row r="338" spans="1:6" ht="15" thickBot="1">
      <c r="A338" s="1854" t="s">
        <v>2191</v>
      </c>
      <c r="B338" s="1855" t="s">
        <v>2192</v>
      </c>
      <c r="C338" s="1856">
        <v>0.15</v>
      </c>
      <c r="D338" s="1856">
        <v>0.15</v>
      </c>
      <c r="E338" s="1856">
        <v>0.15</v>
      </c>
      <c r="F338" s="1878"/>
    </row>
    <row r="339" spans="1:6" ht="15" thickBot="1">
      <c r="A339" s="1854" t="s">
        <v>2191</v>
      </c>
      <c r="B339" s="1858" t="s">
        <v>2193</v>
      </c>
      <c r="C339" s="1859">
        <v>0.15</v>
      </c>
      <c r="D339" s="1859">
        <v>0.15</v>
      </c>
      <c r="E339" s="1859">
        <v>0.15</v>
      </c>
      <c r="F339" s="1867"/>
    </row>
    <row r="340" spans="1:6" ht="15" thickBot="1">
      <c r="A340" s="1854" t="s">
        <v>2191</v>
      </c>
      <c r="B340" s="1858" t="s">
        <v>2194</v>
      </c>
      <c r="C340" s="1859">
        <v>0.15</v>
      </c>
      <c r="D340" s="1859">
        <v>0.15</v>
      </c>
      <c r="E340" s="1859">
        <v>0.15</v>
      </c>
      <c r="F340" s="1867"/>
    </row>
    <row r="341" spans="1:6" ht="15" thickBot="1">
      <c r="A341" s="1854" t="s">
        <v>2195</v>
      </c>
      <c r="B341" s="1858" t="s">
        <v>2196</v>
      </c>
      <c r="C341" s="1859">
        <v>0.15</v>
      </c>
      <c r="D341" s="1859">
        <v>0.15</v>
      </c>
      <c r="E341" s="1859">
        <v>0.15</v>
      </c>
      <c r="F341" s="1860">
        <v>0.15</v>
      </c>
    </row>
    <row r="342" spans="1:6" ht="15" thickBot="1">
      <c r="A342" s="1854" t="s">
        <v>2191</v>
      </c>
      <c r="B342" s="1858" t="s">
        <v>2197</v>
      </c>
      <c r="C342" s="1859">
        <v>0.15</v>
      </c>
      <c r="D342" s="1859">
        <v>0.15</v>
      </c>
      <c r="E342" s="1859">
        <v>0.15</v>
      </c>
      <c r="F342" s="1860">
        <v>0.15</v>
      </c>
    </row>
    <row r="343" spans="1:6" ht="15" thickBot="1">
      <c r="A343" s="1854" t="s">
        <v>2191</v>
      </c>
      <c r="B343" s="1858" t="s">
        <v>2198</v>
      </c>
      <c r="C343" s="1859">
        <v>0.15</v>
      </c>
      <c r="D343" s="1859">
        <v>0.15</v>
      </c>
      <c r="E343" s="1859">
        <v>0.15</v>
      </c>
      <c r="F343" s="1860">
        <v>0.15</v>
      </c>
    </row>
    <row r="344" spans="1:6" ht="15" thickBot="1">
      <c r="A344" s="1862" t="s">
        <v>2191</v>
      </c>
      <c r="B344" s="1869" t="s">
        <v>2199</v>
      </c>
      <c r="C344" s="1864">
        <v>0.15</v>
      </c>
      <c r="D344" s="1864">
        <v>0.15</v>
      </c>
      <c r="E344" s="1864">
        <v>0.15</v>
      </c>
      <c r="F344" s="1870">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B28" sqref="B28"/>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03" t="s">
        <v>2911</v>
      </c>
      <c r="B1" s="3105"/>
      <c r="C1" s="3105"/>
      <c r="D1" s="3105"/>
      <c r="E1" s="3105"/>
      <c r="F1" s="3105"/>
    </row>
    <row r="2" spans="1:6" ht="15.6">
      <c r="A2" s="3106" t="s">
        <v>2906</v>
      </c>
      <c r="B2" s="3107" t="e">
        <f ca="1">SUMIF(B7:B14,"&lt;&gt;#ref!",B7:B14)</f>
        <v>#DIV/0!</v>
      </c>
      <c r="C2" s="3106" t="s">
        <v>2907</v>
      </c>
      <c r="D2" s="3105"/>
      <c r="E2" s="3105"/>
      <c r="F2" s="3105"/>
    </row>
    <row r="3" spans="1:6" ht="15.6">
      <c r="A3" s="3106" t="s">
        <v>2938</v>
      </c>
      <c r="B3" s="3107" t="e">
        <f ca="1">ROUND(B2*10000/E3,0)</f>
        <v>#DIV/0!</v>
      </c>
      <c r="C3" s="3106" t="s">
        <v>2040</v>
      </c>
      <c r="D3" s="3106" t="s">
        <v>2908</v>
      </c>
      <c r="E3" s="3107">
        <f ca="1">SUMIF(E7:E14,"&lt;&gt;#ref!",E7:E14)</f>
        <v>0</v>
      </c>
      <c r="F3" s="3105"/>
    </row>
    <row r="4" spans="1:6" ht="15.6">
      <c r="A4" s="3106" t="s">
        <v>2915</v>
      </c>
      <c r="B4" s="3107" t="e">
        <f ca="1">ROUND(B2*10000/E4,0)</f>
        <v>#DIV/0!</v>
      </c>
      <c r="C4" s="3106" t="s">
        <v>2040</v>
      </c>
      <c r="D4" s="3106" t="s">
        <v>2916</v>
      </c>
      <c r="E4" s="3107">
        <f ca="1">SUMIF(F7:F14,"&lt;&gt;#ref!",F7:F14)</f>
        <v>0</v>
      </c>
      <c r="F4" s="3105"/>
    </row>
    <row r="5" spans="1:6" ht="15.6">
      <c r="A5" s="3108"/>
      <c r="B5" s="1880"/>
      <c r="C5" s="1880"/>
      <c r="D5" s="1880"/>
      <c r="E5" s="1880"/>
      <c r="F5" s="3105"/>
    </row>
    <row r="6" spans="1:6" ht="31.2">
      <c r="A6" s="3109" t="s">
        <v>2912</v>
      </c>
      <c r="B6" s="3106" t="s">
        <v>2909</v>
      </c>
      <c r="C6" s="3107"/>
      <c r="D6" s="1880"/>
      <c r="E6" s="3106" t="s">
        <v>2910</v>
      </c>
      <c r="F6" s="3106" t="s">
        <v>2914</v>
      </c>
    </row>
    <row r="7" spans="1:6" ht="15.6">
      <c r="A7" s="259" t="s">
        <v>2913</v>
      </c>
      <c r="B7" s="3110" t="e">
        <f ca="1">SUMIF(INDIRECT("'"&amp;A7&amp;"'"&amp;"!A:A"),"总价",INDIRECT("'"&amp;A7&amp;"'"&amp;"!B:B"))</f>
        <v>#DIV/0!</v>
      </c>
      <c r="C7" s="3106" t="s">
        <v>2907</v>
      </c>
      <c r="D7" s="1880"/>
      <c r="E7" s="3111">
        <f ca="1">SUMIF(INDIRECT("'"&amp;A7&amp;"'"&amp;"!C:C"),"建筑面积",INDIRECT("'"&amp;A7&amp;"'"&amp;"!D:D"))</f>
        <v>0</v>
      </c>
      <c r="F7" s="3111">
        <f ca="1">SUMIF(INDIRECT("'"&amp;A7&amp;"'"&amp;"!E:E"),"土地面积",INDIRECT("'"&amp;A7&amp;"'"&amp;"!F:F"))</f>
        <v>0</v>
      </c>
    </row>
    <row r="8" spans="1:6" ht="15.6">
      <c r="A8" s="259"/>
      <c r="B8" s="3110" t="e">
        <f t="shared" ref="B8:B14" ca="1" si="0">SUMIF(INDIRECT("'"&amp;A8&amp;"'"&amp;"!A:A"),"总价",INDIRECT("'"&amp;A8&amp;"'"&amp;"!B:B"))</f>
        <v>#REF!</v>
      </c>
      <c r="C8" s="3106" t="s">
        <v>2907</v>
      </c>
      <c r="D8" s="1880"/>
      <c r="E8" s="3111" t="e">
        <f t="shared" ref="E8:E14" ca="1" si="1">SUMIF(INDIRECT("'"&amp;A8&amp;"'"&amp;"!C:C"),"建筑面积",INDIRECT("'"&amp;A8&amp;"'"&amp;"!D:D"))</f>
        <v>#REF!</v>
      </c>
      <c r="F8" s="3111" t="e">
        <f t="shared" ref="F8:F14" ca="1" si="2">SUMIF(INDIRECT("'"&amp;A8&amp;"'"&amp;"!E:E"),"土地面积",INDIRECT("'"&amp;A8&amp;"'"&amp;"!F:F"))</f>
        <v>#REF!</v>
      </c>
    </row>
    <row r="9" spans="1:6" ht="15.6">
      <c r="A9" s="259"/>
      <c r="B9" s="3110" t="e">
        <f t="shared" ca="1" si="0"/>
        <v>#REF!</v>
      </c>
      <c r="C9" s="3106" t="s">
        <v>2907</v>
      </c>
      <c r="D9" s="1880"/>
      <c r="E9" s="3111" t="e">
        <f t="shared" ca="1" si="1"/>
        <v>#REF!</v>
      </c>
      <c r="F9" s="3111" t="e">
        <f t="shared" ca="1" si="2"/>
        <v>#REF!</v>
      </c>
    </row>
    <row r="10" spans="1:6" ht="15.6">
      <c r="A10" s="259"/>
      <c r="B10" s="3110" t="e">
        <f t="shared" ca="1" si="0"/>
        <v>#REF!</v>
      </c>
      <c r="C10" s="3106" t="s">
        <v>2907</v>
      </c>
      <c r="D10" s="1880"/>
      <c r="E10" s="3111" t="e">
        <f t="shared" ca="1" si="1"/>
        <v>#REF!</v>
      </c>
      <c r="F10" s="3111" t="e">
        <f t="shared" ca="1" si="2"/>
        <v>#REF!</v>
      </c>
    </row>
    <row r="11" spans="1:6" ht="15.6">
      <c r="A11" s="259"/>
      <c r="B11" s="3110" t="e">
        <f t="shared" ca="1" si="0"/>
        <v>#REF!</v>
      </c>
      <c r="C11" s="3106" t="s">
        <v>2907</v>
      </c>
      <c r="D11" s="1880"/>
      <c r="E11" s="3111" t="e">
        <f t="shared" ca="1" si="1"/>
        <v>#REF!</v>
      </c>
      <c r="F11" s="3111" t="e">
        <f t="shared" ca="1" si="2"/>
        <v>#REF!</v>
      </c>
    </row>
    <row r="12" spans="1:6" ht="15.6">
      <c r="A12" s="259"/>
      <c r="B12" s="3110" t="e">
        <f t="shared" ca="1" si="0"/>
        <v>#REF!</v>
      </c>
      <c r="C12" s="3106" t="s">
        <v>2907</v>
      </c>
      <c r="D12" s="1880"/>
      <c r="E12" s="3111" t="e">
        <f t="shared" ca="1" si="1"/>
        <v>#REF!</v>
      </c>
      <c r="F12" s="3111" t="e">
        <f t="shared" ca="1" si="2"/>
        <v>#REF!</v>
      </c>
    </row>
    <row r="13" spans="1:6" ht="15.6">
      <c r="A13" s="259"/>
      <c r="B13" s="3110" t="e">
        <f t="shared" ca="1" si="0"/>
        <v>#REF!</v>
      </c>
      <c r="C13" s="3106" t="s">
        <v>2907</v>
      </c>
      <c r="D13" s="1880"/>
      <c r="E13" s="3111" t="e">
        <f t="shared" ca="1" si="1"/>
        <v>#REF!</v>
      </c>
      <c r="F13" s="3111" t="e">
        <f t="shared" ca="1" si="2"/>
        <v>#REF!</v>
      </c>
    </row>
    <row r="14" spans="1:6" ht="15.6">
      <c r="A14" s="3104"/>
      <c r="B14" s="3110" t="e">
        <f t="shared" ca="1" si="0"/>
        <v>#REF!</v>
      </c>
      <c r="C14" s="3106" t="s">
        <v>2907</v>
      </c>
      <c r="D14" s="1880"/>
      <c r="E14" s="3111" t="e">
        <f t="shared" ca="1" si="1"/>
        <v>#REF!</v>
      </c>
      <c r="F14" s="3111"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16" zoomScale="70" zoomScaleNormal="70" workbookViewId="0">
      <selection activeCell="I44" sqref="I44"/>
    </sheetView>
  </sheetViews>
  <sheetFormatPr defaultColWidth="9" defaultRowHeight="15"/>
  <cols>
    <col min="1" max="1" width="9" style="2097"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8.33203125" style="2058" customWidth="1"/>
    <col min="16" max="16" width="30.21875" style="2058" customWidth="1"/>
    <col min="17" max="17" width="13.77734375" style="2058" customWidth="1"/>
    <col min="18" max="18" width="22.21875" style="2058" customWidth="1"/>
    <col min="19" max="19" width="1.44140625" style="2058" customWidth="1"/>
    <col min="20" max="25" width="9" style="2058"/>
    <col min="26" max="16384" width="9" style="2059"/>
  </cols>
  <sheetData>
    <row r="1" spans="1:25" s="2053" customFormat="1" ht="21.6">
      <c r="A1" s="771" t="s">
        <v>593</v>
      </c>
      <c r="B1" s="737"/>
      <c r="C1" s="772" t="s">
        <v>2944</v>
      </c>
      <c r="D1" s="2049"/>
      <c r="E1" s="2386" t="s">
        <v>2336</v>
      </c>
      <c r="F1" s="2387">
        <f ca="1">J54</f>
        <v>0</v>
      </c>
      <c r="G1" s="773">
        <f>MATCH(C1,'数据-取费表'!A6:A16,0)+5</f>
        <v>6</v>
      </c>
      <c r="H1" s="1348"/>
      <c r="I1" s="2050"/>
      <c r="J1" s="2050"/>
      <c r="K1" s="2051"/>
      <c r="L1" s="2050"/>
      <c r="M1" s="2050"/>
      <c r="N1" s="2052"/>
      <c r="O1" s="2052"/>
      <c r="P1" s="2052"/>
      <c r="Q1" s="2052"/>
      <c r="R1" s="2052"/>
      <c r="S1" s="2052"/>
      <c r="T1" s="2052"/>
      <c r="U1" s="2052"/>
      <c r="V1" s="2052"/>
      <c r="W1" s="2052"/>
      <c r="X1" s="2052"/>
      <c r="Y1" s="2052"/>
    </row>
    <row r="2" spans="1:25" ht="18" customHeight="1">
      <c r="A2" s="1642" t="s">
        <v>594</v>
      </c>
      <c r="B2" s="774">
        <f ca="1">IF(ISERROR(C45+J31),0,C45+J31)</f>
        <v>-7946</v>
      </c>
      <c r="C2" s="1349"/>
      <c r="D2" s="2054"/>
      <c r="E2" s="2055"/>
      <c r="F2" s="2055"/>
      <c r="G2" s="1588"/>
      <c r="H2" s="1361"/>
      <c r="I2" s="2056"/>
      <c r="J2" s="2056"/>
      <c r="K2" s="2057"/>
      <c r="L2" s="2056"/>
      <c r="M2" s="2056"/>
    </row>
    <row r="3" spans="1:25" ht="18" customHeight="1">
      <c r="A3" s="1643" t="s">
        <v>1648</v>
      </c>
      <c r="B3" s="1389">
        <f ca="1">ROUND(B2*10000/'数据-汇总表'!E3,0)</f>
        <v>-3703</v>
      </c>
      <c r="C3" s="1349"/>
      <c r="D3" s="2054"/>
      <c r="E3" s="2055"/>
      <c r="F3" s="2055"/>
      <c r="G3" s="1588"/>
      <c r="H3" s="775" t="s">
        <v>660</v>
      </c>
      <c r="I3" s="2056"/>
      <c r="J3" s="2056"/>
      <c r="K3" s="2057"/>
      <c r="L3" s="2056"/>
      <c r="M3" s="2056"/>
    </row>
    <row r="4" spans="1:25" ht="18" customHeight="1">
      <c r="A4" s="1644" t="s">
        <v>661</v>
      </c>
      <c r="B4" s="1350">
        <f ca="1">ROUND(B2*10000/'数据-汇总表'!D3,0)</f>
        <v>-10724</v>
      </c>
      <c r="C4" s="427"/>
      <c r="D4" s="2054"/>
      <c r="E4" s="2055"/>
      <c r="F4" s="2055"/>
      <c r="G4" s="1588"/>
      <c r="H4" s="775"/>
      <c r="I4" s="2056"/>
      <c r="J4" s="2056"/>
      <c r="K4" s="2057"/>
      <c r="L4" s="2056"/>
      <c r="M4" s="2056"/>
    </row>
    <row r="5" spans="1:25" ht="18" customHeight="1" thickBot="1">
      <c r="A5" s="1645"/>
      <c r="B5" s="429">
        <f ca="1">ROUND(B2/('数据-汇总表'!D3/666.67),0)</f>
        <v>-715</v>
      </c>
      <c r="C5" s="430" t="s">
        <v>662</v>
      </c>
      <c r="D5" s="2054"/>
      <c r="E5" s="2055"/>
      <c r="F5" s="2055"/>
      <c r="G5" s="1588"/>
      <c r="H5" s="775"/>
      <c r="I5" s="2056"/>
      <c r="J5" s="2056"/>
      <c r="K5" s="2057"/>
      <c r="L5" s="2056"/>
      <c r="M5" s="2056"/>
    </row>
    <row r="6" spans="1:25" ht="18" customHeight="1">
      <c r="A6" s="1827" t="s">
        <v>663</v>
      </c>
      <c r="B6" s="1819" t="s">
        <v>664</v>
      </c>
      <c r="C6" s="1819" t="s">
        <v>597</v>
      </c>
      <c r="D6" s="1819" t="s">
        <v>598</v>
      </c>
      <c r="E6" s="778" t="s">
        <v>599</v>
      </c>
      <c r="F6" s="779"/>
      <c r="G6" s="1590"/>
      <c r="H6" s="1827" t="s">
        <v>595</v>
      </c>
      <c r="I6" s="1819" t="s">
        <v>596</v>
      </c>
      <c r="J6" s="1819" t="s">
        <v>597</v>
      </c>
      <c r="K6" s="1819" t="s">
        <v>598</v>
      </c>
      <c r="L6" s="778" t="s">
        <v>599</v>
      </c>
      <c r="M6" s="779"/>
    </row>
    <row r="7" spans="1:25" ht="18" customHeight="1">
      <c r="A7" s="780">
        <v>1</v>
      </c>
      <c r="B7" s="781" t="s">
        <v>2420</v>
      </c>
      <c r="C7" s="52">
        <f ca="1">C8+C12+C14</f>
        <v>954</v>
      </c>
      <c r="D7" s="2495" t="s">
        <v>2423</v>
      </c>
      <c r="E7" s="2489"/>
      <c r="F7" s="2490"/>
      <c r="G7" s="1590"/>
      <c r="H7" s="780">
        <v>1</v>
      </c>
      <c r="I7" s="781" t="s">
        <v>2420</v>
      </c>
      <c r="J7" s="52">
        <f ca="1">J8+J12+J14</f>
        <v>0</v>
      </c>
      <c r="K7" s="2495" t="s">
        <v>2423</v>
      </c>
      <c r="L7" s="2489"/>
      <c r="M7" s="2490"/>
    </row>
    <row r="8" spans="1:25" ht="18" customHeight="1">
      <c r="A8" s="1829" t="s">
        <v>1786</v>
      </c>
      <c r="B8" s="3437" t="s">
        <v>2425</v>
      </c>
      <c r="C8" s="1824">
        <f ca="1">ROUND(F8*F10*F9*(1-F11)/10000,0)</f>
        <v>954</v>
      </c>
      <c r="D8" s="1821" t="s">
        <v>2496</v>
      </c>
      <c r="E8" s="60" t="s">
        <v>602</v>
      </c>
      <c r="F8" s="784">
        <f ca="1">INDIRECT("'数据-取费表'!u"&amp;$G$1)</f>
        <v>9536000</v>
      </c>
      <c r="G8" s="1590"/>
      <c r="H8" s="2503" t="s">
        <v>1786</v>
      </c>
      <c r="I8" s="3437" t="s">
        <v>2425</v>
      </c>
      <c r="J8" s="782">
        <f ca="1">ROUND(M8*M10*M9*(1-M11)/10000,0)</f>
        <v>0</v>
      </c>
      <c r="K8" s="340" t="s">
        <v>2496</v>
      </c>
      <c r="L8" s="783" t="s">
        <v>1700</v>
      </c>
      <c r="M8" s="784">
        <f ca="1">INDIRECT("'数据-取费表'!z"&amp;$G$1)</f>
        <v>0</v>
      </c>
    </row>
    <row r="9" spans="1:25" ht="18" customHeight="1">
      <c r="A9" s="2499"/>
      <c r="B9" s="3438"/>
      <c r="C9" s="1825"/>
      <c r="D9" s="1822"/>
      <c r="E9" s="60" t="s">
        <v>603</v>
      </c>
      <c r="F9" s="784">
        <f ca="1">IF(INDIRECT("'数据-取费表'!ah"&amp;$G$1)="",INDIRECT("'数据-取费表'!k"&amp;$G$1),INDIRECT("'数据-取费表'!ah"&amp;$G$1))</f>
        <v>1</v>
      </c>
      <c r="G9" s="1590"/>
      <c r="H9" s="2488"/>
      <c r="I9" s="3438"/>
      <c r="J9" s="787"/>
      <c r="K9" s="788"/>
      <c r="L9" s="783" t="s">
        <v>1701</v>
      </c>
      <c r="M9" s="784">
        <f ca="1">F9</f>
        <v>1</v>
      </c>
    </row>
    <row r="10" spans="1:25" ht="18" customHeight="1">
      <c r="A10" s="2492"/>
      <c r="B10" s="3439"/>
      <c r="C10" s="1825"/>
      <c r="D10" s="1822"/>
      <c r="E10" s="60" t="s">
        <v>604</v>
      </c>
      <c r="F10" s="784">
        <f ca="1">INDIRECT("'数据-取费表'!ai"&amp;$G$1)</f>
        <v>1</v>
      </c>
      <c r="G10" s="1590"/>
      <c r="H10" s="2488"/>
      <c r="I10" s="3439"/>
      <c r="J10" s="787"/>
      <c r="K10" s="788"/>
      <c r="L10" s="783" t="s">
        <v>1702</v>
      </c>
      <c r="M10" s="784">
        <f ca="1">INDIRECT("'数据-取费表'!ai"&amp;$G$1)</f>
        <v>1</v>
      </c>
    </row>
    <row r="11" spans="1:25" ht="18" customHeight="1">
      <c r="A11" s="785"/>
      <c r="B11" s="3440"/>
      <c r="C11" s="1825"/>
      <c r="D11" s="1822"/>
      <c r="E11" s="60" t="s">
        <v>605</v>
      </c>
      <c r="F11" s="793">
        <f ca="1">INDIRECT("'数据-取费表'!w"&amp;$G$1)</f>
        <v>0</v>
      </c>
      <c r="G11" s="1590"/>
      <c r="H11" s="2504"/>
      <c r="I11" s="3439"/>
      <c r="J11" s="787"/>
      <c r="K11" s="788"/>
      <c r="L11" s="794" t="s">
        <v>1703</v>
      </c>
      <c r="M11" s="795">
        <f ca="1">INDIRECT("'数据-取费表'!ab"&amp;$G$1)</f>
        <v>0</v>
      </c>
    </row>
    <row r="12" spans="1:25" ht="18" customHeight="1">
      <c r="A12" s="1829" t="s">
        <v>1787</v>
      </c>
      <c r="B12" s="2493" t="s">
        <v>2421</v>
      </c>
      <c r="C12" s="798">
        <f ca="1">ROUND(IF(F12="押一",C8/12*F13,IF(F12="押二",C8/12*2*F13,IF(F12="押三",C8/12*3*F13,C13*F13))),0)</f>
        <v>0</v>
      </c>
      <c r="D12" s="2500" t="s">
        <v>2934</v>
      </c>
      <c r="E12" s="2497" t="s">
        <v>2426</v>
      </c>
      <c r="F12" s="2620"/>
      <c r="G12" s="1590"/>
      <c r="H12" s="2560" t="s">
        <v>1787</v>
      </c>
      <c r="I12" s="2565" t="s">
        <v>2421</v>
      </c>
      <c r="J12" s="782">
        <f ca="1">ROUND(IF(M12="押一",J8/12*M13,IF(M12="押二",J8/12*2*M13,IF(M12="押三",J8/12*3*M13,J13*M13))),0)</f>
        <v>0</v>
      </c>
      <c r="K12" s="2500" t="s">
        <v>2934</v>
      </c>
      <c r="L12" s="2497" t="s">
        <v>2426</v>
      </c>
      <c r="M12" s="2620"/>
    </row>
    <row r="13" spans="1:25" ht="18" customHeight="1">
      <c r="A13" s="789"/>
      <c r="B13" s="2494" t="s">
        <v>2535</v>
      </c>
      <c r="C13" s="2498"/>
      <c r="D13" s="788"/>
      <c r="E13" s="2497" t="s">
        <v>2418</v>
      </c>
      <c r="F13" s="795">
        <f ca="1">'数据-取费表'!B39</f>
        <v>1.4999999999999999E-2</v>
      </c>
      <c r="G13" s="1590"/>
      <c r="H13" s="2561"/>
      <c r="I13" s="2494" t="s">
        <v>2535</v>
      </c>
      <c r="J13" s="2498"/>
      <c r="K13" s="2562"/>
      <c r="L13" s="2497" t="s">
        <v>2418</v>
      </c>
      <c r="M13" s="2491">
        <f ca="1">'数据-取费表'!B39</f>
        <v>1.4999999999999999E-2</v>
      </c>
    </row>
    <row r="14" spans="1:25" ht="18" customHeight="1" thickBot="1">
      <c r="A14" s="2536" t="s">
        <v>2429</v>
      </c>
      <c r="B14" s="2537" t="s">
        <v>2422</v>
      </c>
      <c r="C14" s="2538"/>
      <c r="D14" s="2539"/>
      <c r="E14" s="2540"/>
      <c r="F14" s="2541"/>
      <c r="G14" s="1590"/>
      <c r="H14" s="2550" t="s">
        <v>2429</v>
      </c>
      <c r="I14" s="2563" t="s">
        <v>2422</v>
      </c>
      <c r="J14" s="2564"/>
      <c r="K14" s="2539"/>
      <c r="L14" s="2540"/>
      <c r="M14" s="2553"/>
    </row>
    <row r="15" spans="1:25" ht="18" customHeight="1" thickTop="1">
      <c r="A15" s="1828" t="s">
        <v>1836</v>
      </c>
      <c r="B15" s="1826" t="s">
        <v>606</v>
      </c>
      <c r="C15" s="791">
        <f ca="1">ROUND(C31*F15,0)</f>
        <v>12062</v>
      </c>
      <c r="D15" s="1833" t="s">
        <v>607</v>
      </c>
      <c r="E15" s="794" t="s">
        <v>608</v>
      </c>
      <c r="F15" s="799">
        <f ca="1">INDIRECT("'数据-取费表'!y"&amp;$G$1)</f>
        <v>1</v>
      </c>
      <c r="G15" s="1590"/>
      <c r="H15" s="1828" t="s">
        <v>1788</v>
      </c>
      <c r="I15" s="1826" t="s">
        <v>609</v>
      </c>
      <c r="J15" s="1818">
        <f ca="1">ROUND(J16*J17,0)</f>
        <v>0</v>
      </c>
      <c r="K15" s="1820" t="s">
        <v>607</v>
      </c>
      <c r="L15" s="800"/>
      <c r="M15" s="801"/>
    </row>
    <row r="16" spans="1:25" ht="18" customHeight="1">
      <c r="A16" s="802" t="s">
        <v>1837</v>
      </c>
      <c r="B16" s="783" t="s">
        <v>610</v>
      </c>
      <c r="C16" s="803">
        <f ca="1">INDIRECT("'数据-取费表'!m"&amp;$G$1)+INDIRECT("'数据-取费表'!t"&amp;$G$1)</f>
        <v>8900</v>
      </c>
      <c r="D16" s="1978" t="s">
        <v>611</v>
      </c>
      <c r="E16" s="1979"/>
      <c r="F16" s="804"/>
      <c r="G16" s="1590"/>
      <c r="H16" s="802" t="s">
        <v>2031</v>
      </c>
      <c r="I16" s="2230" t="s">
        <v>2787</v>
      </c>
      <c r="J16" s="52">
        <f ca="1">C31</f>
        <v>12062</v>
      </c>
      <c r="K16" s="25"/>
      <c r="L16" s="800"/>
      <c r="M16" s="801"/>
    </row>
    <row r="17" spans="1:25" s="2063" customFormat="1" ht="18" customHeight="1">
      <c r="A17" s="802" t="s">
        <v>1811</v>
      </c>
      <c r="B17" s="783" t="s">
        <v>612</v>
      </c>
      <c r="C17" s="52">
        <f ca="1">ROUND(C16*F17,0)</f>
        <v>267</v>
      </c>
      <c r="D17" s="805" t="s">
        <v>613</v>
      </c>
      <c r="E17" s="805" t="s">
        <v>614</v>
      </c>
      <c r="F17" s="806">
        <f>'数据-取费表'!B33</f>
        <v>0.03</v>
      </c>
      <c r="G17" s="1591"/>
      <c r="H17" s="802" t="s">
        <v>2032</v>
      </c>
      <c r="I17" s="783" t="s">
        <v>608</v>
      </c>
      <c r="J17" s="807">
        <f ca="1">INDIRECT("'数据-取费表'!ad"&amp;$G$1)</f>
        <v>0</v>
      </c>
      <c r="K17" s="25"/>
      <c r="L17" s="800"/>
      <c r="M17" s="801"/>
      <c r="N17" s="2062"/>
      <c r="O17" s="2062"/>
      <c r="P17" s="2062"/>
      <c r="Q17" s="2062"/>
      <c r="R17" s="2062"/>
      <c r="S17" s="2062"/>
      <c r="T17" s="2062"/>
      <c r="U17" s="2062"/>
      <c r="V17" s="2062"/>
      <c r="W17" s="2062"/>
      <c r="X17" s="2062"/>
      <c r="Y17" s="2062"/>
    </row>
    <row r="18" spans="1:25" ht="18" customHeight="1">
      <c r="A18" s="802" t="s">
        <v>1812</v>
      </c>
      <c r="B18" s="783" t="s">
        <v>615</v>
      </c>
      <c r="C18" s="52">
        <f ca="1">ROUND(INDIRECT("'数据-取费表'!m"&amp;$G$1)*F18,0)</f>
        <v>0</v>
      </c>
      <c r="D18" s="783" t="s">
        <v>613</v>
      </c>
      <c r="E18" s="783" t="s">
        <v>614</v>
      </c>
      <c r="F18" s="808">
        <f ca="1">IF(INDIRECT("'数据-取费表'!c"&amp;$G$1)="住宅",'数据-取费表'!B34,0)</f>
        <v>0</v>
      </c>
      <c r="G18" s="1590"/>
      <c r="H18" s="796" t="s">
        <v>1789</v>
      </c>
      <c r="I18" s="797" t="s">
        <v>616</v>
      </c>
      <c r="J18" s="798">
        <f ca="1">ROUND(J19+J24+J25+J26,0)</f>
        <v>291</v>
      </c>
      <c r="K18" s="25" t="s">
        <v>617</v>
      </c>
      <c r="L18" s="1981"/>
      <c r="M18" s="55"/>
    </row>
    <row r="19" spans="1:25" s="2063" customFormat="1" ht="18" customHeight="1">
      <c r="A19" s="802" t="s">
        <v>1813</v>
      </c>
      <c r="B19" s="783" t="s">
        <v>618</v>
      </c>
      <c r="C19" s="52">
        <f ca="1">ROUND(F19*(INDIRECT("'数据-取费表'!k"&amp;$G$1)+INDIRECT("'数据-取费表'!S"&amp;$G$1))/10000,0)</f>
        <v>322</v>
      </c>
      <c r="D19" s="783" t="s">
        <v>619</v>
      </c>
      <c r="E19" s="783" t="s">
        <v>620</v>
      </c>
      <c r="F19" s="55">
        <f>'数据-取费表'!B35</f>
        <v>150</v>
      </c>
      <c r="G19" s="1591"/>
      <c r="H19" s="802" t="s">
        <v>2031</v>
      </c>
      <c r="I19" s="783" t="s">
        <v>621</v>
      </c>
      <c r="J19" s="52">
        <f ca="1">ROUND(IF(项目基本情况!B11="自然人",J7*M19,J20+J21+J22),0)</f>
        <v>110</v>
      </c>
      <c r="K19" s="1978" t="s">
        <v>622</v>
      </c>
      <c r="L19" s="1976" t="s">
        <v>623</v>
      </c>
      <c r="M19" s="809"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2" t="s">
        <v>1814</v>
      </c>
      <c r="B20" s="783" t="s">
        <v>624</v>
      </c>
      <c r="C20" s="52">
        <f ca="1">ROUND(C16*F20,0)</f>
        <v>134</v>
      </c>
      <c r="D20" s="783" t="s">
        <v>613</v>
      </c>
      <c r="E20" s="783" t="s">
        <v>614</v>
      </c>
      <c r="F20" s="808">
        <f>'数据-取费表'!B36</f>
        <v>1.4999999999999999E-2</v>
      </c>
      <c r="G20" s="1591"/>
      <c r="H20" s="802" t="s">
        <v>1793</v>
      </c>
      <c r="I20" s="783" t="s">
        <v>625</v>
      </c>
      <c r="J20" s="52">
        <f ca="1">ROUND(J7*M20/1.05,1)</f>
        <v>0</v>
      </c>
      <c r="K20" s="1976" t="s">
        <v>626</v>
      </c>
      <c r="L20" s="783" t="s">
        <v>614</v>
      </c>
      <c r="M20" s="808">
        <f>'数据-取费表'!B41</f>
        <v>5.6000000000000001E-2</v>
      </c>
      <c r="N20" s="2062"/>
      <c r="O20" s="2062"/>
      <c r="P20" s="2062"/>
      <c r="Q20" s="2062"/>
      <c r="R20" s="2062"/>
      <c r="S20" s="2062"/>
      <c r="T20" s="2062"/>
      <c r="U20" s="2062"/>
      <c r="V20" s="2062"/>
      <c r="W20" s="2062"/>
      <c r="X20" s="2062"/>
      <c r="Y20" s="2062"/>
    </row>
    <row r="21" spans="1:25" ht="18" customHeight="1">
      <c r="A21" s="802" t="s">
        <v>1838</v>
      </c>
      <c r="B21" s="783" t="s">
        <v>627</v>
      </c>
      <c r="C21" s="52">
        <f ca="1">SUM(C16:C20)</f>
        <v>9623</v>
      </c>
      <c r="D21" s="260" t="s">
        <v>628</v>
      </c>
      <c r="E21" s="1981"/>
      <c r="F21" s="55"/>
      <c r="G21" s="1590"/>
      <c r="H21" s="1829" t="s">
        <v>1811</v>
      </c>
      <c r="I21" s="783" t="s">
        <v>629</v>
      </c>
      <c r="J21" s="52">
        <f ca="1">IF(K21="按租金收入计税",ROUND(J7*M21,1),ROUND(C31*F35*0.7,1))</f>
        <v>101.3</v>
      </c>
      <c r="K21" s="810" t="s">
        <v>630</v>
      </c>
      <c r="L21" s="783" t="s">
        <v>614</v>
      </c>
      <c r="M21" s="808">
        <f>IF(K21="按租金收入计税",'数据-取费表'!B51,'数据-取费表'!B50)</f>
        <v>1.2E-2</v>
      </c>
    </row>
    <row r="22" spans="1:25" s="2063" customFormat="1" ht="18" customHeight="1">
      <c r="A22" s="802" t="s">
        <v>1839</v>
      </c>
      <c r="B22" s="783" t="s">
        <v>631</v>
      </c>
      <c r="C22" s="52">
        <f ca="1">ROUND(C21*F22,0)</f>
        <v>192</v>
      </c>
      <c r="D22" s="811" t="s">
        <v>632</v>
      </c>
      <c r="E22" s="783" t="s">
        <v>614</v>
      </c>
      <c r="F22" s="808">
        <f>'数据-取费表'!B37</f>
        <v>0.02</v>
      </c>
      <c r="G22" s="1591"/>
      <c r="H22" s="1831" t="s">
        <v>1812</v>
      </c>
      <c r="I22" s="1821" t="s">
        <v>633</v>
      </c>
      <c r="J22" s="53">
        <f ca="1">ROUND(M22*M23/10000,0)</f>
        <v>9</v>
      </c>
      <c r="K22" s="813" t="s">
        <v>634</v>
      </c>
      <c r="L22" s="783" t="s">
        <v>635</v>
      </c>
      <c r="M22" s="639">
        <f>'数据-取费表'!B52</f>
        <v>12</v>
      </c>
      <c r="N22" s="2062"/>
      <c r="O22" s="2062"/>
      <c r="P22" s="2062"/>
      <c r="Q22" s="2062"/>
      <c r="R22" s="2062"/>
      <c r="S22" s="2062"/>
      <c r="T22" s="2062"/>
      <c r="U22" s="2062"/>
      <c r="V22" s="2062"/>
      <c r="W22" s="2062"/>
      <c r="X22" s="2062"/>
      <c r="Y22" s="2062"/>
    </row>
    <row r="23" spans="1:25" s="2063" customFormat="1" ht="18" customHeight="1">
      <c r="A23" s="802" t="s">
        <v>1840</v>
      </c>
      <c r="B23" s="783" t="s">
        <v>636</v>
      </c>
      <c r="C23" s="52" t="s">
        <v>1</v>
      </c>
      <c r="D23" s="811" t="s">
        <v>637</v>
      </c>
      <c r="E23" s="783" t="s">
        <v>638</v>
      </c>
      <c r="F23" s="808">
        <f>'数据-取费表'!B38</f>
        <v>0.02</v>
      </c>
      <c r="G23" s="1591"/>
      <c r="H23" s="1832"/>
      <c r="I23" s="1823"/>
      <c r="J23" s="68"/>
      <c r="K23" s="815"/>
      <c r="L23" s="783" t="s">
        <v>639</v>
      </c>
      <c r="M23" s="784">
        <f ca="1">INDIRECT("'数据-取费表'!r"&amp;$G$1)</f>
        <v>7409.7000000000007</v>
      </c>
      <c r="N23" s="2062"/>
      <c r="O23" s="2062"/>
      <c r="P23" s="2062"/>
      <c r="Q23" s="2062"/>
      <c r="R23" s="2062"/>
      <c r="S23" s="2062"/>
      <c r="T23" s="2062"/>
      <c r="U23" s="2062"/>
      <c r="V23" s="2062"/>
      <c r="W23" s="2062"/>
      <c r="X23" s="2062"/>
      <c r="Y23" s="2062"/>
    </row>
    <row r="24" spans="1:25" ht="18" customHeight="1">
      <c r="A24" s="802" t="s">
        <v>1841</v>
      </c>
      <c r="B24" s="783" t="s">
        <v>640</v>
      </c>
      <c r="C24" s="52"/>
      <c r="D24" s="2571" t="str">
        <f>IF(F25&lt;=1,"单利计息。","复利计息。")&amp;"建造成本、管理费用、销售费用产生的利息。"</f>
        <v>复利计息。建造成本、管理费用、销售费用产生的利息。</v>
      </c>
      <c r="E24" s="1981"/>
      <c r="F24" s="55"/>
      <c r="G24" s="1590"/>
      <c r="H24" s="1830" t="s">
        <v>2032</v>
      </c>
      <c r="I24" s="783" t="s">
        <v>641</v>
      </c>
      <c r="J24" s="52">
        <f ca="1">ROUND(J16*M24,0)</f>
        <v>181</v>
      </c>
      <c r="K24" s="1976" t="s">
        <v>642</v>
      </c>
      <c r="L24" s="783" t="s">
        <v>614</v>
      </c>
      <c r="M24" s="816">
        <f ca="1">INDIRECT("'数据-取费表'!Ak"&amp;$G$1)</f>
        <v>1.4999999999999999E-2</v>
      </c>
    </row>
    <row r="25" spans="1:25" s="2063" customFormat="1" ht="18" customHeight="1">
      <c r="A25" s="802" t="s">
        <v>1837</v>
      </c>
      <c r="B25" s="783" t="s">
        <v>2399</v>
      </c>
      <c r="C25" s="52">
        <f ca="1">ROUND(IF('数据-取费表'!B22&lt;=1,(C21+C22)*F26*F25/2,(C21+C22)*(POWER((1+F26),F25/2)-1)),0)</f>
        <v>348</v>
      </c>
      <c r="D25" s="2570" t="str">
        <f>IF(F25&lt;=1,"(建造成本+管理费用)×利率×(建设周期÷2)","(建造成本+管理费用)×((1+利率)^(建设周期÷2)-1)")</f>
        <v>(建造成本+管理费用)×((1+利率)^(建设周期÷2)-1)</v>
      </c>
      <c r="E25" s="783" t="s">
        <v>643</v>
      </c>
      <c r="F25" s="639">
        <f>'数据-取费表'!B20</f>
        <v>1.5</v>
      </c>
      <c r="G25" s="1591"/>
      <c r="H25" s="802" t="s">
        <v>1840</v>
      </c>
      <c r="I25" s="783" t="s">
        <v>644</v>
      </c>
      <c r="J25" s="52">
        <f ca="1">ROUND(J15*M25,0)</f>
        <v>0</v>
      </c>
      <c r="K25" s="1976" t="s">
        <v>645</v>
      </c>
      <c r="L25" s="783" t="s">
        <v>614</v>
      </c>
      <c r="M25" s="817">
        <f ca="1">INDIRECT("'数据-取费表'!Al"&amp;$G$1)</f>
        <v>1.5E-3</v>
      </c>
      <c r="N25" s="2062"/>
      <c r="O25" s="2062"/>
      <c r="P25" s="2062"/>
      <c r="Q25" s="2062"/>
      <c r="R25" s="2062"/>
      <c r="S25" s="2062"/>
      <c r="T25" s="2062"/>
      <c r="U25" s="2062"/>
      <c r="V25" s="2062"/>
      <c r="W25" s="2062"/>
      <c r="X25" s="2062"/>
      <c r="Y25" s="2062"/>
    </row>
    <row r="26" spans="1:25" s="2063" customFormat="1" ht="18" customHeight="1">
      <c r="A26" s="802" t="s">
        <v>1811</v>
      </c>
      <c r="B26" s="783" t="s">
        <v>646</v>
      </c>
      <c r="C26" s="52">
        <f ca="1">ROUND(IF('数据-取费表'!B22&lt;=1,F23*F26*F25/2,F23*(POWER((1+F26),F25/2)-1)),4)</f>
        <v>6.9999999999999999E-4</v>
      </c>
      <c r="D26" s="2570" t="str">
        <f>IF(F25&lt;=1,"销售费用×利率×(建设周期÷2)","销售费用×((1+利率)^(建设周期÷2)-1)")</f>
        <v>销售费用×((1+利率)^(建设周期÷2)-1)</v>
      </c>
      <c r="E26" s="783" t="s">
        <v>647</v>
      </c>
      <c r="F26" s="818">
        <f ca="1">'数据-取费表'!B40</f>
        <v>4.7500000000000001E-2</v>
      </c>
      <c r="G26" s="1591"/>
      <c r="H26" s="802" t="s">
        <v>1841</v>
      </c>
      <c r="I26" s="783" t="s">
        <v>631</v>
      </c>
      <c r="J26" s="52">
        <f ca="1">ROUND(J7*M26,0)</f>
        <v>0</v>
      </c>
      <c r="K26" s="1976" t="s">
        <v>648</v>
      </c>
      <c r="L26" s="783" t="s">
        <v>614</v>
      </c>
      <c r="M26" s="793">
        <f ca="1">INDIRECT("'数据-取费表'!Am"&amp;$G$1)</f>
        <v>0.02</v>
      </c>
      <c r="N26" s="2062"/>
      <c r="O26" s="2062"/>
      <c r="P26" s="2062"/>
      <c r="Q26" s="2062"/>
      <c r="R26" s="2062"/>
      <c r="S26" s="2062"/>
      <c r="T26" s="2062"/>
      <c r="U26" s="2062"/>
      <c r="V26" s="2062"/>
      <c r="W26" s="2062"/>
      <c r="X26" s="2062"/>
      <c r="Y26" s="2062"/>
    </row>
    <row r="27" spans="1:25" ht="18" customHeight="1">
      <c r="A27" s="802" t="s">
        <v>1843</v>
      </c>
      <c r="B27" s="783" t="s">
        <v>649</v>
      </c>
      <c r="C27" s="52"/>
      <c r="D27" s="260" t="s">
        <v>650</v>
      </c>
      <c r="E27" s="1981"/>
      <c r="F27" s="55"/>
      <c r="G27" s="1590"/>
      <c r="H27" s="796" t="s">
        <v>1790</v>
      </c>
      <c r="I27" s="3010" t="s">
        <v>2784</v>
      </c>
      <c r="J27" s="798">
        <f ca="1">J7-J18</f>
        <v>-291</v>
      </c>
      <c r="K27" s="1978" t="s">
        <v>665</v>
      </c>
      <c r="L27" s="1980"/>
      <c r="M27" s="819"/>
    </row>
    <row r="28" spans="1:25" ht="18" customHeight="1">
      <c r="A28" s="802" t="s">
        <v>1837</v>
      </c>
      <c r="B28" s="783" t="s">
        <v>2400</v>
      </c>
      <c r="C28" s="52">
        <f ca="1">ROUND((C21+C22)*F28,0)</f>
        <v>982</v>
      </c>
      <c r="D28" s="811" t="s">
        <v>666</v>
      </c>
      <c r="E28" s="794" t="s">
        <v>667</v>
      </c>
      <c r="F28" s="793">
        <f ca="1">INDIRECT("'数据-取费表'!q"&amp;$G$1)</f>
        <v>0.1</v>
      </c>
      <c r="G28" s="1590"/>
      <c r="H28" s="780" t="s">
        <v>1799</v>
      </c>
      <c r="I28" s="781" t="s">
        <v>668</v>
      </c>
      <c r="J28" s="782">
        <f ca="1">IF(J7&lt;&gt;0,ROUND(J27*(1-((1+M30)/(1+M28))^M29)/(M28-M30),0),0)</f>
        <v>0</v>
      </c>
      <c r="K28" s="813" t="s">
        <v>669</v>
      </c>
      <c r="L28" s="783" t="s">
        <v>670</v>
      </c>
      <c r="M28" s="793">
        <f ca="1">INDIRECT("'数据-取费表'!I"&amp;$G$1)</f>
        <v>5.5E-2</v>
      </c>
    </row>
    <row r="29" spans="1:25" ht="18" customHeight="1">
      <c r="A29" s="802" t="s">
        <v>1811</v>
      </c>
      <c r="B29" s="783" t="s">
        <v>651</v>
      </c>
      <c r="C29" s="52">
        <f ca="1">ROUND(F23*F28,4)</f>
        <v>2E-3</v>
      </c>
      <c r="D29" s="811" t="s">
        <v>671</v>
      </c>
      <c r="E29" s="805"/>
      <c r="F29" s="806"/>
      <c r="G29" s="1590"/>
      <c r="H29" s="785"/>
      <c r="I29" s="786"/>
      <c r="J29" s="787"/>
      <c r="K29" s="820" t="s">
        <v>672</v>
      </c>
      <c r="L29" s="783" t="s">
        <v>673</v>
      </c>
      <c r="M29" s="821">
        <f ca="1">INDIRECT("'数据-取费表'!ag"&amp;$G$1)</f>
        <v>0</v>
      </c>
    </row>
    <row r="30" spans="1:25" s="2063" customFormat="1" ht="18" customHeight="1">
      <c r="A30" s="802" t="s">
        <v>1844</v>
      </c>
      <c r="B30" s="783" t="s">
        <v>652</v>
      </c>
      <c r="C30" s="52">
        <f>ROUND(F30/(1+'数据-取费表'!C42),4)</f>
        <v>5.33E-2</v>
      </c>
      <c r="D30" s="811" t="s">
        <v>674</v>
      </c>
      <c r="E30" s="783" t="s">
        <v>614</v>
      </c>
      <c r="F30" s="808">
        <f>'数据-取费表'!B41</f>
        <v>5.6000000000000001E-2</v>
      </c>
      <c r="G30" s="1591"/>
      <c r="H30" s="789"/>
      <c r="I30" s="790"/>
      <c r="J30" s="791"/>
      <c r="K30" s="815"/>
      <c r="L30" s="783" t="s">
        <v>675</v>
      </c>
      <c r="M30" s="793">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1845</v>
      </c>
      <c r="B31" s="2540" t="s">
        <v>2785</v>
      </c>
      <c r="C31" s="2543">
        <f ca="1">ROUND((C21+C22+C25+C28)/(1-F23-C26-C29-C30),0)</f>
        <v>12062</v>
      </c>
      <c r="D31" s="2544"/>
      <c r="E31" s="2545"/>
      <c r="F31" s="2546"/>
      <c r="G31" s="1591"/>
      <c r="H31" s="822" t="s">
        <v>1834</v>
      </c>
      <c r="I31" s="3011" t="s">
        <v>2786</v>
      </c>
      <c r="J31" s="824">
        <f ca="1">ROUND(J28/(1+F45)^F46,0)</f>
        <v>0</v>
      </c>
      <c r="K31" s="825" t="s">
        <v>653</v>
      </c>
      <c r="L31" s="826"/>
      <c r="M31" s="827">
        <f ca="1">INDIRECT("'数据-取费表'!k"&amp;$G$1)</f>
        <v>12316.199999999999</v>
      </c>
      <c r="N31" s="2062"/>
      <c r="O31" s="2062"/>
      <c r="P31" s="2062"/>
      <c r="Q31" s="2062"/>
      <c r="R31" s="2062"/>
      <c r="S31" s="2062"/>
      <c r="T31" s="2062"/>
      <c r="U31" s="2062"/>
      <c r="V31" s="2062"/>
      <c r="W31" s="2062"/>
      <c r="X31" s="2062"/>
      <c r="Y31" s="2062"/>
    </row>
    <row r="32" spans="1:25" ht="18" customHeight="1" thickTop="1">
      <c r="A32" s="1828" t="s">
        <v>7</v>
      </c>
      <c r="B32" s="1826" t="s">
        <v>654</v>
      </c>
      <c r="C32" s="791">
        <f ca="1">ROUND(C33+C38+C39+C40,0)</f>
        <v>379</v>
      </c>
      <c r="D32" s="1820" t="s">
        <v>617</v>
      </c>
      <c r="E32" s="2486"/>
      <c r="F32" s="2490"/>
      <c r="G32" s="2061"/>
      <c r="H32" s="2064"/>
      <c r="I32" s="2065"/>
      <c r="J32" s="2066"/>
      <c r="K32" s="2067"/>
      <c r="L32" s="2068"/>
      <c r="M32" s="2069"/>
    </row>
    <row r="33" spans="1:18" ht="18" customHeight="1">
      <c r="A33" s="802" t="s">
        <v>1838</v>
      </c>
      <c r="B33" s="783" t="s">
        <v>621</v>
      </c>
      <c r="C33" s="52">
        <f ca="1">ROUND(IF(项目基本情况!B11="自然人",C7*F33,C34+C35+C36),1)</f>
        <v>161.1</v>
      </c>
      <c r="D33" s="1978" t="s">
        <v>622</v>
      </c>
      <c r="E33" s="1976" t="s">
        <v>655</v>
      </c>
      <c r="F33" s="809" t="str">
        <f ca="1">IF(项目基本情况!B11="企业","",IF(INDIRECT("'数据-取费表'!c"&amp;$G$1)="住宅",5%,IF(F8*F9*F10/12/(1+'数据-取费表'!C42)&gt;20000,12%,7%)))</f>
        <v/>
      </c>
      <c r="G33" s="2061"/>
      <c r="H33" s="2064"/>
      <c r="I33" s="2065"/>
      <c r="J33" s="2066"/>
      <c r="K33" s="2067"/>
      <c r="L33" s="2068"/>
      <c r="M33" s="2069"/>
    </row>
    <row r="34" spans="1:18" ht="18" customHeight="1">
      <c r="A34" s="802" t="s">
        <v>1837</v>
      </c>
      <c r="B34" s="783" t="s">
        <v>625</v>
      </c>
      <c r="C34" s="52">
        <f ca="1">ROUND(C7*F34/1.05,1)</f>
        <v>50.9</v>
      </c>
      <c r="D34" s="1976" t="s">
        <v>626</v>
      </c>
      <c r="E34" s="783" t="s">
        <v>614</v>
      </c>
      <c r="F34" s="808">
        <f>'数据-取费表'!B41</f>
        <v>5.6000000000000001E-2</v>
      </c>
      <c r="G34" s="2061"/>
      <c r="H34" s="2070"/>
      <c r="I34" s="2071"/>
      <c r="J34" s="2072"/>
      <c r="K34" s="2073"/>
      <c r="L34" s="2074"/>
      <c r="M34" s="2075"/>
    </row>
    <row r="35" spans="1:18" ht="18" customHeight="1">
      <c r="A35" s="802" t="s">
        <v>1811</v>
      </c>
      <c r="B35" s="783" t="s">
        <v>629</v>
      </c>
      <c r="C35" s="52">
        <f ca="1">IF(D35="按租金收入计税",ROUND(C7*F35,1),IF(D35="按房产原值计税",ROUND(C31*F35*0.7,1),INDIRECT("'数据-取费表'!Aj"&amp;$G$1)))</f>
        <v>101.3</v>
      </c>
      <c r="D35" s="810" t="s">
        <v>1645</v>
      </c>
      <c r="E35" s="783" t="s">
        <v>614</v>
      </c>
      <c r="F35" s="808">
        <f>IF(D35="按租金收入计税",'数据-取费表'!B51,'数据-取费表'!B50)</f>
        <v>1.2E-2</v>
      </c>
      <c r="G35" s="2061"/>
      <c r="H35" s="2076"/>
      <c r="I35" s="2076"/>
      <c r="J35" s="2076"/>
      <c r="K35" s="2077"/>
      <c r="L35" s="2076"/>
      <c r="M35" s="2076"/>
    </row>
    <row r="36" spans="1:18" ht="18" customHeight="1">
      <c r="A36" s="812" t="s">
        <v>1842</v>
      </c>
      <c r="B36" s="340" t="s">
        <v>633</v>
      </c>
      <c r="C36" s="53">
        <f ca="1">ROUND(F36*F37/10000,1)</f>
        <v>8.9</v>
      </c>
      <c r="D36" s="813" t="s">
        <v>634</v>
      </c>
      <c r="E36" s="783" t="s">
        <v>635</v>
      </c>
      <c r="F36" s="639">
        <f>'数据-取费表'!B52</f>
        <v>12</v>
      </c>
      <c r="G36" s="2061"/>
      <c r="H36" s="2064"/>
      <c r="I36" s="3436"/>
      <c r="J36" s="2078"/>
      <c r="K36" s="2079"/>
      <c r="L36" s="2078"/>
      <c r="M36" s="2078"/>
    </row>
    <row r="37" spans="1:18" ht="18" customHeight="1">
      <c r="A37" s="814"/>
      <c r="B37" s="792"/>
      <c r="C37" s="68"/>
      <c r="D37" s="815"/>
      <c r="E37" s="783" t="s">
        <v>639</v>
      </c>
      <c r="F37" s="784">
        <f ca="1">INDIRECT("'数据-取费表'!r"&amp;$G$1)</f>
        <v>7409.7000000000007</v>
      </c>
      <c r="G37" s="2061"/>
      <c r="H37" s="2064"/>
      <c r="I37" s="3436"/>
      <c r="J37" s="2076"/>
      <c r="K37" s="2077"/>
      <c r="L37" s="2076"/>
      <c r="M37" s="2076"/>
    </row>
    <row r="38" spans="1:18" ht="18" customHeight="1">
      <c r="A38" s="802" t="s">
        <v>1839</v>
      </c>
      <c r="B38" s="783" t="s">
        <v>641</v>
      </c>
      <c r="C38" s="52">
        <f ca="1">ROUND(C31*F38,1)</f>
        <v>180.9</v>
      </c>
      <c r="D38" s="1976" t="s">
        <v>656</v>
      </c>
      <c r="E38" s="783" t="s">
        <v>614</v>
      </c>
      <c r="F38" s="816">
        <f ca="1">INDIRECT("'数据-取费表'!Ak"&amp;$G$1)</f>
        <v>1.4999999999999999E-2</v>
      </c>
      <c r="G38" s="2061"/>
      <c r="H38" s="2076"/>
      <c r="I38" s="2080"/>
      <c r="J38" s="1987"/>
      <c r="K38" s="2081"/>
      <c r="L38" s="2076"/>
      <c r="M38" s="2076"/>
    </row>
    <row r="39" spans="1:18" ht="18" customHeight="1">
      <c r="A39" s="802" t="s">
        <v>1840</v>
      </c>
      <c r="B39" s="783" t="s">
        <v>644</v>
      </c>
      <c r="C39" s="52">
        <f ca="1">ROUND(C15*F39,1)</f>
        <v>18.100000000000001</v>
      </c>
      <c r="D39" s="1976" t="s">
        <v>645</v>
      </c>
      <c r="E39" s="783" t="s">
        <v>614</v>
      </c>
      <c r="F39" s="817">
        <f ca="1">INDIRECT("'数据-取费表'!Al"&amp;$G$1)</f>
        <v>1.5E-3</v>
      </c>
      <c r="G39" s="2061"/>
      <c r="H39" s="2076"/>
      <c r="I39" s="2080"/>
      <c r="J39" s="1987"/>
      <c r="K39" s="2081"/>
      <c r="L39" s="2076"/>
      <c r="M39" s="2076"/>
    </row>
    <row r="40" spans="1:18" ht="18" customHeight="1" thickBot="1">
      <c r="A40" s="2559" t="s">
        <v>1841</v>
      </c>
      <c r="B40" s="2545" t="s">
        <v>631</v>
      </c>
      <c r="C40" s="2543">
        <f ca="1">ROUND(C7*F40,1)</f>
        <v>19.100000000000001</v>
      </c>
      <c r="D40" s="2544" t="s">
        <v>648</v>
      </c>
      <c r="E40" s="2545" t="s">
        <v>614</v>
      </c>
      <c r="F40" s="2541">
        <f ca="1">INDIRECT("'数据-取费表'!Am"&amp;$G$1)</f>
        <v>0.02</v>
      </c>
      <c r="G40" s="2061"/>
      <c r="H40" s="2076"/>
      <c r="I40" s="2080"/>
      <c r="J40" s="1987"/>
      <c r="K40" s="2082"/>
      <c r="L40" s="2076"/>
      <c r="M40" s="2076"/>
    </row>
    <row r="41" spans="1:18" ht="18" customHeight="1" thickTop="1">
      <c r="A41" s="1828">
        <v>4</v>
      </c>
      <c r="B41" s="1826" t="s">
        <v>657</v>
      </c>
      <c r="C41" s="1351"/>
      <c r="D41" s="1352"/>
      <c r="E41" s="1352"/>
      <c r="F41" s="1353"/>
      <c r="G41" s="2061"/>
      <c r="H41" s="2061"/>
      <c r="I41" s="2061"/>
      <c r="J41" s="2061"/>
      <c r="K41" s="2082"/>
      <c r="L41" s="2061"/>
      <c r="M41" s="2061"/>
    </row>
    <row r="42" spans="1:18" ht="18" customHeight="1">
      <c r="A42" s="802" t="s">
        <v>1838</v>
      </c>
      <c r="B42" s="834" t="s">
        <v>658</v>
      </c>
      <c r="C42" s="828">
        <f ca="1">C7-C32</f>
        <v>575</v>
      </c>
      <c r="D42" s="1978" t="s">
        <v>659</v>
      </c>
      <c r="E42" s="1980"/>
      <c r="F42" s="819"/>
      <c r="G42" s="2061"/>
      <c r="H42" s="2061"/>
      <c r="I42" s="2061"/>
      <c r="J42" s="2061"/>
      <c r="K42" s="2082"/>
      <c r="L42" s="2061"/>
      <c r="M42" s="2061"/>
    </row>
    <row r="43" spans="1:18" ht="18" customHeight="1">
      <c r="A43" s="802" t="s">
        <v>1839</v>
      </c>
      <c r="B43" s="834" t="s">
        <v>676</v>
      </c>
      <c r="C43" s="835">
        <f ca="1">ROUND(C15*F43,0)</f>
        <v>1025</v>
      </c>
      <c r="D43" s="1354" t="s">
        <v>677</v>
      </c>
      <c r="E43" s="3122" t="s">
        <v>2923</v>
      </c>
      <c r="F43" s="3123">
        <f ca="1">INDIRECT("'数据-取费表'!j"&amp;$G$1)</f>
        <v>8.5000000000000006E-2</v>
      </c>
      <c r="G43" s="2061"/>
      <c r="H43" s="2061"/>
      <c r="I43" s="2061"/>
      <c r="J43" s="2061"/>
      <c r="K43" s="2082"/>
      <c r="L43" s="2061"/>
      <c r="M43" s="2061"/>
    </row>
    <row r="44" spans="1:18" ht="18" customHeight="1">
      <c r="A44" s="802" t="s">
        <v>1840</v>
      </c>
      <c r="B44" s="834" t="s">
        <v>678</v>
      </c>
      <c r="C44" s="1355">
        <f ca="1">C42-C43</f>
        <v>-450</v>
      </c>
      <c r="D44" s="462" t="s">
        <v>679</v>
      </c>
      <c r="E44" s="463"/>
      <c r="F44" s="464"/>
      <c r="G44" s="2061"/>
      <c r="H44" s="2061"/>
      <c r="I44" s="2061"/>
      <c r="J44" s="2061"/>
      <c r="K44" s="2082"/>
      <c r="L44" s="2061"/>
      <c r="M44" s="2061"/>
    </row>
    <row r="45" spans="1:18" ht="18" customHeight="1">
      <c r="A45" s="802" t="s">
        <v>1841</v>
      </c>
      <c r="B45" s="1354" t="s">
        <v>680</v>
      </c>
      <c r="C45" s="3037">
        <f ca="1">ROUND(-PV(F45,F46,C44,0),0)</f>
        <v>-7946</v>
      </c>
      <c r="D45" s="1356" t="s">
        <v>681</v>
      </c>
      <c r="E45" s="805" t="s">
        <v>682</v>
      </c>
      <c r="F45" s="829">
        <f ca="1">INDIRECT("'数据-取费表'!h"&amp;$G$1)</f>
        <v>0.05</v>
      </c>
      <c r="G45" s="2061"/>
      <c r="H45" s="2061"/>
      <c r="I45" s="2061"/>
      <c r="J45" s="2061"/>
      <c r="K45" s="2082"/>
      <c r="L45" s="2061"/>
      <c r="M45" s="2061"/>
    </row>
    <row r="46" spans="1:18" ht="18" customHeight="1" thickBot="1">
      <c r="A46" s="830"/>
      <c r="B46" s="1357"/>
      <c r="C46" s="1358"/>
      <c r="D46" s="1359"/>
      <c r="E46" s="3124" t="s">
        <v>2925</v>
      </c>
      <c r="F46" s="827">
        <f ca="1">IF(INDIRECT("'数据-取费表'!af"&amp;$G$1)=0,INDIRECT("'数据-取费表'!ae"&amp;$G$1),INDIRECT("'数据-取费表'!af"&amp;$G$1))</f>
        <v>43.95</v>
      </c>
      <c r="G46" s="2061"/>
      <c r="H46" s="2061"/>
      <c r="I46" s="2061"/>
      <c r="J46" s="2061"/>
      <c r="K46" s="2082"/>
      <c r="L46" s="2061"/>
      <c r="M46" s="2061"/>
    </row>
    <row r="47" spans="1:18" s="2058" customFormat="1" ht="18" customHeight="1" thickBot="1">
      <c r="A47" s="2083"/>
      <c r="D47" s="2084"/>
      <c r="E47" s="2084"/>
      <c r="F47" s="2084"/>
      <c r="I47" s="2377" t="s">
        <v>2305</v>
      </c>
      <c r="J47" s="2378"/>
      <c r="K47" s="2379"/>
      <c r="L47" s="3160" t="e">
        <f ca="1">IF(M48="住宅",0,IF(L49&gt;J52,L61,J61))</f>
        <v>#DIV/0!</v>
      </c>
      <c r="O47" s="2393" t="s">
        <v>2372</v>
      </c>
      <c r="P47" s="1590"/>
      <c r="Q47" s="1602"/>
      <c r="R47" s="1590"/>
    </row>
    <row r="48" spans="1:18" s="2058" customFormat="1" ht="18" customHeight="1" thickBot="1">
      <c r="A48" s="2083"/>
      <c r="C48" s="2086"/>
      <c r="D48" s="2087"/>
      <c r="E48" s="2087"/>
      <c r="F48" s="2088"/>
      <c r="G48" s="2089"/>
      <c r="I48" s="3150" t="s">
        <v>2306</v>
      </c>
      <c r="J48" s="2380"/>
      <c r="K48" s="3157" t="s">
        <v>2311</v>
      </c>
      <c r="L48" s="3161">
        <f ca="1">INDIRECT("'数据-取费表'!d"&amp;$G$1)</f>
        <v>50</v>
      </c>
      <c r="M48" s="3121" t="str">
        <f>IF(ISNUMBER(FIND("住宅",C1)),"住宅","非住宅")</f>
        <v>非住宅</v>
      </c>
      <c r="O48" s="2394" t="s">
        <v>2337</v>
      </c>
      <c r="P48" s="2395" t="s">
        <v>2338</v>
      </c>
      <c r="Q48" s="2396" t="s">
        <v>2339</v>
      </c>
      <c r="R48" s="2395" t="s">
        <v>2340</v>
      </c>
    </row>
    <row r="49" spans="1:18" s="2058" customFormat="1" ht="18" customHeight="1" thickBot="1">
      <c r="A49" s="2083"/>
      <c r="D49" s="2090"/>
      <c r="E49" s="2091"/>
      <c r="F49" s="2088"/>
      <c r="G49" s="2089"/>
      <c r="H49" s="2092"/>
      <c r="I49" s="3126" t="s">
        <v>2307</v>
      </c>
      <c r="J49" s="2381"/>
      <c r="K49" s="3158" t="s">
        <v>2313</v>
      </c>
      <c r="L49" s="1907">
        <f ca="1">INDIRECT("'数据-取费表'!f"&amp;$G$1)</f>
        <v>45.45</v>
      </c>
      <c r="O49" s="2397" t="s">
        <v>2341</v>
      </c>
      <c r="P49" s="2398" t="s">
        <v>2367</v>
      </c>
      <c r="Q49" s="2399">
        <f ca="1">C41+J31</f>
        <v>0</v>
      </c>
      <c r="R49" s="2398" t="s">
        <v>2342</v>
      </c>
    </row>
    <row r="50" spans="1:18" s="2058" customFormat="1" ht="18" customHeight="1" thickBot="1">
      <c r="A50" s="2083"/>
      <c r="D50" s="2093"/>
      <c r="E50" s="2093"/>
      <c r="F50" s="2087"/>
      <c r="G50" s="2094"/>
      <c r="H50" s="2092"/>
      <c r="I50" s="3126" t="s">
        <v>2308</v>
      </c>
      <c r="J50" s="2382"/>
      <c r="K50" s="3159" t="s">
        <v>2314</v>
      </c>
      <c r="L50" s="2383"/>
      <c r="O50" s="2397" t="s">
        <v>2343</v>
      </c>
      <c r="P50" s="2398" t="s">
        <v>2368</v>
      </c>
      <c r="Q50" s="2399" t="str">
        <f ca="1">J61</f>
        <v>0</v>
      </c>
      <c r="R50" s="2398" t="s">
        <v>2344</v>
      </c>
    </row>
    <row r="51" spans="1:18" s="2058" customFormat="1" ht="18" customHeight="1" thickBot="1">
      <c r="A51" s="2095"/>
      <c r="D51" s="2093"/>
      <c r="E51" s="2093"/>
      <c r="F51" s="2084"/>
      <c r="H51" s="2092"/>
      <c r="I51" s="3126" t="s">
        <v>2309</v>
      </c>
      <c r="J51" s="3154">
        <f>SUMPRODUCT((I64:I66=J48)*(J63:L63=J49)*(J64:L66))</f>
        <v>0</v>
      </c>
      <c r="K51" s="3159" t="s">
        <v>2315</v>
      </c>
      <c r="L51" s="2383"/>
      <c r="O51" s="2400" t="s">
        <v>2345</v>
      </c>
      <c r="P51" s="2398" t="s">
        <v>2369</v>
      </c>
      <c r="Q51" s="2399">
        <f ca="1">C31</f>
        <v>12062</v>
      </c>
      <c r="R51" s="2398" t="s">
        <v>2342</v>
      </c>
    </row>
    <row r="52" spans="1:18" s="2058" customFormat="1" ht="18" customHeight="1" thickBot="1">
      <c r="A52" s="2095"/>
      <c r="F52" s="2084"/>
      <c r="I52" s="3151" t="s">
        <v>2310</v>
      </c>
      <c r="J52" s="3155">
        <f>IF(J50="",J51,J50+J51-YEAR('数据-取费表'!B3))</f>
        <v>0</v>
      </c>
      <c r="K52" s="3126" t="s">
        <v>2316</v>
      </c>
      <c r="L52" s="3162">
        <f ca="1">ROUND(-PV(INDIRECT("'数据-取费表'!h"&amp;$G$1),L49,(C40-C14*J36),0),0)</f>
        <v>340</v>
      </c>
      <c r="O52" s="2400" t="s">
        <v>2346</v>
      </c>
      <c r="P52" s="2398" t="s">
        <v>2347</v>
      </c>
      <c r="Q52" s="2401" t="e">
        <f ca="1">J59</f>
        <v>#VALUE!</v>
      </c>
      <c r="R52" s="2402"/>
    </row>
    <row r="53" spans="1:18" s="2058" customFormat="1" ht="18" customHeight="1" thickBot="1">
      <c r="A53" s="2095"/>
      <c r="F53" s="2084"/>
      <c r="I53" s="3152" t="s">
        <v>2383</v>
      </c>
      <c r="J53" s="2384"/>
      <c r="K53" s="3152" t="s">
        <v>2382</v>
      </c>
      <c r="L53" s="2384"/>
      <c r="O53" s="2400" t="s">
        <v>2348</v>
      </c>
      <c r="P53" s="2398" t="s">
        <v>2349</v>
      </c>
      <c r="Q53" s="2401">
        <f>J53</f>
        <v>0</v>
      </c>
      <c r="R53" s="2402"/>
    </row>
    <row r="54" spans="1:18" s="2058" customFormat="1" ht="31.8" thickBot="1">
      <c r="A54" s="2095"/>
      <c r="I54" s="3153" t="s">
        <v>2939</v>
      </c>
      <c r="J54" s="3156">
        <f ca="1">IF(M48="住宅",MAX(J52,L49-'数据-取费表'!B20),MIN(J52,L49-'数据-取费表'!B20))</f>
        <v>0</v>
      </c>
      <c r="K54" s="3441"/>
      <c r="L54" s="3442"/>
      <c r="O54" s="2400" t="s">
        <v>2350</v>
      </c>
      <c r="P54" s="2398" t="s">
        <v>2351</v>
      </c>
      <c r="Q54" s="2399">
        <f ca="1">J54</f>
        <v>0</v>
      </c>
      <c r="R54" s="2398" t="s">
        <v>2352</v>
      </c>
    </row>
    <row r="55" spans="1:18" s="2058" customFormat="1" ht="18" customHeight="1" thickBot="1">
      <c r="A55" s="2095"/>
      <c r="I55" s="31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3"/>
      <c r="K55" s="3164"/>
      <c r="O55" s="2397" t="s">
        <v>2353</v>
      </c>
      <c r="P55" s="2398" t="s">
        <v>2370</v>
      </c>
      <c r="Q55" s="2399">
        <f ca="1">Q49+Q50</f>
        <v>0</v>
      </c>
      <c r="R55" s="2402" t="s">
        <v>2354</v>
      </c>
    </row>
    <row r="56" spans="1:18" s="2058" customFormat="1" ht="16.2" thickBot="1">
      <c r="A56" s="2095"/>
      <c r="B56" s="2096"/>
      <c r="C56" s="2096"/>
      <c r="I56" s="3165" t="s">
        <v>2317</v>
      </c>
      <c r="J56" s="3101" t="e">
        <f ca="1">ROUND(IF(J48="钢混",J58/J51,1-(1-2%)*(J51-J58)/J51),3)</f>
        <v>#VALUE!</v>
      </c>
      <c r="K56" s="3166" t="s">
        <v>2318</v>
      </c>
      <c r="L56" s="2385"/>
      <c r="O56" s="2403" t="s">
        <v>2373</v>
      </c>
      <c r="P56" s="1590"/>
      <c r="Q56" s="1602"/>
      <c r="R56" s="1590"/>
    </row>
    <row r="57" spans="1:18" s="2058" customFormat="1" ht="47.4" thickBot="1">
      <c r="A57" s="2095"/>
      <c r="B57" s="2096"/>
      <c r="C57" s="2096"/>
      <c r="I57" s="3167" t="s">
        <v>2319</v>
      </c>
      <c r="J57" s="3177" t="s">
        <v>1643</v>
      </c>
      <c r="K57" s="3126" t="s">
        <v>2324</v>
      </c>
      <c r="L57" s="1907">
        <f ca="1">IF(L49&lt;J52,"——",L49-J52)</f>
        <v>45.45</v>
      </c>
      <c r="O57" s="2394" t="s">
        <v>2337</v>
      </c>
      <c r="P57" s="2395" t="s">
        <v>2338</v>
      </c>
      <c r="Q57" s="2396" t="s">
        <v>2339</v>
      </c>
      <c r="R57" s="2395" t="s">
        <v>2340</v>
      </c>
    </row>
    <row r="58" spans="1:18" s="2058" customFormat="1" ht="31.8" thickBot="1">
      <c r="A58" s="2095"/>
      <c r="B58" s="2096"/>
      <c r="C58" s="2096"/>
      <c r="I58" s="3168" t="s">
        <v>2320</v>
      </c>
      <c r="J58" s="3169" t="str">
        <f ca="1">IF(OR(M48="住宅",J52&lt;L49,J57="是"),"——",J52-L49)</f>
        <v>——</v>
      </c>
      <c r="K58" s="3126" t="s">
        <v>2325</v>
      </c>
      <c r="L58" s="1907">
        <f ca="1">IF(L49&lt;J52,"——",IF(L56="比较法",L50,IF(L56="基准地价",L51,L52)))</f>
        <v>340</v>
      </c>
      <c r="O58" s="2397" t="s">
        <v>2341</v>
      </c>
      <c r="P58" s="2398" t="s">
        <v>2367</v>
      </c>
      <c r="Q58" s="2399">
        <f ca="1">C41+J31</f>
        <v>0</v>
      </c>
      <c r="R58" s="2398" t="s">
        <v>2342</v>
      </c>
    </row>
    <row r="59" spans="1:18" s="2058" customFormat="1" ht="31.8" thickBot="1">
      <c r="A59" s="2095"/>
      <c r="B59" s="2096"/>
      <c r="C59" s="2096"/>
      <c r="I59" s="3168" t="s">
        <v>2321</v>
      </c>
      <c r="J59" s="3102" t="e">
        <f ca="1">IF(J56&lt;0.4,0.4,J56)</f>
        <v>#VALUE!</v>
      </c>
      <c r="K59" s="3126" t="s">
        <v>2326</v>
      </c>
      <c r="L59" s="1907">
        <f ca="1">IF(ISERROR(POWER(1+L53,L48-L49)*(POWER(1+L53,L49)-1)/(POWER(1+L53,L48)-1)),0,POWER(1+L53,L48-L49)*(POWER(1+L53,L49)-1)/(POWER(1+L53,L48)-1))</f>
        <v>0</v>
      </c>
      <c r="O59" s="2397" t="s">
        <v>2343</v>
      </c>
      <c r="P59" s="2398" t="s">
        <v>2374</v>
      </c>
      <c r="Q59" s="2399" t="e">
        <f ca="1">L61</f>
        <v>#DIV/0!</v>
      </c>
      <c r="R59" s="2402" t="s">
        <v>2376</v>
      </c>
    </row>
    <row r="60" spans="1:18" s="2058" customFormat="1" ht="31.8" thickBot="1">
      <c r="A60" s="2095"/>
      <c r="B60" s="2096"/>
      <c r="C60" s="2096"/>
      <c r="I60" s="3168" t="s">
        <v>2322</v>
      </c>
      <c r="J60" s="3169" t="str">
        <f ca="1">IF(OR(M48="住宅",J52&lt;L49,J57="是"),"——",ROUND(C30*J59,0))</f>
        <v>——</v>
      </c>
      <c r="K60" s="3126" t="s">
        <v>2327</v>
      </c>
      <c r="L60" s="1907">
        <f ca="1">IF(ISERROR(POWER(1+L53,L48-J52)*(POWER(1+L53,J52)-1)/(POWER(1+L53,L48)-1)),0,POWER(1+L53,L48-J52)*(POWER(1+L53,J52)-1)/(POWER(1+L53,L48)-1))</f>
        <v>0</v>
      </c>
      <c r="O60" s="2400" t="s">
        <v>2345</v>
      </c>
      <c r="P60" s="2398" t="s">
        <v>2375</v>
      </c>
      <c r="Q60" s="2399">
        <f>IF(L56="比较法",L50,IF(L56="基准地价",L51,0))</f>
        <v>0</v>
      </c>
      <c r="R60" s="2398" t="s">
        <v>2342</v>
      </c>
    </row>
    <row r="61" spans="1:18" s="2058" customFormat="1" ht="16.2" thickBot="1">
      <c r="A61" s="2095"/>
      <c r="B61" s="2096"/>
      <c r="C61" s="2096"/>
      <c r="I61" s="3170" t="s">
        <v>2323</v>
      </c>
      <c r="J61" s="3171" t="str">
        <f ca="1">IF(OR(M48="住宅",J52&lt;L49,J57="是"),"0",ROUND(J60/(1+J53)^J54,0))</f>
        <v>0</v>
      </c>
      <c r="K61" s="3172" t="s">
        <v>2328</v>
      </c>
      <c r="L61" s="3171" t="e">
        <f ca="1">IF(OR(M48="住宅",L49&lt;J52),0,ROUND(L58*(L59/L60-1),0))</f>
        <v>#DIV/0!</v>
      </c>
      <c r="O61" s="2400" t="s">
        <v>2346</v>
      </c>
      <c r="P61" s="2398" t="s">
        <v>2355</v>
      </c>
      <c r="Q61" s="2401">
        <f>L53</f>
        <v>0</v>
      </c>
      <c r="R61" s="2402"/>
    </row>
    <row r="62" spans="1:18" s="2058" customFormat="1" ht="19.2" thickBot="1">
      <c r="A62" s="2095"/>
      <c r="B62" s="2096"/>
      <c r="C62" s="2096"/>
      <c r="K62" s="2085"/>
      <c r="O62" s="2400" t="s">
        <v>2348</v>
      </c>
      <c r="P62" s="2398" t="s">
        <v>2356</v>
      </c>
      <c r="Q62" s="2399">
        <f ca="1">L59</f>
        <v>0</v>
      </c>
      <c r="R62" s="2402" t="s">
        <v>2357</v>
      </c>
    </row>
    <row r="63" spans="1:18" s="2058" customFormat="1" ht="19.2" thickBot="1">
      <c r="A63" s="2095"/>
      <c r="B63" s="2096"/>
      <c r="C63" s="2096"/>
      <c r="I63" s="3173" t="s">
        <v>2329</v>
      </c>
      <c r="J63" s="3174" t="s">
        <v>2330</v>
      </c>
      <c r="K63" s="3174" t="s">
        <v>2331</v>
      </c>
      <c r="L63" s="3174" t="s">
        <v>2312</v>
      </c>
      <c r="M63" s="3175" t="s">
        <v>2904</v>
      </c>
      <c r="O63" s="2400" t="s">
        <v>2350</v>
      </c>
      <c r="P63" s="2398" t="s">
        <v>2358</v>
      </c>
      <c r="Q63" s="2399">
        <f ca="1">L60</f>
        <v>0</v>
      </c>
      <c r="R63" s="2402" t="s">
        <v>2359</v>
      </c>
    </row>
    <row r="64" spans="1:18" s="2058" customFormat="1" ht="16.2" thickBot="1">
      <c r="A64" s="2095"/>
      <c r="B64" s="2096"/>
      <c r="C64" s="2096"/>
      <c r="I64" s="3173" t="s">
        <v>2332</v>
      </c>
      <c r="J64" s="3174">
        <v>70</v>
      </c>
      <c r="K64" s="3174">
        <v>50</v>
      </c>
      <c r="L64" s="3174">
        <v>80</v>
      </c>
      <c r="M64" s="3176">
        <v>0.02</v>
      </c>
      <c r="O64" s="2397" t="s">
        <v>2353</v>
      </c>
      <c r="P64" s="2398" t="s">
        <v>2370</v>
      </c>
      <c r="Q64" s="2399" t="e">
        <f ca="1">Q58+Q59</f>
        <v>#DIV/0!</v>
      </c>
      <c r="R64" s="2402" t="s">
        <v>2354</v>
      </c>
    </row>
    <row r="65" spans="1:18" s="2058" customFormat="1" ht="16.2" thickBot="1">
      <c r="A65" s="2095"/>
      <c r="B65" s="2096"/>
      <c r="C65" s="2096"/>
      <c r="I65" s="3173" t="s">
        <v>2333</v>
      </c>
      <c r="J65" s="3174">
        <v>50</v>
      </c>
      <c r="K65" s="3174">
        <v>35</v>
      </c>
      <c r="L65" s="3174">
        <v>60</v>
      </c>
      <c r="M65" s="845">
        <v>0</v>
      </c>
      <c r="O65" s="2403" t="s">
        <v>2377</v>
      </c>
      <c r="P65" s="1590"/>
      <c r="Q65" s="1602"/>
      <c r="R65" s="1590"/>
    </row>
    <row r="66" spans="1:18" s="2058" customFormat="1" ht="16.2" thickBot="1">
      <c r="A66" s="2095"/>
      <c r="B66" s="2096"/>
      <c r="C66" s="2096"/>
      <c r="I66" s="3173" t="s">
        <v>2334</v>
      </c>
      <c r="J66" s="3174">
        <v>40</v>
      </c>
      <c r="K66" s="3174">
        <v>30</v>
      </c>
      <c r="L66" s="3174">
        <v>50</v>
      </c>
      <c r="M66" s="3176">
        <v>0.02</v>
      </c>
      <c r="O66" s="2394" t="s">
        <v>2337</v>
      </c>
      <c r="P66" s="2395" t="s">
        <v>2338</v>
      </c>
      <c r="Q66" s="2396" t="s">
        <v>2339</v>
      </c>
      <c r="R66" s="2395" t="s">
        <v>2340</v>
      </c>
    </row>
    <row r="67" spans="1:18" s="2058" customFormat="1" ht="16.2" thickBot="1">
      <c r="A67" s="2095"/>
      <c r="B67" s="2096"/>
      <c r="C67" s="2096"/>
      <c r="K67" s="2085"/>
      <c r="O67" s="2397" t="s">
        <v>2341</v>
      </c>
      <c r="P67" s="2398" t="s">
        <v>2367</v>
      </c>
      <c r="Q67" s="2399">
        <f ca="1">C41+J31</f>
        <v>0</v>
      </c>
      <c r="R67" s="2398" t="s">
        <v>2342</v>
      </c>
    </row>
    <row r="68" spans="1:18" s="2058" customFormat="1" ht="19.2" thickBot="1">
      <c r="A68" s="2095"/>
      <c r="B68" s="2096"/>
      <c r="C68" s="2096"/>
      <c r="K68" s="2085"/>
      <c r="O68" s="2397" t="s">
        <v>2343</v>
      </c>
      <c r="P68" s="2398" t="s">
        <v>2374</v>
      </c>
      <c r="Q68" s="2399" t="e">
        <f ca="1">L61</f>
        <v>#DIV/0!</v>
      </c>
      <c r="R68" s="2402" t="s">
        <v>2376</v>
      </c>
    </row>
    <row r="69" spans="1:18" s="2058" customFormat="1" ht="20.399999999999999" thickBot="1">
      <c r="A69" s="2095"/>
      <c r="B69" s="2096"/>
      <c r="C69" s="2096"/>
      <c r="K69" s="2085"/>
      <c r="O69" s="2400" t="s">
        <v>2345</v>
      </c>
      <c r="P69" s="2398" t="s">
        <v>2375</v>
      </c>
      <c r="Q69" s="2404">
        <f ca="1">L52</f>
        <v>340</v>
      </c>
      <c r="R69" s="2405" t="s">
        <v>2378</v>
      </c>
    </row>
    <row r="70" spans="1:18" s="2058" customFormat="1" ht="19.2" thickBot="1">
      <c r="A70" s="2095"/>
      <c r="B70" s="2096"/>
      <c r="C70" s="2096"/>
      <c r="K70" s="2085"/>
      <c r="O70" s="2400" t="s">
        <v>2346</v>
      </c>
      <c r="P70" s="2406" t="s">
        <v>2360</v>
      </c>
      <c r="Q70" s="2399">
        <f ca="1">ROUND(Q71-Q72*Q73,0)</f>
        <v>-450</v>
      </c>
      <c r="R70" s="2402"/>
    </row>
    <row r="71" spans="1:18" s="2058" customFormat="1" ht="16.2" thickBot="1">
      <c r="A71" s="2095"/>
      <c r="B71" s="2096"/>
      <c r="C71" s="2096"/>
      <c r="K71" s="2085"/>
      <c r="O71" s="2400" t="s">
        <v>2361</v>
      </c>
      <c r="P71" s="2406" t="s">
        <v>2362</v>
      </c>
      <c r="Q71" s="2399">
        <f ca="1">C42</f>
        <v>575</v>
      </c>
      <c r="R71" s="2398" t="s">
        <v>2342</v>
      </c>
    </row>
    <row r="72" spans="1:18" s="2058" customFormat="1" ht="16.2" thickBot="1">
      <c r="A72" s="2095"/>
      <c r="B72" s="2096"/>
      <c r="C72" s="2096"/>
      <c r="K72" s="2085"/>
      <c r="O72" s="2400" t="s">
        <v>2363</v>
      </c>
      <c r="P72" s="2406" t="s">
        <v>2364</v>
      </c>
      <c r="Q72" s="2399">
        <f ca="1">C15</f>
        <v>12062</v>
      </c>
      <c r="R72" s="2398" t="s">
        <v>2342</v>
      </c>
    </row>
    <row r="73" spans="1:18" s="2058" customFormat="1" ht="16.2" thickBot="1">
      <c r="A73" s="2095"/>
      <c r="B73" s="2096"/>
      <c r="C73" s="2096"/>
      <c r="K73" s="2085"/>
      <c r="O73" s="2400" t="s">
        <v>2365</v>
      </c>
      <c r="P73" s="2406" t="s">
        <v>2366</v>
      </c>
      <c r="Q73" s="2401">
        <f ca="1">F43</f>
        <v>8.5000000000000006E-2</v>
      </c>
      <c r="R73" s="2402"/>
    </row>
    <row r="74" spans="1:18" s="2058" customFormat="1" ht="16.2" thickBot="1">
      <c r="A74" s="2095"/>
      <c r="B74" s="2096"/>
      <c r="C74" s="2096"/>
      <c r="K74" s="2085"/>
      <c r="O74" s="2400" t="s">
        <v>2348</v>
      </c>
      <c r="P74" s="2398" t="s">
        <v>2355</v>
      </c>
      <c r="Q74" s="2401">
        <f>L53</f>
        <v>0</v>
      </c>
      <c r="R74" s="2402"/>
    </row>
    <row r="75" spans="1:18" s="2058" customFormat="1" ht="19.2" thickBot="1">
      <c r="A75" s="2095"/>
      <c r="B75" s="2096"/>
      <c r="C75" s="2096"/>
      <c r="K75" s="2085"/>
      <c r="O75" s="2400" t="s">
        <v>2350</v>
      </c>
      <c r="P75" s="2398" t="s">
        <v>2356</v>
      </c>
      <c r="Q75" s="2399">
        <f ca="1">L59</f>
        <v>0</v>
      </c>
      <c r="R75" s="2402" t="s">
        <v>2357</v>
      </c>
    </row>
    <row r="76" spans="1:18" s="2058" customFormat="1" ht="19.2" thickBot="1">
      <c r="A76" s="2095"/>
      <c r="B76" s="2096"/>
      <c r="C76" s="2096"/>
      <c r="K76" s="2085"/>
      <c r="O76" s="2400" t="s">
        <v>2379</v>
      </c>
      <c r="P76" s="2398" t="s">
        <v>2358</v>
      </c>
      <c r="Q76" s="2399">
        <f ca="1">L60</f>
        <v>0</v>
      </c>
      <c r="R76" s="2402" t="s">
        <v>2359</v>
      </c>
    </row>
    <row r="77" spans="1:18" s="2058" customFormat="1" ht="16.2" thickBot="1">
      <c r="A77" s="2095"/>
      <c r="B77" s="2096"/>
      <c r="C77" s="2096"/>
      <c r="K77" s="2085"/>
      <c r="O77" s="2397" t="s">
        <v>2353</v>
      </c>
      <c r="P77" s="2398" t="s">
        <v>2370</v>
      </c>
      <c r="Q77" s="2399" t="e">
        <f ca="1">Q67+Q68</f>
        <v>#DIV/0!</v>
      </c>
      <c r="R77" s="2402" t="s">
        <v>2354</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28" sqref="B28"/>
    </sheetView>
  </sheetViews>
  <sheetFormatPr defaultColWidth="9" defaultRowHeight="13.2"/>
  <cols>
    <col min="1" max="1" width="9" style="2662"/>
    <col min="2" max="6" width="9" style="2662" customWidth="1"/>
    <col min="7" max="7" width="9" style="2678" customWidth="1"/>
    <col min="8" max="12" width="9" style="2662" customWidth="1"/>
    <col min="13" max="13" width="2.21875" style="2662" customWidth="1"/>
    <col min="14" max="14" width="9" style="2678" customWidth="1"/>
    <col min="15" max="17" width="9" style="2662" customWidth="1"/>
    <col min="18" max="18" width="2.33203125" style="2662" customWidth="1"/>
    <col min="19" max="19" width="7.109375" style="2678" customWidth="1"/>
    <col min="20" max="22" width="7.109375" style="2662" customWidth="1"/>
    <col min="23" max="23" width="24" style="2662" customWidth="1"/>
    <col min="24" max="25" width="9" style="2662"/>
    <col min="26" max="27" width="11.6640625" style="2662" customWidth="1"/>
    <col min="28" max="28" width="9" style="2662"/>
    <col min="29" max="29" width="2" style="2662" customWidth="1"/>
    <col min="30" max="16384" width="9" style="2662"/>
  </cols>
  <sheetData>
    <row r="1" spans="1:34" s="2652" customFormat="1">
      <c r="B1" s="3449" t="s">
        <v>2538</v>
      </c>
      <c r="C1" s="3449"/>
      <c r="D1" s="3449"/>
      <c r="E1" s="3449"/>
      <c r="F1" s="3449"/>
      <c r="G1" s="3448" t="s">
        <v>2539</v>
      </c>
      <c r="H1" s="3448"/>
      <c r="I1" s="3448"/>
      <c r="J1" s="3448"/>
      <c r="K1" s="3448"/>
      <c r="L1" s="3448"/>
      <c r="N1" s="3448" t="s">
        <v>2540</v>
      </c>
      <c r="O1" s="3448"/>
      <c r="P1" s="3448"/>
      <c r="Q1" s="3448"/>
      <c r="R1" s="2653"/>
      <c r="S1" s="3448" t="s">
        <v>2541</v>
      </c>
      <c r="T1" s="3448"/>
      <c r="U1" s="3448"/>
      <c r="V1" s="3448"/>
      <c r="X1" s="3447" t="s">
        <v>2601</v>
      </c>
      <c r="Y1" s="3448"/>
      <c r="Z1" s="3448"/>
      <c r="AA1" s="3448"/>
      <c r="AB1" s="3448"/>
      <c r="AD1" s="3447" t="s">
        <v>2605</v>
      </c>
      <c r="AE1" s="3448"/>
      <c r="AF1" s="3448"/>
      <c r="AG1" s="3448"/>
      <c r="AH1" s="3448"/>
    </row>
    <row r="2" spans="1:34" s="2755" customFormat="1" ht="15" thickBot="1">
      <c r="B2" s="2763" t="s">
        <v>2542</v>
      </c>
      <c r="C2" s="2763" t="s">
        <v>2603</v>
      </c>
      <c r="D2" s="2756" t="s">
        <v>1609</v>
      </c>
      <c r="E2" s="2756" t="s">
        <v>1913</v>
      </c>
      <c r="F2" s="2763" t="s">
        <v>2604</v>
      </c>
      <c r="G2" s="2759"/>
      <c r="H2" s="2758"/>
      <c r="I2" s="2763" t="s">
        <v>2917</v>
      </c>
      <c r="J2" s="2756" t="s">
        <v>2919</v>
      </c>
      <c r="K2" s="2756" t="s">
        <v>2920</v>
      </c>
      <c r="L2" s="2763" t="s">
        <v>2921</v>
      </c>
      <c r="N2" s="2763" t="s">
        <v>2542</v>
      </c>
      <c r="O2" s="2756" t="s">
        <v>2918</v>
      </c>
      <c r="P2" s="2756" t="s">
        <v>1913</v>
      </c>
      <c r="Q2" s="2763" t="s">
        <v>2604</v>
      </c>
      <c r="R2" s="2757"/>
      <c r="S2" s="2763" t="s">
        <v>2542</v>
      </c>
      <c r="T2" s="2756" t="s">
        <v>2918</v>
      </c>
      <c r="U2" s="2756" t="s">
        <v>1913</v>
      </c>
      <c r="V2" s="2763" t="s">
        <v>2604</v>
      </c>
      <c r="X2" s="2763" t="s">
        <v>2542</v>
      </c>
      <c r="Y2" s="2763" t="s">
        <v>2603</v>
      </c>
      <c r="Z2" s="2756" t="s">
        <v>1609</v>
      </c>
      <c r="AA2" s="2756" t="s">
        <v>1913</v>
      </c>
      <c r="AB2" s="2763" t="s">
        <v>2604</v>
      </c>
      <c r="AD2" s="2763" t="s">
        <v>2542</v>
      </c>
      <c r="AE2" s="2763" t="s">
        <v>2603</v>
      </c>
      <c r="AF2" s="2756" t="s">
        <v>1609</v>
      </c>
      <c r="AG2" s="2756" t="s">
        <v>1913</v>
      </c>
      <c r="AH2" s="2763" t="s">
        <v>2604</v>
      </c>
    </row>
    <row r="3" spans="1:34" s="3134" customFormat="1" ht="14.4">
      <c r="A3" s="3146" t="s">
        <v>2929</v>
      </c>
      <c r="B3" s="3135"/>
      <c r="C3" s="3135"/>
      <c r="D3" s="3136"/>
      <c r="E3" s="3136"/>
      <c r="F3" s="3135"/>
      <c r="G3" s="3137"/>
      <c r="H3" s="3138"/>
      <c r="I3" s="3145">
        <f>ROUND(AVERAGE($I8:$I23),2)</f>
        <v>2.4500000000000002</v>
      </c>
      <c r="J3" s="3145">
        <f>ROUND(AVERAGE($J8:$J23),2)</f>
        <v>1.65</v>
      </c>
      <c r="K3" s="3145">
        <f>ROUND(AVERAGE($K8:$K23),2)</f>
        <v>2.71</v>
      </c>
      <c r="L3" s="3145">
        <f>ROUND(AVERAGE($L8:$L23),2)</f>
        <v>1.39</v>
      </c>
      <c r="N3" s="3137"/>
      <c r="O3" s="3139"/>
      <c r="P3" s="3139"/>
      <c r="Q3" s="3139"/>
      <c r="R3" s="3139"/>
      <c r="S3" s="3137"/>
      <c r="T3" s="3139"/>
      <c r="U3" s="3139"/>
      <c r="V3" s="3139"/>
      <c r="W3" s="3142"/>
      <c r="X3" s="3140">
        <f>ROUND(SUMPRODUCT(PRODUCT(1+N3:N$22)),4)</f>
        <v>1.4733000000000001</v>
      </c>
      <c r="Y3" s="3140">
        <f>ROUND(SUMPRODUCT(PRODUCT(1+O3:O$22)),4)</f>
        <v>1.3052999999999999</v>
      </c>
      <c r="Z3" s="3140">
        <f t="shared" ref="Z3:Z20" si="0">Y3</f>
        <v>1.3052999999999999</v>
      </c>
      <c r="AA3" s="3140">
        <f>ROUND(SUMPRODUCT(PRODUCT(1+P3:P$22)),4)</f>
        <v>1.5306999999999999</v>
      </c>
      <c r="AB3" s="3140">
        <f>ROUND(SUMPRODUCT(PRODUCT(1+Q3:Q$22)),4)</f>
        <v>1.2863</v>
      </c>
      <c r="AD3" s="3141">
        <f>ROUND(AVERAGE(I3:I$23)/100,4)</f>
        <v>2.24E-2</v>
      </c>
      <c r="AE3" s="3141">
        <f>ROUND(AVERAGE(J3:J$23)/100,4)</f>
        <v>1.54E-2</v>
      </c>
      <c r="AF3" s="3141">
        <f t="shared" ref="AF3:AF21" si="1">AE3</f>
        <v>1.54E-2</v>
      </c>
      <c r="AG3" s="3141">
        <f>ROUND(AVERAGE(K3:K$23)/100,4)</f>
        <v>2.47E-2</v>
      </c>
      <c r="AH3" s="3141">
        <f>ROUND(AVERAGE(L3:L$23)/100,4)</f>
        <v>1.41E-2</v>
      </c>
    </row>
    <row r="4" spans="1:34" s="2748" customFormat="1" ht="14.4">
      <c r="B4" s="2749"/>
      <c r="C4" s="2749"/>
      <c r="D4" s="2750"/>
      <c r="E4" s="2750"/>
      <c r="F4" s="2749"/>
      <c r="G4" s="2754"/>
      <c r="H4" s="2751"/>
      <c r="I4" s="3127"/>
      <c r="J4" s="3127"/>
      <c r="K4" s="3127"/>
      <c r="L4" s="3127"/>
      <c r="N4" s="2754"/>
      <c r="O4" s="2752"/>
      <c r="P4" s="2752"/>
      <c r="Q4" s="2752"/>
      <c r="R4" s="2752"/>
      <c r="S4" s="2754"/>
      <c r="T4" s="2752"/>
      <c r="U4" s="2752"/>
      <c r="V4" s="2752"/>
      <c r="W4" s="3143"/>
      <c r="X4" s="2753"/>
      <c r="Y4" s="2753"/>
      <c r="Z4" s="2753"/>
      <c r="AA4" s="2753"/>
      <c r="AB4" s="2753"/>
      <c r="AD4" s="2673"/>
      <c r="AE4" s="2673"/>
      <c r="AF4" s="2673"/>
      <c r="AG4" s="2673"/>
      <c r="AH4" s="2673"/>
    </row>
    <row r="5" spans="1:34" s="3115" customFormat="1">
      <c r="A5" s="3113" t="s">
        <v>2940</v>
      </c>
      <c r="B5" s="2794">
        <f>B6*(1+N5)</f>
        <v>453.11529869999993</v>
      </c>
      <c r="C5" s="2794">
        <f t="shared" ref="C5" si="2">C6*(1+O5)</f>
        <v>336.47787264000004</v>
      </c>
      <c r="D5" s="2794">
        <f t="shared" ref="D5" si="3">C5</f>
        <v>336.47787264000004</v>
      </c>
      <c r="E5" s="2794">
        <f t="shared" ref="E5" si="4">E6*(1+P5)</f>
        <v>647.35186823999993</v>
      </c>
      <c r="F5" s="2794">
        <f t="shared" ref="F5" si="5">F6*(1+Q5)</f>
        <v>295.73229452000004</v>
      </c>
      <c r="G5" s="2754">
        <v>2018</v>
      </c>
      <c r="H5" s="3114">
        <v>3</v>
      </c>
      <c r="I5" s="3128">
        <v>1.49</v>
      </c>
      <c r="J5" s="3128">
        <v>0.96</v>
      </c>
      <c r="K5" s="3128">
        <v>1.58</v>
      </c>
      <c r="L5" s="3128">
        <v>2.44</v>
      </c>
      <c r="N5" s="2761">
        <f t="shared" ref="N5" si="6">I5/100</f>
        <v>1.49E-2</v>
      </c>
      <c r="O5" s="2761">
        <f t="shared" ref="O5" si="7">J5/100</f>
        <v>9.5999999999999992E-3</v>
      </c>
      <c r="P5" s="2761">
        <f t="shared" ref="P5" si="8">K5/100</f>
        <v>1.5800000000000002E-2</v>
      </c>
      <c r="Q5" s="2761">
        <f t="shared" ref="Q5" si="9">L5/100</f>
        <v>2.4399999999999998E-2</v>
      </c>
      <c r="R5" s="3116"/>
      <c r="S5" s="3117"/>
      <c r="T5" s="3116"/>
      <c r="U5" s="3116"/>
      <c r="V5" s="3116"/>
      <c r="W5" s="3144" t="s">
        <v>2930</v>
      </c>
      <c r="X5" s="3118">
        <f>ROUND(SUMPRODUCT(PRODUCT(1+N5:N$22)),4)</f>
        <v>1.4733000000000001</v>
      </c>
      <c r="Y5" s="3118">
        <f>ROUND(SUMPRODUCT(PRODUCT(1+O5:O$22)),4)</f>
        <v>1.3052999999999999</v>
      </c>
      <c r="Z5" s="3118">
        <f t="shared" ref="Z5" si="10">Y5</f>
        <v>1.3052999999999999</v>
      </c>
      <c r="AA5" s="3118">
        <f>ROUND(SUMPRODUCT(PRODUCT(1+P5:P$22)),4)</f>
        <v>1.5306999999999999</v>
      </c>
      <c r="AB5" s="3118">
        <f>ROUND(SUMPRODUCT(PRODUCT(1+Q5:Q$22)),4)</f>
        <v>1.2863</v>
      </c>
      <c r="AD5" s="3119">
        <f>ROUND(AVERAGE(I5:I$23)/100,4)</f>
        <v>2.23E-2</v>
      </c>
      <c r="AE5" s="3119">
        <f>ROUND(AVERAGE(J5:J$23)/100,4)</f>
        <v>1.54E-2</v>
      </c>
      <c r="AF5" s="3119">
        <f t="shared" ref="AF5" si="11">AE5</f>
        <v>1.54E-2</v>
      </c>
      <c r="AG5" s="3119">
        <f>ROUND(AVERAGE(K5:K$23)/100,4)</f>
        <v>2.4500000000000001E-2</v>
      </c>
      <c r="AH5" s="3119">
        <f>ROUND(AVERAGE(L5:L$23)/100,4)</f>
        <v>1.41E-2</v>
      </c>
    </row>
    <row r="6" spans="1:34" s="2760" customFormat="1" ht="13.8" thickBot="1">
      <c r="A6" s="2654" t="s">
        <v>2941</v>
      </c>
      <c r="B6" s="2668">
        <f>B7*(1+N6)</f>
        <v>446.46299999999997</v>
      </c>
      <c r="C6" s="2668">
        <f t="shared" ref="C6" si="12">C7*(1+O6)</f>
        <v>333.27840000000003</v>
      </c>
      <c r="D6" s="2668">
        <f t="shared" ref="D6" si="13">C6</f>
        <v>333.27840000000003</v>
      </c>
      <c r="E6" s="2668">
        <f t="shared" ref="E6" si="14">E7*(1+P6)</f>
        <v>637.28279999999995</v>
      </c>
      <c r="F6" s="2668">
        <f t="shared" ref="F6" si="15">F7*(1+Q6)</f>
        <v>288.68830000000003</v>
      </c>
      <c r="G6" s="3133"/>
      <c r="H6" s="2658">
        <v>2</v>
      </c>
      <c r="I6" s="2658">
        <v>0</v>
      </c>
      <c r="J6" s="2658">
        <v>0</v>
      </c>
      <c r="K6" s="2658">
        <v>0</v>
      </c>
      <c r="L6" s="2669">
        <v>0</v>
      </c>
      <c r="M6" s="2662"/>
      <c r="N6" s="2663">
        <f t="shared" ref="N6" si="16">I6/100</f>
        <v>0</v>
      </c>
      <c r="O6" s="2664">
        <f t="shared" ref="O6" si="17">J6/100</f>
        <v>0</v>
      </c>
      <c r="P6" s="2664">
        <f t="shared" ref="P6" si="18">K6/100</f>
        <v>0</v>
      </c>
      <c r="Q6" s="2664">
        <f t="shared" ref="Q6" si="19">L6/100</f>
        <v>0</v>
      </c>
      <c r="R6" s="2665"/>
      <c r="S6" s="2671"/>
      <c r="T6" s="2672"/>
      <c r="U6" s="2672"/>
      <c r="V6" s="2672"/>
      <c r="W6" s="2662"/>
      <c r="X6" s="2753">
        <f>ROUND(SUMPRODUCT(PRODUCT(1+N6:N$22)),4)</f>
        <v>1.4517</v>
      </c>
      <c r="Y6" s="2753">
        <f>ROUND(SUMPRODUCT(PRODUCT(1+O6:O$22)),4)</f>
        <v>1.2928999999999999</v>
      </c>
      <c r="Z6" s="2753">
        <f t="shared" ref="Z6" si="20">Y6</f>
        <v>1.2928999999999999</v>
      </c>
      <c r="AA6" s="2753">
        <f>ROUND(SUMPRODUCT(PRODUCT(1+P6:P$22)),4)</f>
        <v>1.5068999999999999</v>
      </c>
      <c r="AB6" s="2753">
        <f>ROUND(SUMPRODUCT(PRODUCT(1+Q6:Q$22)),4)</f>
        <v>1.2557</v>
      </c>
      <c r="AC6" s="2662"/>
      <c r="AD6" s="2673">
        <f>ROUND(AVERAGE(I6:I$23)/100,4)</f>
        <v>2.2700000000000001E-2</v>
      </c>
      <c r="AE6" s="2673">
        <f>ROUND(AVERAGE(J6:J$23)/100,4)</f>
        <v>1.5699999999999999E-2</v>
      </c>
      <c r="AF6" s="2673">
        <f t="shared" ref="AF6" si="21">AE6</f>
        <v>1.5699999999999999E-2</v>
      </c>
      <c r="AG6" s="2673">
        <f>ROUND(AVERAGE(K6:K$23)/100,4)</f>
        <v>2.5000000000000001E-2</v>
      </c>
      <c r="AH6" s="2673">
        <f>ROUND(AVERAGE(L6:L$23)/100,4)</f>
        <v>1.35E-2</v>
      </c>
    </row>
    <row r="7" spans="1:34" s="2760" customFormat="1" ht="13.8" thickBot="1">
      <c r="A7" s="2654" t="s">
        <v>2936</v>
      </c>
      <c r="B7" s="2668">
        <f>B8*(1+N7)</f>
        <v>446.46299999999997</v>
      </c>
      <c r="C7" s="2668">
        <f t="shared" ref="C7" si="22">C8*(1+O7)</f>
        <v>333.27840000000003</v>
      </c>
      <c r="D7" s="2668">
        <f t="shared" ref="D7:D12" si="23">C7</f>
        <v>333.27840000000003</v>
      </c>
      <c r="E7" s="2668">
        <f t="shared" ref="E7" si="24">E8*(1+P7)</f>
        <v>637.28279999999995</v>
      </c>
      <c r="F7" s="2668">
        <f t="shared" ref="F7" si="25">F8*(1+Q7)</f>
        <v>288.68830000000003</v>
      </c>
      <c r="G7" s="3133"/>
      <c r="H7" s="2658">
        <v>1</v>
      </c>
      <c r="I7" s="2658">
        <v>1.7</v>
      </c>
      <c r="J7" s="2658">
        <v>1.92</v>
      </c>
      <c r="K7" s="2658">
        <v>1.64</v>
      </c>
      <c r="L7" s="2669">
        <v>2.0099999999999998</v>
      </c>
      <c r="M7" s="2662"/>
      <c r="N7" s="2663">
        <f t="shared" ref="N7:N12" si="26">I7/100</f>
        <v>1.7000000000000001E-2</v>
      </c>
      <c r="O7" s="2664">
        <f t="shared" ref="O7" si="27">J7/100</f>
        <v>1.9199999999999998E-2</v>
      </c>
      <c r="P7" s="2664">
        <f t="shared" ref="P7" si="28">K7/100</f>
        <v>1.6399999999999998E-2</v>
      </c>
      <c r="Q7" s="2664">
        <f t="shared" ref="Q7" si="29">L7/100</f>
        <v>2.0099999999999996E-2</v>
      </c>
      <c r="R7" s="2665"/>
      <c r="S7" s="2671">
        <f>B7/B8-1</f>
        <v>1.6999999999999904E-2</v>
      </c>
      <c r="T7" s="2672">
        <f>C7/C8-1</f>
        <v>1.9200000000000106E-2</v>
      </c>
      <c r="U7" s="2672">
        <f>E7/E8-1</f>
        <v>1.639999999999997E-2</v>
      </c>
      <c r="V7" s="2672">
        <f>F7/F8-1</f>
        <v>2.0100000000000007E-2</v>
      </c>
      <c r="W7" s="2662"/>
      <c r="X7" s="2753">
        <f>ROUND(SUMPRODUCT(PRODUCT(1+N7:N$22)),4)</f>
        <v>1.4517</v>
      </c>
      <c r="Y7" s="2753">
        <f>ROUND(SUMPRODUCT(PRODUCT(1+O7:O$22)),4)</f>
        <v>1.2928999999999999</v>
      </c>
      <c r="Z7" s="2753">
        <f t="shared" ref="Z7" si="30">Y7</f>
        <v>1.2928999999999999</v>
      </c>
      <c r="AA7" s="2753">
        <f>ROUND(SUMPRODUCT(PRODUCT(1+P7:P$22)),4)</f>
        <v>1.5068999999999999</v>
      </c>
      <c r="AB7" s="2753">
        <f>ROUND(SUMPRODUCT(PRODUCT(1+Q7:Q$22)),4)</f>
        <v>1.2557</v>
      </c>
      <c r="AC7" s="2662"/>
      <c r="AD7" s="2673">
        <f>ROUND(AVERAGE(I7:I$23)/100,4)</f>
        <v>2.4E-2</v>
      </c>
      <c r="AE7" s="2673">
        <f>ROUND(AVERAGE(J7:J$23)/100,4)</f>
        <v>1.66E-2</v>
      </c>
      <c r="AF7" s="2673">
        <f t="shared" ref="AF7" si="31">AE7</f>
        <v>1.66E-2</v>
      </c>
      <c r="AG7" s="2673">
        <f>ROUND(AVERAGE(K7:K$23)/100,4)</f>
        <v>2.6499999999999999E-2</v>
      </c>
      <c r="AH7" s="2673">
        <f>ROUND(AVERAGE(L7:L$23)/100,4)</f>
        <v>1.43E-2</v>
      </c>
    </row>
    <row r="8" spans="1:34">
      <c r="A8" s="2654" t="s">
        <v>2927</v>
      </c>
      <c r="B8" s="3148">
        <v>439</v>
      </c>
      <c r="C8" s="3148">
        <v>327</v>
      </c>
      <c r="D8" s="3148">
        <f t="shared" si="23"/>
        <v>327</v>
      </c>
      <c r="E8" s="3148">
        <v>627</v>
      </c>
      <c r="F8" s="3149">
        <v>283</v>
      </c>
      <c r="G8" s="3131">
        <v>2017</v>
      </c>
      <c r="H8" s="2655">
        <v>4</v>
      </c>
      <c r="I8" s="2655">
        <v>1.71</v>
      </c>
      <c r="J8" s="2655">
        <v>1.78</v>
      </c>
      <c r="K8" s="2655">
        <v>1.71</v>
      </c>
      <c r="L8" s="2656">
        <v>1.43</v>
      </c>
      <c r="N8" s="2663">
        <f t="shared" si="26"/>
        <v>1.7100000000000001E-2</v>
      </c>
      <c r="O8" s="2664">
        <f t="shared" ref="O8" si="32">J8/100</f>
        <v>1.78E-2</v>
      </c>
      <c r="P8" s="2664">
        <f t="shared" ref="P8" si="33">K8/100</f>
        <v>1.7100000000000001E-2</v>
      </c>
      <c r="Q8" s="2664">
        <f t="shared" ref="Q8" si="34">L8/100</f>
        <v>1.43E-2</v>
      </c>
      <c r="R8" s="2665"/>
      <c r="S8" s="2666"/>
      <c r="T8" s="2667"/>
      <c r="U8" s="2667"/>
      <c r="V8" s="2667"/>
      <c r="X8" s="2753">
        <f>ROUND(SUMPRODUCT(PRODUCT(1+N8:N$22)),4)</f>
        <v>1.4274</v>
      </c>
      <c r="Y8" s="2753">
        <f>ROUND(SUMPRODUCT(PRODUCT(1+O8:O$22)),4)</f>
        <v>1.2685</v>
      </c>
      <c r="Z8" s="2753">
        <f t="shared" si="0"/>
        <v>1.2685</v>
      </c>
      <c r="AA8" s="2753">
        <f>ROUND(SUMPRODUCT(PRODUCT(1+P8:P$22)),4)</f>
        <v>1.4825999999999999</v>
      </c>
      <c r="AB8" s="2753">
        <f>ROUND(SUMPRODUCT(PRODUCT(1+Q8:Q$22)),4)</f>
        <v>1.2309000000000001</v>
      </c>
      <c r="AD8" s="2673">
        <f>ROUND(AVERAGE(I8:I$23)/100,4)</f>
        <v>2.4500000000000001E-2</v>
      </c>
      <c r="AE8" s="2673">
        <f>ROUND(AVERAGE(J8:J$23)/100,4)</f>
        <v>1.6500000000000001E-2</v>
      </c>
      <c r="AF8" s="2673">
        <f t="shared" si="1"/>
        <v>1.6500000000000001E-2</v>
      </c>
      <c r="AG8" s="2673">
        <f>ROUND(AVERAGE(K8:K$23)/100,4)</f>
        <v>2.7099999999999999E-2</v>
      </c>
      <c r="AH8" s="2673">
        <f>ROUND(AVERAGE(L8:L$23)/100,4)</f>
        <v>1.3899999999999999E-2</v>
      </c>
    </row>
    <row r="9" spans="1:34" s="2760" customFormat="1" ht="13.8" thickBot="1">
      <c r="A9" s="2654" t="s">
        <v>2931</v>
      </c>
      <c r="B9" s="2668">
        <f t="shared" ref="B9:C11" si="35">B10*(1+N9)</f>
        <v>431.80730811680002</v>
      </c>
      <c r="C9" s="2668">
        <f t="shared" si="35"/>
        <v>320.57880516480003</v>
      </c>
      <c r="D9" s="2668">
        <f t="shared" si="23"/>
        <v>320.57880516480003</v>
      </c>
      <c r="E9" s="2668">
        <f t="shared" ref="E9:F11" si="36">E10*(1+P9)</f>
        <v>615.96110553196797</v>
      </c>
      <c r="F9" s="2668">
        <f t="shared" si="36"/>
        <v>279.46777300108801</v>
      </c>
      <c r="G9" s="3133"/>
      <c r="H9" s="2658">
        <v>3</v>
      </c>
      <c r="I9" s="2658">
        <v>2.98</v>
      </c>
      <c r="J9" s="2658">
        <v>2.11</v>
      </c>
      <c r="K9" s="2658">
        <v>3.24</v>
      </c>
      <c r="L9" s="2669">
        <v>1.72</v>
      </c>
      <c r="M9" s="2662"/>
      <c r="N9" s="2663">
        <f t="shared" si="26"/>
        <v>2.98E-2</v>
      </c>
      <c r="O9" s="2664">
        <f t="shared" ref="O9:O10" si="37">J9/100</f>
        <v>2.1099999999999997E-2</v>
      </c>
      <c r="P9" s="2664">
        <f t="shared" ref="P9:P10" si="38">K9/100</f>
        <v>3.2400000000000005E-2</v>
      </c>
      <c r="Q9" s="2664">
        <f t="shared" ref="Q9:Q10" si="39">L9/100</f>
        <v>1.72E-2</v>
      </c>
      <c r="R9" s="2665"/>
      <c r="S9" s="2671"/>
      <c r="T9" s="2672"/>
      <c r="U9" s="2672"/>
      <c r="V9" s="2672"/>
      <c r="W9" s="2662"/>
      <c r="X9" s="2753">
        <f>ROUND(SUMPRODUCT(PRODUCT(1+N9:N$22)),4)</f>
        <v>1.4034</v>
      </c>
      <c r="Y9" s="2753">
        <f>ROUND(SUMPRODUCT(PRODUCT(1+O9:O$22)),4)</f>
        <v>1.2463</v>
      </c>
      <c r="Z9" s="2753">
        <f t="shared" si="0"/>
        <v>1.2463</v>
      </c>
      <c r="AA9" s="2753">
        <f>ROUND(SUMPRODUCT(PRODUCT(1+P9:P$22)),4)</f>
        <v>1.4577</v>
      </c>
      <c r="AB9" s="2753">
        <f>ROUND(SUMPRODUCT(PRODUCT(1+Q9:Q$22)),4)</f>
        <v>1.2136</v>
      </c>
      <c r="AC9" s="2662"/>
      <c r="AD9" s="2673">
        <f>ROUND(AVERAGE(I9:I$23)/100,4)</f>
        <v>2.4899999999999999E-2</v>
      </c>
      <c r="AE9" s="2673">
        <f>ROUND(AVERAGE(J9:J$23)/100,4)</f>
        <v>1.6400000000000001E-2</v>
      </c>
      <c r="AF9" s="2673">
        <f t="shared" si="1"/>
        <v>1.6400000000000001E-2</v>
      </c>
      <c r="AG9" s="2673">
        <f>ROUND(AVERAGE(K9:K$23)/100,4)</f>
        <v>2.7799999999999998E-2</v>
      </c>
      <c r="AH9" s="2673">
        <f>ROUND(AVERAGE(L9:L$23)/100,4)</f>
        <v>1.3899999999999999E-2</v>
      </c>
    </row>
    <row r="10" spans="1:34" s="2652" customFormat="1">
      <c r="A10" s="2654" t="s">
        <v>2543</v>
      </c>
      <c r="B10" s="2668">
        <f t="shared" si="35"/>
        <v>419.31181600000002</v>
      </c>
      <c r="C10" s="2668">
        <f t="shared" si="35"/>
        <v>313.95436800000004</v>
      </c>
      <c r="D10" s="2668">
        <f t="shared" si="23"/>
        <v>313.95436800000004</v>
      </c>
      <c r="E10" s="2668">
        <f t="shared" si="36"/>
        <v>596.63028431999999</v>
      </c>
      <c r="F10" s="2668">
        <f t="shared" si="36"/>
        <v>274.74220703999998</v>
      </c>
      <c r="G10" s="3132"/>
      <c r="H10" s="2659">
        <v>2</v>
      </c>
      <c r="I10" s="2659">
        <v>3.4</v>
      </c>
      <c r="J10" s="2659">
        <v>2</v>
      </c>
      <c r="K10" s="2659">
        <v>3.82</v>
      </c>
      <c r="L10" s="2670">
        <v>1.68</v>
      </c>
      <c r="N10" s="2663">
        <f t="shared" si="26"/>
        <v>3.4000000000000002E-2</v>
      </c>
      <c r="O10" s="2664">
        <f t="shared" si="37"/>
        <v>0.02</v>
      </c>
      <c r="P10" s="2664">
        <f t="shared" si="38"/>
        <v>3.8199999999999998E-2</v>
      </c>
      <c r="Q10" s="2664">
        <f t="shared" si="39"/>
        <v>1.6799999999999999E-2</v>
      </c>
      <c r="R10" s="2653"/>
      <c r="S10" s="2657"/>
      <c r="T10" s="2653"/>
      <c r="U10" s="2653"/>
      <c r="V10" s="2653"/>
      <c r="X10" s="2753">
        <f>ROUND(SUMPRODUCT(PRODUCT(1+N10:N$22)),4)</f>
        <v>1.3628</v>
      </c>
      <c r="Y10" s="2753">
        <f>ROUND(SUMPRODUCT(PRODUCT(1+O10:O$22)),4)</f>
        <v>1.2205999999999999</v>
      </c>
      <c r="Z10" s="2753">
        <f t="shared" si="0"/>
        <v>1.2205999999999999</v>
      </c>
      <c r="AA10" s="2753">
        <f>ROUND(SUMPRODUCT(PRODUCT(1+P10:P$22)),4)</f>
        <v>1.4118999999999999</v>
      </c>
      <c r="AB10" s="2753">
        <f>ROUND(SUMPRODUCT(PRODUCT(1+Q10:Q$22)),4)</f>
        <v>1.1930000000000001</v>
      </c>
      <c r="AD10" s="2673">
        <f>ROUND(AVERAGE(I10:I$23)/100,4)</f>
        <v>2.46E-2</v>
      </c>
      <c r="AE10" s="2673">
        <f>ROUND(AVERAGE(J10:J$23)/100,4)</f>
        <v>1.6E-2</v>
      </c>
      <c r="AF10" s="2673">
        <f t="shared" si="1"/>
        <v>1.6E-2</v>
      </c>
      <c r="AG10" s="2673">
        <f>ROUND(AVERAGE(K10:K$23)/100,4)</f>
        <v>2.75E-2</v>
      </c>
      <c r="AH10" s="2673">
        <f>ROUND(AVERAGE(L10:L$23)/100,4)</f>
        <v>1.37E-2</v>
      </c>
    </row>
    <row r="11" spans="1:34" s="2760" customFormat="1" ht="13.8" thickBot="1">
      <c r="A11" s="2654" t="s">
        <v>2544</v>
      </c>
      <c r="B11" s="2668">
        <f t="shared" si="35"/>
        <v>405.524</v>
      </c>
      <c r="C11" s="2668">
        <f t="shared" si="35"/>
        <v>307.79840000000002</v>
      </c>
      <c r="D11" s="2668">
        <f t="shared" si="23"/>
        <v>307.79840000000002</v>
      </c>
      <c r="E11" s="2668">
        <f t="shared" si="36"/>
        <v>574.67759999999998</v>
      </c>
      <c r="F11" s="2668">
        <f t="shared" si="36"/>
        <v>270.20280000000002</v>
      </c>
      <c r="G11" s="3133"/>
      <c r="H11" s="2658">
        <v>1</v>
      </c>
      <c r="I11" s="2658">
        <v>3.45</v>
      </c>
      <c r="J11" s="2658">
        <v>1.92</v>
      </c>
      <c r="K11" s="2658">
        <v>3.92</v>
      </c>
      <c r="L11" s="2669">
        <v>1.58</v>
      </c>
      <c r="M11" s="2662"/>
      <c r="N11" s="2663">
        <f t="shared" si="26"/>
        <v>3.4500000000000003E-2</v>
      </c>
      <c r="O11" s="2664">
        <f t="shared" ref="O11" si="40">J11/100</f>
        <v>1.9199999999999998E-2</v>
      </c>
      <c r="P11" s="2664">
        <f t="shared" ref="P11" si="41">K11/100</f>
        <v>3.9199999999999999E-2</v>
      </c>
      <c r="Q11" s="2664">
        <f t="shared" ref="Q11" si="42">L11/100</f>
        <v>1.5800000000000002E-2</v>
      </c>
      <c r="R11" s="2665"/>
      <c r="S11" s="2671">
        <f>B11/B12-1</f>
        <v>3.4499999999999975E-2</v>
      </c>
      <c r="T11" s="2672">
        <f>C11/C12-1</f>
        <v>1.9200000000000106E-2</v>
      </c>
      <c r="U11" s="2672">
        <f>E11/E12-1</f>
        <v>3.9199999999999902E-2</v>
      </c>
      <c r="V11" s="2672">
        <f>F11/F12-1</f>
        <v>1.5800000000000036E-2</v>
      </c>
      <c r="W11" s="2662"/>
      <c r="X11" s="2753">
        <f>ROUND(SUMPRODUCT(PRODUCT(1+N11:N$22)),4)</f>
        <v>1.3180000000000001</v>
      </c>
      <c r="Y11" s="2753">
        <f>ROUND(SUMPRODUCT(PRODUCT(1+O11:O$22)),4)</f>
        <v>1.1966000000000001</v>
      </c>
      <c r="Z11" s="2753">
        <f t="shared" si="0"/>
        <v>1.1966000000000001</v>
      </c>
      <c r="AA11" s="2753">
        <f>ROUND(SUMPRODUCT(PRODUCT(1+P11:P$22)),4)</f>
        <v>1.36</v>
      </c>
      <c r="AB11" s="2753">
        <f>ROUND(SUMPRODUCT(PRODUCT(1+Q11:Q$22)),4)</f>
        <v>1.1733</v>
      </c>
      <c r="AC11" s="2662"/>
      <c r="AD11" s="2673">
        <f>ROUND(AVERAGE(I11:I$23)/100,4)</f>
        <v>2.3900000000000001E-2</v>
      </c>
      <c r="AE11" s="2673">
        <f>ROUND(AVERAGE(J11:J$23)/100,4)</f>
        <v>1.5699999999999999E-2</v>
      </c>
      <c r="AF11" s="2673">
        <f t="shared" si="1"/>
        <v>1.5699999999999999E-2</v>
      </c>
      <c r="AG11" s="2673">
        <f>ROUND(AVERAGE(K11:K$23)/100,4)</f>
        <v>2.6599999999999999E-2</v>
      </c>
      <c r="AH11" s="2673">
        <f>ROUND(AVERAGE(L11:L$23)/100,4)</f>
        <v>1.34E-2</v>
      </c>
    </row>
    <row r="12" spans="1:34">
      <c r="A12" s="2654" t="s">
        <v>936</v>
      </c>
      <c r="B12" s="2660">
        <v>392</v>
      </c>
      <c r="C12" s="2660">
        <v>302</v>
      </c>
      <c r="D12" s="2660">
        <f t="shared" si="23"/>
        <v>302</v>
      </c>
      <c r="E12" s="2660">
        <v>553</v>
      </c>
      <c r="F12" s="2661">
        <v>266</v>
      </c>
      <c r="G12" s="3446">
        <v>2016</v>
      </c>
      <c r="H12" s="2655">
        <v>4</v>
      </c>
      <c r="I12" s="2655">
        <v>4.5599999999999996</v>
      </c>
      <c r="J12" s="2655">
        <v>2.15</v>
      </c>
      <c r="K12" s="2655">
        <v>5.32</v>
      </c>
      <c r="L12" s="2656">
        <v>1.57</v>
      </c>
      <c r="N12" s="2663">
        <f t="shared" si="26"/>
        <v>4.5599999999999995E-2</v>
      </c>
      <c r="O12" s="2664">
        <f t="shared" ref="O12:Q27" si="43">J12/100</f>
        <v>2.1499999999999998E-2</v>
      </c>
      <c r="P12" s="2664">
        <f t="shared" si="43"/>
        <v>5.3200000000000004E-2</v>
      </c>
      <c r="Q12" s="2664">
        <f t="shared" si="43"/>
        <v>1.5700000000000002E-2</v>
      </c>
      <c r="R12" s="2665"/>
      <c r="S12" s="2666"/>
      <c r="T12" s="2667"/>
      <c r="U12" s="2667"/>
      <c r="V12" s="2667"/>
      <c r="X12" s="2753">
        <f>ROUND(SUMPRODUCT(PRODUCT(1+N12:N$22)),4)</f>
        <v>1.274</v>
      </c>
      <c r="Y12" s="2753">
        <f>ROUND(SUMPRODUCT(PRODUCT(1+O12:O$22)),4)</f>
        <v>1.1740999999999999</v>
      </c>
      <c r="Z12" s="2753">
        <f t="shared" si="0"/>
        <v>1.1740999999999999</v>
      </c>
      <c r="AA12" s="2753">
        <f>ROUND(SUMPRODUCT(PRODUCT(1+P12:P$22)),4)</f>
        <v>1.3087</v>
      </c>
      <c r="AB12" s="2753">
        <f>ROUND(SUMPRODUCT(PRODUCT(1+Q12:Q$22)),4)</f>
        <v>1.1551</v>
      </c>
      <c r="AD12" s="2673">
        <f>ROUND(AVERAGE(I12:I$23)/100,4)</f>
        <v>2.3E-2</v>
      </c>
      <c r="AE12" s="2673">
        <f>ROUND(AVERAGE(J12:J$23)/100,4)</f>
        <v>1.55E-2</v>
      </c>
      <c r="AF12" s="2673">
        <f t="shared" si="1"/>
        <v>1.55E-2</v>
      </c>
      <c r="AG12" s="2673">
        <f>ROUND(AVERAGE(K12:K$23)/100,4)</f>
        <v>2.5600000000000001E-2</v>
      </c>
      <c r="AH12" s="2673">
        <f>ROUND(AVERAGE(L12:L$23)/100,4)</f>
        <v>1.32E-2</v>
      </c>
    </row>
    <row r="13" spans="1:34">
      <c r="A13" s="2654" t="s">
        <v>935</v>
      </c>
      <c r="B13" s="2668">
        <f t="shared" ref="B13:C15" si="44">B12/(1+N12)</f>
        <v>374.90436113236416</v>
      </c>
      <c r="C13" s="2668">
        <f t="shared" si="44"/>
        <v>295.64366128242779</v>
      </c>
      <c r="D13" s="2668">
        <f t="shared" ref="D13:D72" si="45">C13</f>
        <v>295.64366128242779</v>
      </c>
      <c r="E13" s="2668">
        <f t="shared" ref="E13:F15" si="46">E12/(1+P12)</f>
        <v>525.06646410938095</v>
      </c>
      <c r="F13" s="2668">
        <f t="shared" si="46"/>
        <v>261.88835286009646</v>
      </c>
      <c r="G13" s="3444"/>
      <c r="H13" s="2658">
        <v>3</v>
      </c>
      <c r="I13" s="2658">
        <v>4.12</v>
      </c>
      <c r="J13" s="2658">
        <v>2</v>
      </c>
      <c r="K13" s="2658">
        <v>4.79</v>
      </c>
      <c r="L13" s="2669">
        <v>1.97</v>
      </c>
      <c r="N13" s="2663">
        <f t="shared" ref="N13:Q47" si="47">I13/100</f>
        <v>4.1200000000000001E-2</v>
      </c>
      <c r="O13" s="2664">
        <f t="shared" si="43"/>
        <v>0.02</v>
      </c>
      <c r="P13" s="2664">
        <f t="shared" si="43"/>
        <v>4.7899999999999998E-2</v>
      </c>
      <c r="Q13" s="2664">
        <f t="shared" si="43"/>
        <v>1.9699999999999999E-2</v>
      </c>
      <c r="R13" s="2665"/>
      <c r="S13" s="2663"/>
      <c r="T13" s="2664"/>
      <c r="U13" s="2664"/>
      <c r="V13" s="2664"/>
      <c r="X13" s="2753">
        <f>ROUND(SUMPRODUCT(PRODUCT(1+N13:N$22)),4)</f>
        <v>1.2184999999999999</v>
      </c>
      <c r="Y13" s="2753">
        <f>ROUND(SUMPRODUCT(PRODUCT(1+O13:O$22)),4)</f>
        <v>1.1494</v>
      </c>
      <c r="Z13" s="2753">
        <f t="shared" si="0"/>
        <v>1.1494</v>
      </c>
      <c r="AA13" s="2753">
        <f>ROUND(SUMPRODUCT(PRODUCT(1+P13:P$22)),4)</f>
        <v>1.2425999999999999</v>
      </c>
      <c r="AB13" s="2753">
        <f>ROUND(SUMPRODUCT(PRODUCT(1+Q13:Q$22)),4)</f>
        <v>1.1372</v>
      </c>
      <c r="AD13" s="2673">
        <f>ROUND(AVERAGE(I13:I$23)/100,4)</f>
        <v>2.0899999999999998E-2</v>
      </c>
      <c r="AE13" s="2673">
        <f>ROUND(AVERAGE(J13:J$23)/100,4)</f>
        <v>1.49E-2</v>
      </c>
      <c r="AF13" s="2673">
        <f t="shared" si="1"/>
        <v>1.49E-2</v>
      </c>
      <c r="AG13" s="2673">
        <f>ROUND(AVERAGE(K13:K$23)/100,4)</f>
        <v>2.3099999999999999E-2</v>
      </c>
      <c r="AH13" s="2673">
        <f>ROUND(AVERAGE(L13:L$23)/100,4)</f>
        <v>1.2999999999999999E-2</v>
      </c>
    </row>
    <row r="14" spans="1:34">
      <c r="A14" s="2654" t="s">
        <v>925</v>
      </c>
      <c r="B14" s="2668">
        <f t="shared" si="44"/>
        <v>360.06949782209392</v>
      </c>
      <c r="C14" s="2668">
        <f t="shared" si="44"/>
        <v>289.84672674747821</v>
      </c>
      <c r="D14" s="2668">
        <f t="shared" si="45"/>
        <v>289.84672674747821</v>
      </c>
      <c r="E14" s="2668">
        <f t="shared" si="46"/>
        <v>501.06543001181495</v>
      </c>
      <c r="F14" s="2668">
        <f t="shared" si="46"/>
        <v>256.82882500744967</v>
      </c>
      <c r="G14" s="3444"/>
      <c r="H14" s="2659">
        <v>2</v>
      </c>
      <c r="I14" s="2659">
        <v>3.85</v>
      </c>
      <c r="J14" s="2659">
        <v>1.95</v>
      </c>
      <c r="K14" s="2659">
        <v>4.4800000000000004</v>
      </c>
      <c r="L14" s="2670">
        <v>1.41</v>
      </c>
      <c r="N14" s="2663">
        <f t="shared" si="47"/>
        <v>3.85E-2</v>
      </c>
      <c r="O14" s="2664">
        <f t="shared" si="43"/>
        <v>1.95E-2</v>
      </c>
      <c r="P14" s="2664">
        <f t="shared" si="43"/>
        <v>4.4800000000000006E-2</v>
      </c>
      <c r="Q14" s="2664">
        <f t="shared" si="43"/>
        <v>1.41E-2</v>
      </c>
      <c r="R14" s="2665"/>
      <c r="S14" s="2663"/>
      <c r="T14" s="2664"/>
      <c r="U14" s="2664"/>
      <c r="V14" s="2664"/>
      <c r="X14" s="2753">
        <f>ROUND(SUMPRODUCT(PRODUCT(1+N14:N$22)),4)</f>
        <v>1.1702999999999999</v>
      </c>
      <c r="Y14" s="2753">
        <f>ROUND(SUMPRODUCT(PRODUCT(1+O14:O$22)),4)</f>
        <v>1.1269</v>
      </c>
      <c r="Z14" s="2753">
        <f t="shared" si="0"/>
        <v>1.1269</v>
      </c>
      <c r="AA14" s="2753">
        <f>ROUND(SUMPRODUCT(PRODUCT(1+P14:P$22)),4)</f>
        <v>1.1858</v>
      </c>
      <c r="AB14" s="2753">
        <f>ROUND(SUMPRODUCT(PRODUCT(1+Q14:Q$22)),4)</f>
        <v>1.1152</v>
      </c>
      <c r="AD14" s="2673">
        <f>ROUND(AVERAGE(I14:I$23)/100,4)</f>
        <v>1.89E-2</v>
      </c>
      <c r="AE14" s="2673">
        <f>ROUND(AVERAGE(J14:J$23)/100,4)</f>
        <v>1.44E-2</v>
      </c>
      <c r="AF14" s="2673">
        <f t="shared" si="1"/>
        <v>1.44E-2</v>
      </c>
      <c r="AG14" s="2673">
        <f>ROUND(AVERAGE(K14:K$23)/100,4)</f>
        <v>2.06E-2</v>
      </c>
      <c r="AH14" s="2673">
        <f>ROUND(AVERAGE(L14:L$23)/100,4)</f>
        <v>1.23E-2</v>
      </c>
    </row>
    <row r="15" spans="1:34" ht="13.8" thickBot="1">
      <c r="A15" s="2654" t="s">
        <v>934</v>
      </c>
      <c r="B15" s="2668">
        <f t="shared" si="44"/>
        <v>346.720748986128</v>
      </c>
      <c r="C15" s="2668">
        <f t="shared" si="44"/>
        <v>284.30282172386285</v>
      </c>
      <c r="D15" s="2668">
        <f t="shared" si="45"/>
        <v>284.30282172386285</v>
      </c>
      <c r="E15" s="2668">
        <f t="shared" si="46"/>
        <v>479.58023546306947</v>
      </c>
      <c r="F15" s="2668">
        <f t="shared" si="46"/>
        <v>253.25788877571213</v>
      </c>
      <c r="G15" s="3445"/>
      <c r="H15" s="2658">
        <v>1</v>
      </c>
      <c r="I15" s="2658">
        <v>4.09</v>
      </c>
      <c r="J15" s="2658">
        <v>2.93</v>
      </c>
      <c r="K15" s="2658">
        <v>4.54</v>
      </c>
      <c r="L15" s="2669">
        <v>1.48</v>
      </c>
      <c r="N15" s="2663">
        <f t="shared" si="47"/>
        <v>4.0899999999999999E-2</v>
      </c>
      <c r="O15" s="2664">
        <f t="shared" si="43"/>
        <v>2.9300000000000003E-2</v>
      </c>
      <c r="P15" s="2664">
        <f t="shared" si="43"/>
        <v>4.5400000000000003E-2</v>
      </c>
      <c r="Q15" s="2664">
        <f t="shared" si="43"/>
        <v>1.4800000000000001E-2</v>
      </c>
      <c r="R15" s="2665"/>
      <c r="S15" s="2671">
        <f>B15/B16-1</f>
        <v>4.1203450408792808E-2</v>
      </c>
      <c r="T15" s="2672">
        <f>C15/C16-1</f>
        <v>2.6363977342465095E-2</v>
      </c>
      <c r="U15" s="2672">
        <f>E15/E16-1</f>
        <v>4.4837114298626357E-2</v>
      </c>
      <c r="V15" s="2672">
        <f>F15/F16-1</f>
        <v>1.7099954922538574E-2</v>
      </c>
      <c r="X15" s="2753">
        <f>ROUND(SUMPRODUCT(PRODUCT(1+N15:N$22)),4)</f>
        <v>1.1269</v>
      </c>
      <c r="Y15" s="2753">
        <f>ROUND(SUMPRODUCT(PRODUCT(1+O15:O$22)),4)</f>
        <v>1.1052999999999999</v>
      </c>
      <c r="Z15" s="2753">
        <f t="shared" si="0"/>
        <v>1.1052999999999999</v>
      </c>
      <c r="AA15" s="2753">
        <f>ROUND(SUMPRODUCT(PRODUCT(1+P15:P$22)),4)</f>
        <v>1.1349</v>
      </c>
      <c r="AB15" s="2753">
        <f>ROUND(SUMPRODUCT(PRODUCT(1+Q15:Q$22)),4)</f>
        <v>1.0996999999999999</v>
      </c>
      <c r="AD15" s="2673">
        <f>ROUND(AVERAGE(I15:I$23)/100,4)</f>
        <v>1.67E-2</v>
      </c>
      <c r="AE15" s="2673">
        <f>ROUND(AVERAGE(J15:J$23)/100,4)</f>
        <v>1.38E-2</v>
      </c>
      <c r="AF15" s="2673">
        <f t="shared" si="1"/>
        <v>1.38E-2</v>
      </c>
      <c r="AG15" s="2673">
        <f>ROUND(AVERAGE(K15:K$23)/100,4)</f>
        <v>1.7899999999999999E-2</v>
      </c>
      <c r="AH15" s="2673">
        <f>ROUND(AVERAGE(L15:L$23)/100,4)</f>
        <v>1.21E-2</v>
      </c>
    </row>
    <row r="16" spans="1:34" ht="13.8" thickBot="1">
      <c r="A16" s="2654" t="s">
        <v>933</v>
      </c>
      <c r="B16" s="2660">
        <v>333</v>
      </c>
      <c r="C16" s="2660">
        <v>277</v>
      </c>
      <c r="D16" s="2660">
        <f t="shared" si="45"/>
        <v>277</v>
      </c>
      <c r="E16" s="2660">
        <v>459</v>
      </c>
      <c r="F16" s="2661">
        <v>249</v>
      </c>
      <c r="G16" s="3443">
        <v>2015</v>
      </c>
      <c r="H16" s="2674">
        <v>4</v>
      </c>
      <c r="I16" s="2674">
        <v>1.63</v>
      </c>
      <c r="J16" s="2674">
        <v>1.1100000000000001</v>
      </c>
      <c r="K16" s="2674">
        <v>1.77</v>
      </c>
      <c r="L16" s="2675">
        <v>1.89</v>
      </c>
      <c r="N16" s="2676">
        <f t="shared" si="47"/>
        <v>1.6299999999999999E-2</v>
      </c>
      <c r="O16" s="2677">
        <f t="shared" si="43"/>
        <v>1.11E-2</v>
      </c>
      <c r="P16" s="2677">
        <f t="shared" si="43"/>
        <v>1.77E-2</v>
      </c>
      <c r="Q16" s="2677">
        <f t="shared" si="43"/>
        <v>1.89E-2</v>
      </c>
      <c r="R16" s="2665"/>
      <c r="X16" s="2753">
        <f>ROUND(SUMPRODUCT(PRODUCT(1+N16:N$22)),4)</f>
        <v>1.0826</v>
      </c>
      <c r="Y16" s="2753">
        <f>ROUND(SUMPRODUCT(PRODUCT(1+O16:O$22)),4)</f>
        <v>1.0738000000000001</v>
      </c>
      <c r="Z16" s="2753">
        <f t="shared" si="0"/>
        <v>1.0738000000000001</v>
      </c>
      <c r="AA16" s="2753">
        <f>ROUND(SUMPRODUCT(PRODUCT(1+P16:P$22)),4)</f>
        <v>1.0855999999999999</v>
      </c>
      <c r="AB16" s="2753">
        <f>ROUND(SUMPRODUCT(PRODUCT(1+Q16:Q$22)),4)</f>
        <v>1.0837000000000001</v>
      </c>
      <c r="AD16" s="2673">
        <f>ROUND(AVERAGE(I16:I$23)/100,4)</f>
        <v>1.37E-2</v>
      </c>
      <c r="AE16" s="2673">
        <f>ROUND(AVERAGE(J16:J$23)/100,4)</f>
        <v>1.1900000000000001E-2</v>
      </c>
      <c r="AF16" s="2673">
        <f t="shared" si="1"/>
        <v>1.1900000000000001E-2</v>
      </c>
      <c r="AG16" s="2673">
        <f>ROUND(AVERAGE(K16:K$23)/100,4)</f>
        <v>1.4500000000000001E-2</v>
      </c>
      <c r="AH16" s="2673">
        <f>ROUND(AVERAGE(L16:L$23)/100,4)</f>
        <v>1.18E-2</v>
      </c>
    </row>
    <row r="17" spans="1:34">
      <c r="A17" s="2654" t="s">
        <v>932</v>
      </c>
      <c r="B17" s="2668">
        <f t="shared" ref="B17:C19" si="48">B16/(1+N16)</f>
        <v>327.65915576109415</v>
      </c>
      <c r="C17" s="2668">
        <f t="shared" si="48"/>
        <v>273.95905449510434</v>
      </c>
      <c r="D17" s="2668">
        <f t="shared" si="45"/>
        <v>273.95905449510434</v>
      </c>
      <c r="E17" s="2668">
        <f t="shared" ref="E17:F19" si="49">E16/(1+P16)</f>
        <v>451.01699911565294</v>
      </c>
      <c r="F17" s="2668">
        <f t="shared" si="49"/>
        <v>244.38119540681129</v>
      </c>
      <c r="G17" s="3444"/>
      <c r="H17" s="2679">
        <v>3</v>
      </c>
      <c r="I17" s="2679">
        <v>1.65</v>
      </c>
      <c r="J17" s="2679">
        <v>0.92</v>
      </c>
      <c r="K17" s="2679">
        <v>1.88</v>
      </c>
      <c r="L17" s="2680">
        <v>1.26</v>
      </c>
      <c r="N17" s="2663">
        <f t="shared" si="47"/>
        <v>1.6500000000000001E-2</v>
      </c>
      <c r="O17" s="2681">
        <f t="shared" si="43"/>
        <v>9.1999999999999998E-3</v>
      </c>
      <c r="P17" s="2681">
        <f t="shared" si="43"/>
        <v>1.8799999999999997E-2</v>
      </c>
      <c r="Q17" s="2681">
        <f t="shared" si="43"/>
        <v>1.26E-2</v>
      </c>
      <c r="R17" s="2665"/>
      <c r="S17" s="2663"/>
      <c r="T17" s="2664"/>
      <c r="U17" s="2664"/>
      <c r="V17" s="2664"/>
      <c r="X17" s="2753">
        <f>ROUND(SUMPRODUCT(PRODUCT(1+N17:N$22)),4)</f>
        <v>1.0651999999999999</v>
      </c>
      <c r="Y17" s="2753">
        <f>ROUND(SUMPRODUCT(PRODUCT(1+O17:O$22)),4)</f>
        <v>1.0621</v>
      </c>
      <c r="Z17" s="2753">
        <f t="shared" si="0"/>
        <v>1.0621</v>
      </c>
      <c r="AA17" s="2753">
        <f>ROUND(SUMPRODUCT(PRODUCT(1+P17:P$22)),4)</f>
        <v>1.0668</v>
      </c>
      <c r="AB17" s="2753">
        <f>ROUND(SUMPRODUCT(PRODUCT(1+Q17:Q$22)),4)</f>
        <v>1.0636000000000001</v>
      </c>
      <c r="AD17" s="2673">
        <f>ROUND(AVERAGE(I17:I$23)/100,4)</f>
        <v>1.3299999999999999E-2</v>
      </c>
      <c r="AE17" s="2673">
        <f>ROUND(AVERAGE(J17:J$23)/100,4)</f>
        <v>1.2E-2</v>
      </c>
      <c r="AF17" s="2673">
        <f t="shared" si="1"/>
        <v>1.2E-2</v>
      </c>
      <c r="AG17" s="2673">
        <f>ROUND(AVERAGE(K17:K$23)/100,4)</f>
        <v>1.4E-2</v>
      </c>
      <c r="AH17" s="2673">
        <f>ROUND(AVERAGE(L17:L$23)/100,4)</f>
        <v>1.0800000000000001E-2</v>
      </c>
    </row>
    <row r="18" spans="1:34">
      <c r="A18" s="2654" t="s">
        <v>931</v>
      </c>
      <c r="B18" s="2668">
        <f t="shared" si="48"/>
        <v>322.34053690220776</v>
      </c>
      <c r="C18" s="2668">
        <f t="shared" si="48"/>
        <v>271.46160770422546</v>
      </c>
      <c r="D18" s="2668">
        <f t="shared" si="45"/>
        <v>271.46160770422546</v>
      </c>
      <c r="E18" s="2668">
        <f t="shared" si="49"/>
        <v>442.69434542172456</v>
      </c>
      <c r="F18" s="2668">
        <f t="shared" si="49"/>
        <v>241.34030753190925</v>
      </c>
      <c r="G18" s="3444"/>
      <c r="H18" s="2659">
        <v>2</v>
      </c>
      <c r="I18" s="2659">
        <v>0.77</v>
      </c>
      <c r="J18" s="2659">
        <v>0.69</v>
      </c>
      <c r="K18" s="2659">
        <v>0.8</v>
      </c>
      <c r="L18" s="2670">
        <v>0.88</v>
      </c>
      <c r="N18" s="2663">
        <f t="shared" si="47"/>
        <v>7.7000000000000002E-3</v>
      </c>
      <c r="O18" s="2681">
        <f t="shared" si="43"/>
        <v>6.8999999999999999E-3</v>
      </c>
      <c r="P18" s="2681">
        <f t="shared" si="43"/>
        <v>8.0000000000000002E-3</v>
      </c>
      <c r="Q18" s="2681">
        <f t="shared" si="43"/>
        <v>8.8000000000000005E-3</v>
      </c>
      <c r="R18" s="2665"/>
      <c r="S18" s="2663"/>
      <c r="T18" s="2664"/>
      <c r="U18" s="2664"/>
      <c r="V18" s="2664"/>
      <c r="X18" s="2753">
        <f>ROUND(SUMPRODUCT(PRODUCT(1+N18:N$22)),4)</f>
        <v>1.048</v>
      </c>
      <c r="Y18" s="2753">
        <f>ROUND(SUMPRODUCT(PRODUCT(1+O18:O$22)),4)</f>
        <v>1.0524</v>
      </c>
      <c r="Z18" s="2753">
        <f t="shared" si="0"/>
        <v>1.0524</v>
      </c>
      <c r="AA18" s="2753">
        <f>ROUND(SUMPRODUCT(PRODUCT(1+P18:P$22)),4)</f>
        <v>1.0470999999999999</v>
      </c>
      <c r="AB18" s="2753">
        <f>ROUND(SUMPRODUCT(PRODUCT(1+Q18:Q$22)),4)</f>
        <v>1.0504</v>
      </c>
      <c r="AD18" s="2673">
        <f>ROUND(AVERAGE(I18:I$23)/100,4)</f>
        <v>1.2800000000000001E-2</v>
      </c>
      <c r="AE18" s="2673">
        <f>ROUND(AVERAGE(J18:J$23)/100,4)</f>
        <v>1.2500000000000001E-2</v>
      </c>
      <c r="AF18" s="2673">
        <f t="shared" si="1"/>
        <v>1.2500000000000001E-2</v>
      </c>
      <c r="AG18" s="2673">
        <f>ROUND(AVERAGE(K18:K$23)/100,4)</f>
        <v>1.32E-2</v>
      </c>
      <c r="AH18" s="2673">
        <f>ROUND(AVERAGE(L18:L$23)/100,4)</f>
        <v>1.0500000000000001E-2</v>
      </c>
    </row>
    <row r="19" spans="1:34">
      <c r="A19" s="2654" t="s">
        <v>930</v>
      </c>
      <c r="B19" s="2668">
        <f t="shared" si="48"/>
        <v>319.87748030386797</v>
      </c>
      <c r="C19" s="2668">
        <f t="shared" si="48"/>
        <v>269.60135833173649</v>
      </c>
      <c r="D19" s="2668">
        <f t="shared" si="45"/>
        <v>269.60135833173649</v>
      </c>
      <c r="E19" s="2668">
        <f t="shared" si="49"/>
        <v>439.18089823583784</v>
      </c>
      <c r="F19" s="2668">
        <f t="shared" si="49"/>
        <v>239.23503918706311</v>
      </c>
      <c r="G19" s="3445"/>
      <c r="H19" s="2658">
        <v>1</v>
      </c>
      <c r="I19" s="2658">
        <v>0.51</v>
      </c>
      <c r="J19" s="2658">
        <v>0.54</v>
      </c>
      <c r="K19" s="2658">
        <v>0.48</v>
      </c>
      <c r="L19" s="2669">
        <v>0.93</v>
      </c>
      <c r="N19" s="2671">
        <f t="shared" si="47"/>
        <v>5.1000000000000004E-3</v>
      </c>
      <c r="O19" s="2672">
        <f t="shared" si="43"/>
        <v>5.4000000000000003E-3</v>
      </c>
      <c r="P19" s="2672">
        <f t="shared" si="43"/>
        <v>4.7999999999999996E-3</v>
      </c>
      <c r="Q19" s="2672">
        <f t="shared" si="43"/>
        <v>9.300000000000001E-3</v>
      </c>
      <c r="R19" s="2665"/>
      <c r="S19" s="2671">
        <f>B19/B20-1</f>
        <v>5.9040261127922822E-3</v>
      </c>
      <c r="T19" s="2672">
        <f>C19/C20-1</f>
        <v>5.9752176557332781E-3</v>
      </c>
      <c r="U19" s="2672">
        <f>E19/E20-1</f>
        <v>4.9906138119859556E-3</v>
      </c>
      <c r="V19" s="2672">
        <f>F19/F20-1</f>
        <v>9.4305450930933787E-3</v>
      </c>
      <c r="X19" s="2753">
        <f>ROUND(SUMPRODUCT(PRODUCT(1+N19:N$22)),4)</f>
        <v>1.0399</v>
      </c>
      <c r="Y19" s="2753">
        <f>ROUND(SUMPRODUCT(PRODUCT(1+O19:O$22)),4)</f>
        <v>1.0451999999999999</v>
      </c>
      <c r="Z19" s="2753">
        <f t="shared" si="0"/>
        <v>1.0451999999999999</v>
      </c>
      <c r="AA19" s="2753">
        <f>ROUND(SUMPRODUCT(PRODUCT(1+P19:P$22)),4)</f>
        <v>1.0387999999999999</v>
      </c>
      <c r="AB19" s="2753">
        <f>ROUND(SUMPRODUCT(PRODUCT(1+Q19:Q$22)),4)</f>
        <v>1.0411999999999999</v>
      </c>
      <c r="AD19" s="2673">
        <f>ROUND(AVERAGE(I19:I$23)/100,4)</f>
        <v>1.38E-2</v>
      </c>
      <c r="AE19" s="2673">
        <f>ROUND(AVERAGE(J19:J$23)/100,4)</f>
        <v>1.3599999999999999E-2</v>
      </c>
      <c r="AF19" s="2673">
        <f t="shared" si="1"/>
        <v>1.3599999999999999E-2</v>
      </c>
      <c r="AG19" s="2673">
        <f>ROUND(AVERAGE(K19:K$23)/100,4)</f>
        <v>1.4200000000000001E-2</v>
      </c>
      <c r="AH19" s="2673">
        <f>ROUND(AVERAGE(L19:L$23)/100,4)</f>
        <v>1.0800000000000001E-2</v>
      </c>
    </row>
    <row r="20" spans="1:34" ht="13.8" thickBot="1">
      <c r="A20" s="2654" t="s">
        <v>929</v>
      </c>
      <c r="B20" s="2682">
        <v>318</v>
      </c>
      <c r="C20" s="2682">
        <v>268</v>
      </c>
      <c r="D20" s="2682">
        <f t="shared" si="45"/>
        <v>268</v>
      </c>
      <c r="E20" s="2682">
        <v>437</v>
      </c>
      <c r="F20" s="2683">
        <v>237</v>
      </c>
      <c r="G20" s="3443">
        <v>2014</v>
      </c>
      <c r="H20" s="2674">
        <v>4</v>
      </c>
      <c r="I20" s="2674">
        <v>0.21</v>
      </c>
      <c r="J20" s="2674">
        <v>0.41</v>
      </c>
      <c r="K20" s="2674">
        <v>0.12</v>
      </c>
      <c r="L20" s="2675">
        <v>0.89</v>
      </c>
      <c r="N20" s="2663">
        <f t="shared" si="47"/>
        <v>2.0999999999999999E-3</v>
      </c>
      <c r="O20" s="2664">
        <f t="shared" si="43"/>
        <v>4.0999999999999995E-3</v>
      </c>
      <c r="P20" s="2664">
        <f t="shared" si="43"/>
        <v>1.1999999999999999E-3</v>
      </c>
      <c r="Q20" s="2664">
        <f t="shared" si="43"/>
        <v>8.8999999999999999E-3</v>
      </c>
      <c r="R20" s="2665"/>
      <c r="S20" s="2666"/>
      <c r="T20" s="2667"/>
      <c r="U20" s="2667"/>
      <c r="V20" s="2667"/>
      <c r="X20" s="2753">
        <f>ROUND(SUMPRODUCT(PRODUCT(1+N20:N$22)),4)</f>
        <v>1.0347</v>
      </c>
      <c r="Y20" s="2753">
        <f>ROUND(SUMPRODUCT(PRODUCT(1+O20:O$22)),4)</f>
        <v>1.0395000000000001</v>
      </c>
      <c r="Z20" s="2753">
        <f t="shared" si="0"/>
        <v>1.0395000000000001</v>
      </c>
      <c r="AA20" s="2753">
        <f>ROUND(SUMPRODUCT(PRODUCT(1+P20:P$22)),4)</f>
        <v>1.0338000000000001</v>
      </c>
      <c r="AB20" s="2753">
        <f>ROUND(SUMPRODUCT(PRODUCT(1+Q20:Q$22)),4)</f>
        <v>1.0316000000000001</v>
      </c>
      <c r="AD20" s="2673">
        <f>ROUND(AVERAGE(I20:I$23)/100,4)</f>
        <v>1.6E-2</v>
      </c>
      <c r="AE20" s="2673">
        <f>ROUND(AVERAGE(J20:J$23)/100,4)</f>
        <v>1.5599999999999999E-2</v>
      </c>
      <c r="AF20" s="2673">
        <f t="shared" si="1"/>
        <v>1.5599999999999999E-2</v>
      </c>
      <c r="AG20" s="2673">
        <f>ROUND(AVERAGE(K20:K$23)/100,4)</f>
        <v>1.66E-2</v>
      </c>
      <c r="AH20" s="2673">
        <f>ROUND(AVERAGE(L20:L$23)/100,4)</f>
        <v>1.12E-2</v>
      </c>
    </row>
    <row r="21" spans="1:34">
      <c r="A21" s="2654" t="s">
        <v>928</v>
      </c>
      <c r="B21" s="2668">
        <f t="shared" ref="B21:C23" si="50">B20/(1+N20)</f>
        <v>317.33359944117353</v>
      </c>
      <c r="C21" s="2668">
        <f t="shared" si="50"/>
        <v>266.90568668459315</v>
      </c>
      <c r="D21" s="2668">
        <f t="shared" si="45"/>
        <v>266.90568668459315</v>
      </c>
      <c r="E21" s="2668">
        <f t="shared" ref="E21:F23" si="51">E20/(1+P20)</f>
        <v>436.47622852576905</v>
      </c>
      <c r="F21" s="2668">
        <f t="shared" si="51"/>
        <v>234.90930716622066</v>
      </c>
      <c r="G21" s="3444"/>
      <c r="H21" s="2684">
        <v>3</v>
      </c>
      <c r="I21" s="2684">
        <v>0.83</v>
      </c>
      <c r="J21" s="2684">
        <v>1.47</v>
      </c>
      <c r="K21" s="2684">
        <v>0.65</v>
      </c>
      <c r="L21" s="2685">
        <v>0.72</v>
      </c>
      <c r="N21" s="2663">
        <f t="shared" si="47"/>
        <v>8.3000000000000001E-3</v>
      </c>
      <c r="O21" s="2664">
        <f t="shared" si="43"/>
        <v>1.47E-2</v>
      </c>
      <c r="P21" s="2664">
        <f t="shared" si="43"/>
        <v>6.5000000000000006E-3</v>
      </c>
      <c r="Q21" s="2664">
        <f t="shared" si="43"/>
        <v>7.1999999999999998E-3</v>
      </c>
      <c r="R21" s="2665"/>
      <c r="S21" s="2663"/>
      <c r="T21" s="2664"/>
      <c r="U21" s="2664"/>
      <c r="V21" s="2664"/>
      <c r="X21" s="2753">
        <f>ROUND(SUMPRODUCT(PRODUCT(1+N21:N$22)),4)</f>
        <v>1.0325</v>
      </c>
      <c r="Y21" s="2753">
        <f>ROUND(SUMPRODUCT(PRODUCT(1+O21:O$22)),4)</f>
        <v>1.0353000000000001</v>
      </c>
      <c r="Z21" s="2753">
        <f t="shared" ref="Z21:Z22" si="52">Y21</f>
        <v>1.0353000000000001</v>
      </c>
      <c r="AA21" s="2753">
        <f>ROUND(SUMPRODUCT(PRODUCT(1+P21:P$22)),4)</f>
        <v>1.0326</v>
      </c>
      <c r="AB21" s="2753">
        <f>ROUND(SUMPRODUCT(PRODUCT(1+Q21:Q$22)),4)</f>
        <v>1.0225</v>
      </c>
      <c r="AD21" s="2673">
        <f>ROUND(AVERAGE(I21:I$23)/100,4)</f>
        <v>2.07E-2</v>
      </c>
      <c r="AE21" s="2673">
        <f>ROUND(AVERAGE(J21:J$23)/100,4)</f>
        <v>1.95E-2</v>
      </c>
      <c r="AF21" s="2673">
        <f t="shared" si="1"/>
        <v>1.95E-2</v>
      </c>
      <c r="AG21" s="2673">
        <f>ROUND(AVERAGE(K21:K$23)/100,4)</f>
        <v>2.1700000000000001E-2</v>
      </c>
      <c r="AH21" s="2673">
        <f>ROUND(AVERAGE(L21:L$23)/100,4)</f>
        <v>1.2E-2</v>
      </c>
    </row>
    <row r="22" spans="1:34" ht="13.8" thickBot="1">
      <c r="A22" s="2654" t="s">
        <v>927</v>
      </c>
      <c r="B22" s="2668">
        <f t="shared" si="50"/>
        <v>314.72141172386546</v>
      </c>
      <c r="C22" s="2668">
        <f t="shared" si="50"/>
        <v>263.03901319069001</v>
      </c>
      <c r="D22" s="2668">
        <f t="shared" si="45"/>
        <v>263.03901319069001</v>
      </c>
      <c r="E22" s="2668">
        <f t="shared" si="51"/>
        <v>433.65745506782821</v>
      </c>
      <c r="F22" s="2668">
        <f t="shared" si="51"/>
        <v>233.23005080045735</v>
      </c>
      <c r="G22" s="3444"/>
      <c r="H22" s="2674">
        <v>2</v>
      </c>
      <c r="I22" s="2674">
        <v>2.4</v>
      </c>
      <c r="J22" s="2674">
        <v>2.0299999999999998</v>
      </c>
      <c r="K22" s="2674">
        <v>2.59</v>
      </c>
      <c r="L22" s="2675">
        <v>1.52</v>
      </c>
      <c r="N22" s="2663">
        <f t="shared" si="47"/>
        <v>2.4E-2</v>
      </c>
      <c r="O22" s="2664">
        <f t="shared" si="43"/>
        <v>2.0299999999999999E-2</v>
      </c>
      <c r="P22" s="2664">
        <f t="shared" si="43"/>
        <v>2.5899999999999999E-2</v>
      </c>
      <c r="Q22" s="2664">
        <f t="shared" si="43"/>
        <v>1.52E-2</v>
      </c>
      <c r="R22" s="2665"/>
      <c r="S22" s="2663"/>
      <c r="T22" s="2664"/>
      <c r="U22" s="2664"/>
      <c r="V22" s="2664"/>
      <c r="X22" s="2753">
        <f>1+N22</f>
        <v>1.024</v>
      </c>
      <c r="Y22" s="2753">
        <f>1+O22</f>
        <v>1.0203</v>
      </c>
      <c r="Z22" s="2753">
        <f t="shared" si="52"/>
        <v>1.0203</v>
      </c>
      <c r="AA22" s="2753">
        <f>1+P22</f>
        <v>1.0259</v>
      </c>
      <c r="AB22" s="2753">
        <f>1+Q22</f>
        <v>1.0152000000000001</v>
      </c>
      <c r="AD22" s="2673">
        <f>ROUND(AVERAGE(I22:I$23)/100,4)</f>
        <v>2.69E-2</v>
      </c>
      <c r="AE22" s="2673">
        <f>ROUND(AVERAGE(J22:J$23)/100,4)</f>
        <v>2.1899999999999999E-2</v>
      </c>
      <c r="AF22" s="2673">
        <f t="shared" ref="AF22" si="53">AE22</f>
        <v>2.1899999999999999E-2</v>
      </c>
      <c r="AG22" s="2673">
        <f>ROUND(AVERAGE(K22:K$23)/100,4)</f>
        <v>2.9399999999999999E-2</v>
      </c>
      <c r="AH22" s="2673">
        <f>ROUND(AVERAGE(L22:L$23)/100,4)</f>
        <v>1.44E-2</v>
      </c>
    </row>
    <row r="23" spans="1:34" s="2690" customFormat="1" ht="13.8" thickBot="1">
      <c r="A23" s="2686" t="s">
        <v>926</v>
      </c>
      <c r="B23" s="2687">
        <f t="shared" si="50"/>
        <v>307.34512863658733</v>
      </c>
      <c r="C23" s="2687">
        <f t="shared" si="50"/>
        <v>257.80556031626975</v>
      </c>
      <c r="D23" s="2687">
        <f t="shared" si="45"/>
        <v>257.80556031626975</v>
      </c>
      <c r="E23" s="2687">
        <f t="shared" si="51"/>
        <v>422.70928459677179</v>
      </c>
      <c r="F23" s="2687">
        <f t="shared" si="51"/>
        <v>229.73803270336617</v>
      </c>
      <c r="G23" s="3445"/>
      <c r="H23" s="2688">
        <v>1</v>
      </c>
      <c r="I23" s="2688">
        <v>2.97</v>
      </c>
      <c r="J23" s="2688">
        <v>2.34</v>
      </c>
      <c r="K23" s="2688">
        <v>3.28</v>
      </c>
      <c r="L23" s="2689">
        <v>1.36</v>
      </c>
      <c r="N23" s="2691">
        <f t="shared" si="47"/>
        <v>2.9700000000000001E-2</v>
      </c>
      <c r="O23" s="2692">
        <f t="shared" si="43"/>
        <v>2.3399999999999997E-2</v>
      </c>
      <c r="P23" s="2692">
        <f t="shared" si="43"/>
        <v>3.2799999999999996E-2</v>
      </c>
      <c r="Q23" s="2692">
        <f t="shared" si="43"/>
        <v>1.3600000000000001E-2</v>
      </c>
      <c r="R23" s="2693"/>
      <c r="S23" s="2694">
        <f>B23/B24-1</f>
        <v>2.7910129219355539E-2</v>
      </c>
      <c r="T23" s="2695">
        <f>C23/C24-1</f>
        <v>2.3037937762975247E-2</v>
      </c>
      <c r="U23" s="2695">
        <f>E23/E24-1</f>
        <v>3.3519033243940788E-2</v>
      </c>
      <c r="V23" s="2695">
        <f>F23/F24-1</f>
        <v>1.2061818076502862E-2</v>
      </c>
      <c r="W23" s="2762" t="s">
        <v>2602</v>
      </c>
      <c r="X23" s="2764">
        <v>1</v>
      </c>
      <c r="Y23" s="2764">
        <v>1</v>
      </c>
      <c r="Z23" s="2764">
        <v>1</v>
      </c>
      <c r="AA23" s="2764">
        <v>1</v>
      </c>
      <c r="AB23" s="2764">
        <v>1</v>
      </c>
      <c r="AD23" s="3008">
        <f>I23/100</f>
        <v>2.9700000000000001E-2</v>
      </c>
      <c r="AE23" s="3008">
        <f>J23/100</f>
        <v>2.3399999999999997E-2</v>
      </c>
      <c r="AF23" s="3008">
        <f>AE23</f>
        <v>2.3399999999999997E-2</v>
      </c>
      <c r="AG23" s="3008">
        <f>K23/100</f>
        <v>3.2799999999999996E-2</v>
      </c>
      <c r="AH23" s="3008">
        <f>L23/100</f>
        <v>1.3600000000000001E-2</v>
      </c>
    </row>
    <row r="24" spans="1:34" ht="13.8" thickBot="1">
      <c r="A24" s="2654" t="s">
        <v>2545</v>
      </c>
      <c r="B24" s="2660">
        <v>299</v>
      </c>
      <c r="C24" s="2660">
        <v>252</v>
      </c>
      <c r="D24" s="2660">
        <f t="shared" si="45"/>
        <v>252</v>
      </c>
      <c r="E24" s="2660">
        <v>409</v>
      </c>
      <c r="F24" s="2661">
        <v>227</v>
      </c>
      <c r="G24" s="3450">
        <v>2013</v>
      </c>
      <c r="H24" s="2696">
        <v>4</v>
      </c>
      <c r="I24" s="2696">
        <v>1.83</v>
      </c>
      <c r="J24" s="2696">
        <v>1.68</v>
      </c>
      <c r="K24" s="2696">
        <v>1.97</v>
      </c>
      <c r="L24" s="2697">
        <v>0.87</v>
      </c>
      <c r="N24" s="2676">
        <f t="shared" si="47"/>
        <v>1.83E-2</v>
      </c>
      <c r="O24" s="2677">
        <f t="shared" si="43"/>
        <v>1.6799999999999999E-2</v>
      </c>
      <c r="P24" s="2677">
        <f t="shared" si="43"/>
        <v>1.9699999999999999E-2</v>
      </c>
      <c r="Q24" s="2677">
        <f t="shared" si="43"/>
        <v>8.6999999999999994E-3</v>
      </c>
      <c r="R24" s="2665"/>
      <c r="S24" s="2666"/>
      <c r="T24" s="2667"/>
      <c r="U24" s="2667"/>
      <c r="V24" s="2667"/>
      <c r="X24" s="2667"/>
      <c r="Y24" s="2667"/>
      <c r="Z24" s="2667"/>
    </row>
    <row r="25" spans="1:34">
      <c r="A25" s="2654" t="s">
        <v>2546</v>
      </c>
      <c r="B25" s="2668">
        <f t="shared" ref="B25:C27" si="54">B24/(1+N24)</f>
        <v>293.62663262299913</v>
      </c>
      <c r="C25" s="2668">
        <f t="shared" si="54"/>
        <v>247.83634933123525</v>
      </c>
      <c r="D25" s="2668">
        <f t="shared" si="45"/>
        <v>247.83634933123525</v>
      </c>
      <c r="E25" s="2668">
        <f t="shared" ref="E25:F27" si="55">E24/(1+P24)</f>
        <v>401.09836226341076</v>
      </c>
      <c r="F25" s="2668">
        <f t="shared" si="55"/>
        <v>225.04213343908003</v>
      </c>
      <c r="G25" s="3451"/>
      <c r="H25" s="2679">
        <v>3</v>
      </c>
      <c r="I25" s="2679">
        <v>1.86</v>
      </c>
      <c r="J25" s="2679">
        <v>1.72</v>
      </c>
      <c r="K25" s="2679">
        <v>1.98</v>
      </c>
      <c r="L25" s="2680">
        <v>0.88</v>
      </c>
      <c r="N25" s="2663">
        <f t="shared" si="47"/>
        <v>1.8600000000000002E-2</v>
      </c>
      <c r="O25" s="2681">
        <f t="shared" si="43"/>
        <v>1.72E-2</v>
      </c>
      <c r="P25" s="2681">
        <f t="shared" si="43"/>
        <v>1.9799999999999998E-2</v>
      </c>
      <c r="Q25" s="2681">
        <f t="shared" si="43"/>
        <v>8.8000000000000005E-3</v>
      </c>
      <c r="R25" s="2665"/>
      <c r="S25" s="2663"/>
      <c r="T25" s="2664"/>
      <c r="U25" s="2664"/>
      <c r="V25" s="2664"/>
    </row>
    <row r="26" spans="1:34">
      <c r="A26" s="2654" t="s">
        <v>2547</v>
      </c>
      <c r="B26" s="2668">
        <f t="shared" si="54"/>
        <v>288.2649053828776</v>
      </c>
      <c r="C26" s="2668">
        <f t="shared" si="54"/>
        <v>243.64564425013293</v>
      </c>
      <c r="D26" s="2668">
        <f t="shared" si="45"/>
        <v>243.64564425013293</v>
      </c>
      <c r="E26" s="2668">
        <f t="shared" si="55"/>
        <v>393.31080825986544</v>
      </c>
      <c r="F26" s="2668">
        <f t="shared" si="55"/>
        <v>223.07903790551154</v>
      </c>
      <c r="G26" s="3451"/>
      <c r="H26" s="2659">
        <v>2</v>
      </c>
      <c r="I26" s="2659">
        <v>2.04</v>
      </c>
      <c r="J26" s="2659">
        <v>2.33</v>
      </c>
      <c r="K26" s="2659">
        <v>2.0699999999999998</v>
      </c>
      <c r="L26" s="2670">
        <v>0.69</v>
      </c>
      <c r="N26" s="2663">
        <f t="shared" si="47"/>
        <v>2.0400000000000001E-2</v>
      </c>
      <c r="O26" s="2681">
        <f t="shared" si="43"/>
        <v>2.3300000000000001E-2</v>
      </c>
      <c r="P26" s="2681">
        <f t="shared" si="43"/>
        <v>2.07E-2</v>
      </c>
      <c r="Q26" s="2681">
        <f t="shared" si="43"/>
        <v>6.8999999999999999E-3</v>
      </c>
      <c r="R26" s="2665"/>
      <c r="S26" s="2663"/>
      <c r="T26" s="2664"/>
      <c r="U26" s="2664"/>
      <c r="V26" s="2664"/>
      <c r="X26" s="2765"/>
      <c r="Y26" s="2767"/>
    </row>
    <row r="27" spans="1:34">
      <c r="A27" s="2654" t="s">
        <v>2548</v>
      </c>
      <c r="B27" s="2668">
        <f t="shared" si="54"/>
        <v>282.50186729015837</v>
      </c>
      <c r="C27" s="2668">
        <f t="shared" si="54"/>
        <v>238.09796174155468</v>
      </c>
      <c r="D27" s="2668">
        <f t="shared" si="45"/>
        <v>238.09796174155468</v>
      </c>
      <c r="E27" s="2668">
        <f t="shared" si="55"/>
        <v>385.33438646014054</v>
      </c>
      <c r="F27" s="2668">
        <f t="shared" si="55"/>
        <v>221.55034055567739</v>
      </c>
      <c r="G27" s="3452"/>
      <c r="H27" s="2658">
        <v>1</v>
      </c>
      <c r="I27" s="2658">
        <v>1.67</v>
      </c>
      <c r="J27" s="2658">
        <v>1.31</v>
      </c>
      <c r="K27" s="2658">
        <v>1.85</v>
      </c>
      <c r="L27" s="2669">
        <v>0.96</v>
      </c>
      <c r="N27" s="2671">
        <f t="shared" si="47"/>
        <v>1.67E-2</v>
      </c>
      <c r="O27" s="2672">
        <f t="shared" si="43"/>
        <v>1.3100000000000001E-2</v>
      </c>
      <c r="P27" s="2672">
        <f t="shared" si="43"/>
        <v>1.8500000000000003E-2</v>
      </c>
      <c r="Q27" s="2672">
        <f t="shared" si="43"/>
        <v>9.5999999999999992E-3</v>
      </c>
      <c r="R27" s="2665"/>
      <c r="S27" s="2671">
        <f>B27/B28-1</f>
        <v>1.6193767230785472E-2</v>
      </c>
      <c r="T27" s="2672">
        <f>C27/C28-1</f>
        <v>1.7512657015190891E-2</v>
      </c>
      <c r="U27" s="2672">
        <f>E27/E28-1</f>
        <v>1.6713420739157048E-2</v>
      </c>
      <c r="V27" s="2672">
        <f>F27/F28-1</f>
        <v>7.0470025258062563E-3</v>
      </c>
      <c r="X27" s="2766"/>
      <c r="Y27" s="2673"/>
      <c r="Z27" s="2673"/>
    </row>
    <row r="28" spans="1:34" ht="13.8" thickBot="1">
      <c r="A28" s="2654" t="s">
        <v>2549</v>
      </c>
      <c r="B28" s="2698">
        <v>278</v>
      </c>
      <c r="C28" s="2698">
        <v>234</v>
      </c>
      <c r="D28" s="2698">
        <f t="shared" si="45"/>
        <v>234</v>
      </c>
      <c r="E28" s="2698">
        <v>379</v>
      </c>
      <c r="F28" s="2699">
        <v>220</v>
      </c>
      <c r="G28" s="3443">
        <v>2012</v>
      </c>
      <c r="H28" s="2674">
        <v>4</v>
      </c>
      <c r="I28" s="2674">
        <v>0.91</v>
      </c>
      <c r="J28" s="2674">
        <v>0.68</v>
      </c>
      <c r="K28" s="2674">
        <v>0.98</v>
      </c>
      <c r="L28" s="2675">
        <v>0.9</v>
      </c>
      <c r="N28" s="2663">
        <f t="shared" si="47"/>
        <v>9.1000000000000004E-3</v>
      </c>
      <c r="O28" s="2664">
        <f t="shared" si="47"/>
        <v>6.8000000000000005E-3</v>
      </c>
      <c r="P28" s="2664">
        <f t="shared" si="47"/>
        <v>9.7999999999999997E-3</v>
      </c>
      <c r="Q28" s="2664">
        <f t="shared" si="47"/>
        <v>9.0000000000000011E-3</v>
      </c>
      <c r="R28" s="2665"/>
      <c r="S28" s="2666"/>
      <c r="T28" s="2667"/>
      <c r="U28" s="2667"/>
      <c r="V28" s="2667"/>
      <c r="X28" s="2667"/>
      <c r="Y28" s="2667"/>
      <c r="Z28" s="2667"/>
    </row>
    <row r="29" spans="1:34">
      <c r="A29" s="2654" t="s">
        <v>2550</v>
      </c>
      <c r="B29" s="2668">
        <f>B28/(1+N28)</f>
        <v>275.49301357645425</v>
      </c>
      <c r="C29" s="2668">
        <f>C28/(1+O28)</f>
        <v>232.41954707985698</v>
      </c>
      <c r="D29" s="2668">
        <f t="shared" si="45"/>
        <v>232.41954707985698</v>
      </c>
      <c r="E29" s="2668">
        <f t="shared" ref="E29:F31" si="56">E28/(1+P28)</f>
        <v>375.32184591008121</v>
      </c>
      <c r="F29" s="2668">
        <f t="shared" si="56"/>
        <v>218.03766105054513</v>
      </c>
      <c r="G29" s="3444"/>
      <c r="H29" s="2679">
        <v>3</v>
      </c>
      <c r="I29" s="2679">
        <v>0.09</v>
      </c>
      <c r="J29" s="2679">
        <v>0.28999999999999998</v>
      </c>
      <c r="K29" s="2679">
        <v>-0.01</v>
      </c>
      <c r="L29" s="2680">
        <v>0.57999999999999996</v>
      </c>
      <c r="N29" s="2663">
        <f t="shared" si="47"/>
        <v>8.9999999999999998E-4</v>
      </c>
      <c r="O29" s="2664">
        <f t="shared" si="47"/>
        <v>2.8999999999999998E-3</v>
      </c>
      <c r="P29" s="2664">
        <f t="shared" si="47"/>
        <v>-1E-4</v>
      </c>
      <c r="Q29" s="2664">
        <f t="shared" si="47"/>
        <v>5.7999999999999996E-3</v>
      </c>
      <c r="R29" s="2665"/>
      <c r="S29" s="2663"/>
      <c r="T29" s="2664"/>
      <c r="U29" s="2664"/>
      <c r="V29" s="2664"/>
    </row>
    <row r="30" spans="1:34">
      <c r="A30" s="2654" t="s">
        <v>2551</v>
      </c>
      <c r="B30" s="2668">
        <f>B29/(1+N29)</f>
        <v>275.24529281292263</v>
      </c>
      <c r="C30" s="2668">
        <f>C29/(1+O29)</f>
        <v>231.74747938962707</v>
      </c>
      <c r="D30" s="2668">
        <f t="shared" si="45"/>
        <v>231.74747938962707</v>
      </c>
      <c r="E30" s="2668">
        <f t="shared" si="56"/>
        <v>375.35938184826603</v>
      </c>
      <c r="F30" s="2668">
        <f t="shared" si="56"/>
        <v>216.78033510692495</v>
      </c>
      <c r="G30" s="3444"/>
      <c r="H30" s="2659">
        <v>2</v>
      </c>
      <c r="I30" s="2659">
        <v>0.02</v>
      </c>
      <c r="J30" s="2659">
        <v>0.12</v>
      </c>
      <c r="K30" s="2659">
        <v>-0.08</v>
      </c>
      <c r="L30" s="2670">
        <v>1.24</v>
      </c>
      <c r="N30" s="2663">
        <f t="shared" si="47"/>
        <v>2.0000000000000001E-4</v>
      </c>
      <c r="O30" s="2664">
        <f t="shared" si="47"/>
        <v>1.1999999999999999E-3</v>
      </c>
      <c r="P30" s="2664">
        <f t="shared" si="47"/>
        <v>-8.0000000000000004E-4</v>
      </c>
      <c r="Q30" s="2664">
        <f t="shared" si="47"/>
        <v>1.24E-2</v>
      </c>
      <c r="R30" s="2665"/>
      <c r="S30" s="2663"/>
      <c r="T30" s="2664"/>
      <c r="U30" s="2664"/>
      <c r="V30" s="2664"/>
    </row>
    <row r="31" spans="1:34" ht="13.8" thickBot="1">
      <c r="A31" s="2654" t="s">
        <v>2552</v>
      </c>
      <c r="B31" s="2668">
        <f>B30/(1+N30)</f>
        <v>275.19025476197027</v>
      </c>
      <c r="C31" s="2700">
        <v>232</v>
      </c>
      <c r="D31" s="2700">
        <f t="shared" si="45"/>
        <v>232</v>
      </c>
      <c r="E31" s="2668">
        <f t="shared" si="56"/>
        <v>375.65990977608692</v>
      </c>
      <c r="F31" s="2668">
        <f t="shared" si="56"/>
        <v>214.12518283971252</v>
      </c>
      <c r="G31" s="3445"/>
      <c r="H31" s="2658">
        <v>1</v>
      </c>
      <c r="I31" s="2658">
        <v>0.02</v>
      </c>
      <c r="J31" s="2658">
        <v>0.13</v>
      </c>
      <c r="K31" s="2658">
        <v>-0.04</v>
      </c>
      <c r="L31" s="2669">
        <v>0.46</v>
      </c>
      <c r="N31" s="2663">
        <f t="shared" si="47"/>
        <v>2.0000000000000001E-4</v>
      </c>
      <c r="O31" s="2664">
        <f t="shared" si="47"/>
        <v>1.2999999999999999E-3</v>
      </c>
      <c r="P31" s="2664">
        <f t="shared" si="47"/>
        <v>-4.0000000000000002E-4</v>
      </c>
      <c r="Q31" s="2664">
        <f t="shared" si="47"/>
        <v>4.5999999999999999E-3</v>
      </c>
      <c r="R31" s="2665"/>
      <c r="S31" s="2671">
        <f>B31/B32-1</f>
        <v>6.9183549807361189E-4</v>
      </c>
      <c r="T31" s="2672">
        <f>C31/C32-1</f>
        <v>0</v>
      </c>
      <c r="U31" s="2672">
        <f>E31/E32-1</f>
        <v>-9.0449527636460303E-4</v>
      </c>
      <c r="V31" s="2672">
        <f>F31/F32-1</f>
        <v>5.2825485432512753E-3</v>
      </c>
      <c r="X31" s="2673"/>
      <c r="Y31" s="2673"/>
      <c r="Z31" s="2673"/>
    </row>
    <row r="32" spans="1:34" ht="13.8" thickBot="1">
      <c r="A32" s="2654" t="s">
        <v>2553</v>
      </c>
      <c r="B32" s="2660">
        <v>275</v>
      </c>
      <c r="C32" s="2660">
        <v>232</v>
      </c>
      <c r="D32" s="2660">
        <f t="shared" si="45"/>
        <v>232</v>
      </c>
      <c r="E32" s="2660">
        <v>376</v>
      </c>
      <c r="F32" s="2661">
        <v>213</v>
      </c>
      <c r="G32" s="3443">
        <v>2011</v>
      </c>
      <c r="H32" s="2674">
        <v>4</v>
      </c>
      <c r="I32" s="2674">
        <v>-0.2</v>
      </c>
      <c r="J32" s="2674">
        <v>0.04</v>
      </c>
      <c r="K32" s="2674">
        <v>-0.34</v>
      </c>
      <c r="L32" s="2675">
        <v>0.46</v>
      </c>
      <c r="N32" s="2676">
        <f t="shared" si="47"/>
        <v>-2E-3</v>
      </c>
      <c r="O32" s="2677">
        <f t="shared" si="47"/>
        <v>4.0000000000000002E-4</v>
      </c>
      <c r="P32" s="2677">
        <f t="shared" si="47"/>
        <v>-3.4000000000000002E-3</v>
      </c>
      <c r="Q32" s="2677">
        <f t="shared" si="47"/>
        <v>4.5999999999999999E-3</v>
      </c>
      <c r="R32" s="2665"/>
      <c r="S32" s="2666"/>
      <c r="T32" s="2667"/>
      <c r="U32" s="2667"/>
      <c r="V32" s="2667"/>
      <c r="X32" s="2667"/>
      <c r="Y32" s="2667"/>
      <c r="Z32" s="2667"/>
    </row>
    <row r="33" spans="1:26">
      <c r="A33" s="2654" t="s">
        <v>2554</v>
      </c>
      <c r="B33" s="2668">
        <f t="shared" ref="B33:C35" si="57">B32/(1+N32)</f>
        <v>275.55110220440883</v>
      </c>
      <c r="C33" s="2668">
        <f t="shared" si="57"/>
        <v>231.90723710515795</v>
      </c>
      <c r="D33" s="2668">
        <f t="shared" si="45"/>
        <v>231.90723710515795</v>
      </c>
      <c r="E33" s="2668">
        <f t="shared" ref="E33:F35" si="58">E32/(1+P32)</f>
        <v>377.28276138872161</v>
      </c>
      <c r="F33" s="2668">
        <f t="shared" si="58"/>
        <v>212.02468644236512</v>
      </c>
      <c r="G33" s="3444">
        <v>2011</v>
      </c>
      <c r="H33" s="2679">
        <v>3</v>
      </c>
      <c r="I33" s="2679">
        <v>0.13</v>
      </c>
      <c r="J33" s="2679">
        <v>0.75</v>
      </c>
      <c r="K33" s="2679">
        <v>-0.08</v>
      </c>
      <c r="L33" s="2680">
        <v>0.53</v>
      </c>
      <c r="N33" s="2663">
        <f t="shared" si="47"/>
        <v>1.2999999999999999E-3</v>
      </c>
      <c r="O33" s="2681">
        <f t="shared" si="47"/>
        <v>7.4999999999999997E-3</v>
      </c>
      <c r="P33" s="2681">
        <f t="shared" si="47"/>
        <v>-8.0000000000000004E-4</v>
      </c>
      <c r="Q33" s="2681">
        <f t="shared" si="47"/>
        <v>5.3E-3</v>
      </c>
      <c r="R33" s="2665"/>
      <c r="S33" s="2663"/>
      <c r="T33" s="2664"/>
      <c r="U33" s="2664"/>
      <c r="V33" s="2664"/>
    </row>
    <row r="34" spans="1:26">
      <c r="A34" s="2654" t="s">
        <v>2555</v>
      </c>
      <c r="B34" s="2668">
        <f t="shared" si="57"/>
        <v>275.19335084830601</v>
      </c>
      <c r="C34" s="2668">
        <f t="shared" si="57"/>
        <v>230.18088050139744</v>
      </c>
      <c r="D34" s="2668">
        <f t="shared" si="45"/>
        <v>230.18088050139744</v>
      </c>
      <c r="E34" s="2668">
        <f t="shared" si="58"/>
        <v>377.58482925212331</v>
      </c>
      <c r="F34" s="2668">
        <f t="shared" si="58"/>
        <v>210.90687997847917</v>
      </c>
      <c r="G34" s="3444">
        <v>2011</v>
      </c>
      <c r="H34" s="2659">
        <v>2</v>
      </c>
      <c r="I34" s="2659">
        <v>-0.4</v>
      </c>
      <c r="J34" s="2659">
        <v>0.17</v>
      </c>
      <c r="K34" s="2659">
        <v>-0.57999999999999996</v>
      </c>
      <c r="L34" s="2670">
        <v>-0.2</v>
      </c>
      <c r="N34" s="2663">
        <f t="shared" si="47"/>
        <v>-4.0000000000000001E-3</v>
      </c>
      <c r="O34" s="2681">
        <f t="shared" si="47"/>
        <v>1.7000000000000001E-3</v>
      </c>
      <c r="P34" s="2681">
        <f t="shared" si="47"/>
        <v>-5.7999999999999996E-3</v>
      </c>
      <c r="Q34" s="2681">
        <f t="shared" si="47"/>
        <v>-2E-3</v>
      </c>
      <c r="R34" s="2665"/>
      <c r="S34" s="2663"/>
      <c r="T34" s="2664"/>
      <c r="U34" s="2664"/>
      <c r="V34" s="2664"/>
    </row>
    <row r="35" spans="1:26" ht="13.8" thickBot="1">
      <c r="A35" s="2654" t="s">
        <v>2556</v>
      </c>
      <c r="B35" s="2668">
        <f t="shared" si="57"/>
        <v>276.29854502841971</v>
      </c>
      <c r="C35" s="2668">
        <f t="shared" si="57"/>
        <v>229.79023709833027</v>
      </c>
      <c r="D35" s="2668">
        <f t="shared" si="45"/>
        <v>229.79023709833027</v>
      </c>
      <c r="E35" s="2668">
        <f t="shared" si="58"/>
        <v>379.78759731655936</v>
      </c>
      <c r="F35" s="2668">
        <f t="shared" si="58"/>
        <v>211.32953905659235</v>
      </c>
      <c r="G35" s="3445">
        <v>2011</v>
      </c>
      <c r="H35" s="2658">
        <v>1</v>
      </c>
      <c r="I35" s="2658">
        <v>2.65</v>
      </c>
      <c r="J35" s="2658">
        <v>3.76</v>
      </c>
      <c r="K35" s="2658">
        <v>1.89</v>
      </c>
      <c r="L35" s="2669">
        <v>7.95</v>
      </c>
      <c r="N35" s="2671">
        <f t="shared" si="47"/>
        <v>2.6499999999999999E-2</v>
      </c>
      <c r="O35" s="2672">
        <f t="shared" si="47"/>
        <v>3.7599999999999995E-2</v>
      </c>
      <c r="P35" s="2672">
        <f t="shared" si="47"/>
        <v>1.89E-2</v>
      </c>
      <c r="Q35" s="2672">
        <f t="shared" si="47"/>
        <v>7.9500000000000001E-2</v>
      </c>
      <c r="R35" s="2665"/>
      <c r="S35" s="2671">
        <f>B35/B36-1</f>
        <v>2.713213765211786E-2</v>
      </c>
      <c r="T35" s="2672">
        <f>C35/C36-1</f>
        <v>3.9774828499231862E-2</v>
      </c>
      <c r="U35" s="2672">
        <f>E35/E36-1</f>
        <v>1.8197311840641772E-2</v>
      </c>
      <c r="V35" s="2672">
        <f>F35/F36-1</f>
        <v>7.8211933962205826E-2</v>
      </c>
      <c r="X35" s="2673"/>
      <c r="Y35" s="2673"/>
      <c r="Z35" s="2673"/>
    </row>
    <row r="36" spans="1:26" ht="13.8" thickBot="1">
      <c r="A36" s="2654" t="s">
        <v>2557</v>
      </c>
      <c r="B36" s="2660">
        <v>269</v>
      </c>
      <c r="C36" s="2660">
        <v>221</v>
      </c>
      <c r="D36" s="2660">
        <f t="shared" si="45"/>
        <v>221</v>
      </c>
      <c r="E36" s="2660">
        <v>373</v>
      </c>
      <c r="F36" s="2661">
        <v>196</v>
      </c>
      <c r="G36" s="3443">
        <v>2010</v>
      </c>
      <c r="H36" s="2674">
        <v>4</v>
      </c>
      <c r="I36" s="2674">
        <v>5.72</v>
      </c>
      <c r="J36" s="2674">
        <v>6.57</v>
      </c>
      <c r="K36" s="2674">
        <v>5.72</v>
      </c>
      <c r="L36" s="2675">
        <v>2.72</v>
      </c>
      <c r="N36" s="2663">
        <f t="shared" si="47"/>
        <v>5.7200000000000001E-2</v>
      </c>
      <c r="O36" s="2664">
        <f t="shared" si="47"/>
        <v>6.5700000000000008E-2</v>
      </c>
      <c r="P36" s="2664">
        <f t="shared" si="47"/>
        <v>5.7200000000000001E-2</v>
      </c>
      <c r="Q36" s="2664">
        <f t="shared" si="47"/>
        <v>2.7200000000000002E-2</v>
      </c>
      <c r="R36" s="2665"/>
      <c r="S36" s="2666"/>
      <c r="T36" s="2667"/>
      <c r="U36" s="2667"/>
      <c r="V36" s="2667"/>
      <c r="X36" s="2667"/>
      <c r="Y36" s="2667"/>
      <c r="Z36" s="2667"/>
    </row>
    <row r="37" spans="1:26">
      <c r="A37" s="2654" t="s">
        <v>2558</v>
      </c>
      <c r="B37" s="2668">
        <f t="shared" ref="B37:C39" si="59">B36/(1+N36)</f>
        <v>254.44570563753314</v>
      </c>
      <c r="C37" s="2668">
        <f t="shared" si="59"/>
        <v>207.37543398705074</v>
      </c>
      <c r="D37" s="2668">
        <f t="shared" si="45"/>
        <v>207.37543398705074</v>
      </c>
      <c r="E37" s="2668">
        <f t="shared" ref="E37:F39" si="60">E36/(1+P36)</f>
        <v>352.81876655315932</v>
      </c>
      <c r="F37" s="2668">
        <f t="shared" si="60"/>
        <v>190.809968847352</v>
      </c>
      <c r="G37" s="3444">
        <v>2010</v>
      </c>
      <c r="H37" s="2679">
        <v>3</v>
      </c>
      <c r="I37" s="2679">
        <v>4.7300000000000004</v>
      </c>
      <c r="J37" s="2679">
        <v>3.9</v>
      </c>
      <c r="K37" s="2679">
        <v>5.03</v>
      </c>
      <c r="L37" s="2680">
        <v>4.21</v>
      </c>
      <c r="N37" s="2663">
        <f t="shared" si="47"/>
        <v>4.7300000000000002E-2</v>
      </c>
      <c r="O37" s="2664">
        <f t="shared" si="47"/>
        <v>3.9E-2</v>
      </c>
      <c r="P37" s="2664">
        <f t="shared" si="47"/>
        <v>5.0300000000000004E-2</v>
      </c>
      <c r="Q37" s="2664">
        <f t="shared" si="47"/>
        <v>4.2099999999999999E-2</v>
      </c>
      <c r="R37" s="2665"/>
      <c r="S37" s="2663"/>
      <c r="T37" s="2664"/>
      <c r="U37" s="2664"/>
      <c r="V37" s="2664"/>
    </row>
    <row r="38" spans="1:26">
      <c r="A38" s="2654" t="s">
        <v>2559</v>
      </c>
      <c r="B38" s="2668">
        <f t="shared" si="59"/>
        <v>242.95398227588385</v>
      </c>
      <c r="C38" s="2668">
        <f t="shared" si="59"/>
        <v>199.59137053614126</v>
      </c>
      <c r="D38" s="2668">
        <f t="shared" si="45"/>
        <v>199.59137053614126</v>
      </c>
      <c r="E38" s="2668">
        <f t="shared" si="60"/>
        <v>335.92189522342125</v>
      </c>
      <c r="F38" s="2668">
        <f t="shared" si="60"/>
        <v>183.10139991109489</v>
      </c>
      <c r="G38" s="3444">
        <v>2010</v>
      </c>
      <c r="H38" s="2659">
        <v>2</v>
      </c>
      <c r="I38" s="2659">
        <v>4.6900000000000004</v>
      </c>
      <c r="J38" s="2659">
        <v>3.55</v>
      </c>
      <c r="K38" s="2659">
        <v>5.07</v>
      </c>
      <c r="L38" s="2670">
        <v>4.2300000000000004</v>
      </c>
      <c r="N38" s="2663">
        <f t="shared" si="47"/>
        <v>4.6900000000000004E-2</v>
      </c>
      <c r="O38" s="2664">
        <f t="shared" si="47"/>
        <v>3.5499999999999997E-2</v>
      </c>
      <c r="P38" s="2664">
        <f t="shared" si="47"/>
        <v>5.0700000000000002E-2</v>
      </c>
      <c r="Q38" s="2664">
        <f t="shared" si="47"/>
        <v>4.2300000000000004E-2</v>
      </c>
      <c r="R38" s="2665"/>
      <c r="S38" s="2663"/>
      <c r="T38" s="2664"/>
      <c r="U38" s="2664"/>
      <c r="V38" s="2664"/>
    </row>
    <row r="39" spans="1:26" ht="13.8" thickBot="1">
      <c r="A39" s="2654" t="s">
        <v>2560</v>
      </c>
      <c r="B39" s="2668">
        <f t="shared" si="59"/>
        <v>232.06990378821649</v>
      </c>
      <c r="C39" s="2668">
        <f t="shared" si="59"/>
        <v>192.74878854286936</v>
      </c>
      <c r="D39" s="2668">
        <f t="shared" si="45"/>
        <v>192.74878854286936</v>
      </c>
      <c r="E39" s="2668">
        <f t="shared" si="60"/>
        <v>319.71247284992984</v>
      </c>
      <c r="F39" s="2668">
        <f t="shared" si="60"/>
        <v>175.67053622862409</v>
      </c>
      <c r="G39" s="3445">
        <v>2010</v>
      </c>
      <c r="H39" s="2658">
        <v>1</v>
      </c>
      <c r="I39" s="2658">
        <v>5.4</v>
      </c>
      <c r="J39" s="2658">
        <v>3.2</v>
      </c>
      <c r="K39" s="2658">
        <v>6.16</v>
      </c>
      <c r="L39" s="2669">
        <v>4.51</v>
      </c>
      <c r="N39" s="2663">
        <f t="shared" si="47"/>
        <v>5.4000000000000006E-2</v>
      </c>
      <c r="O39" s="2664">
        <f t="shared" si="47"/>
        <v>3.2000000000000001E-2</v>
      </c>
      <c r="P39" s="2664">
        <f t="shared" si="47"/>
        <v>6.1600000000000002E-2</v>
      </c>
      <c r="Q39" s="2664">
        <f t="shared" si="47"/>
        <v>4.5100000000000001E-2</v>
      </c>
      <c r="R39" s="2665"/>
      <c r="S39" s="2671">
        <f>B39/B40-1</f>
        <v>5.4863199037347599E-2</v>
      </c>
      <c r="T39" s="2672">
        <f>C39/C40-1</f>
        <v>3.0742184721226584E-2</v>
      </c>
      <c r="U39" s="2672">
        <f>E39/E40-1</f>
        <v>6.2167683886810154E-2</v>
      </c>
      <c r="V39" s="2672">
        <f>F39/F40-1</f>
        <v>4.5657953741810031E-2</v>
      </c>
      <c r="X39" s="2673"/>
      <c r="Y39" s="2673"/>
      <c r="Z39" s="2673"/>
    </row>
    <row r="40" spans="1:26" ht="13.8" thickBot="1">
      <c r="A40" s="2654" t="s">
        <v>2561</v>
      </c>
      <c r="B40" s="2660">
        <v>220</v>
      </c>
      <c r="C40" s="2660">
        <v>187</v>
      </c>
      <c r="D40" s="2660">
        <f t="shared" si="45"/>
        <v>187</v>
      </c>
      <c r="E40" s="2660">
        <v>301</v>
      </c>
      <c r="F40" s="2661">
        <v>168</v>
      </c>
      <c r="G40" s="3443">
        <v>2009</v>
      </c>
      <c r="H40" s="2674">
        <v>4</v>
      </c>
      <c r="I40" s="2674">
        <v>2.2999999999999998</v>
      </c>
      <c r="J40" s="2674">
        <v>1.04</v>
      </c>
      <c r="K40" s="2674">
        <v>2.84</v>
      </c>
      <c r="L40" s="2675">
        <v>0.67</v>
      </c>
      <c r="N40" s="2676">
        <f t="shared" si="47"/>
        <v>2.3E-2</v>
      </c>
      <c r="O40" s="2677">
        <f t="shared" si="47"/>
        <v>1.04E-2</v>
      </c>
      <c r="P40" s="2677">
        <f t="shared" si="47"/>
        <v>2.8399999999999998E-2</v>
      </c>
      <c r="Q40" s="2677">
        <f t="shared" si="47"/>
        <v>6.7000000000000002E-3</v>
      </c>
      <c r="R40" s="2665"/>
      <c r="S40" s="2666"/>
      <c r="T40" s="2667"/>
      <c r="U40" s="2667"/>
      <c r="V40" s="2667"/>
      <c r="X40" s="2667"/>
      <c r="Y40" s="2667"/>
      <c r="Z40" s="2667"/>
    </row>
    <row r="41" spans="1:26">
      <c r="A41" s="2654" t="s">
        <v>2562</v>
      </c>
      <c r="B41" s="2668">
        <f t="shared" ref="B41:C43" si="61">B40/(1+N40)</f>
        <v>215.05376344086022</v>
      </c>
      <c r="C41" s="2668">
        <f t="shared" si="61"/>
        <v>185.0752177355503</v>
      </c>
      <c r="D41" s="2668">
        <f t="shared" si="45"/>
        <v>185.0752177355503</v>
      </c>
      <c r="E41" s="2668">
        <f t="shared" ref="E41:F43" si="62">E40/(1+P40)</f>
        <v>292.68767016725008</v>
      </c>
      <c r="F41" s="2668">
        <f t="shared" si="62"/>
        <v>166.88189132810174</v>
      </c>
      <c r="G41" s="3444">
        <v>2009</v>
      </c>
      <c r="H41" s="2679">
        <v>3</v>
      </c>
      <c r="I41" s="2679">
        <v>2.1</v>
      </c>
      <c r="J41" s="2679">
        <v>1.86</v>
      </c>
      <c r="K41" s="2679">
        <v>2.29</v>
      </c>
      <c r="L41" s="2680">
        <v>0.85</v>
      </c>
      <c r="N41" s="2663">
        <f t="shared" si="47"/>
        <v>2.1000000000000001E-2</v>
      </c>
      <c r="O41" s="2681">
        <f t="shared" si="47"/>
        <v>1.8600000000000002E-2</v>
      </c>
      <c r="P41" s="2681">
        <f t="shared" si="47"/>
        <v>2.29E-2</v>
      </c>
      <c r="Q41" s="2681">
        <f t="shared" si="47"/>
        <v>8.5000000000000006E-3</v>
      </c>
      <c r="R41" s="2665"/>
      <c r="S41" s="2663"/>
      <c r="T41" s="2664"/>
      <c r="U41" s="2664"/>
      <c r="V41" s="2664"/>
    </row>
    <row r="42" spans="1:26">
      <c r="A42" s="2654" t="s">
        <v>2563</v>
      </c>
      <c r="B42" s="2668">
        <f t="shared" si="61"/>
        <v>210.630522469011</v>
      </c>
      <c r="C42" s="2668">
        <f t="shared" si="61"/>
        <v>181.69567812247232</v>
      </c>
      <c r="D42" s="2668">
        <f t="shared" si="45"/>
        <v>181.69567812247232</v>
      </c>
      <c r="E42" s="2668">
        <f t="shared" si="62"/>
        <v>286.13517466736738</v>
      </c>
      <c r="F42" s="2668">
        <f t="shared" si="62"/>
        <v>165.47535084591149</v>
      </c>
      <c r="G42" s="3444">
        <v>2009</v>
      </c>
      <c r="H42" s="2659">
        <v>2</v>
      </c>
      <c r="I42" s="2659">
        <v>0.86</v>
      </c>
      <c r="J42" s="2659">
        <v>-1.1299999999999999</v>
      </c>
      <c r="K42" s="2659">
        <v>1.79</v>
      </c>
      <c r="L42" s="2670">
        <v>-2.0699999999999998</v>
      </c>
      <c r="N42" s="2663">
        <f t="shared" si="47"/>
        <v>8.6E-3</v>
      </c>
      <c r="O42" s="2681">
        <f t="shared" si="47"/>
        <v>-1.1299999999999999E-2</v>
      </c>
      <c r="P42" s="2681">
        <f t="shared" si="47"/>
        <v>1.7899999999999999E-2</v>
      </c>
      <c r="Q42" s="2681">
        <f t="shared" si="47"/>
        <v>-2.07E-2</v>
      </c>
      <c r="R42" s="2665"/>
      <c r="S42" s="2663"/>
      <c r="T42" s="2664"/>
      <c r="U42" s="2664"/>
      <c r="V42" s="2664"/>
    </row>
    <row r="43" spans="1:26">
      <c r="A43" s="2654" t="s">
        <v>2564</v>
      </c>
      <c r="B43" s="2668">
        <f t="shared" si="61"/>
        <v>208.83454537875372</v>
      </c>
      <c r="C43" s="2668">
        <f t="shared" si="61"/>
        <v>183.77230517090351</v>
      </c>
      <c r="D43" s="2668">
        <f t="shared" si="45"/>
        <v>183.77230517090351</v>
      </c>
      <c r="E43" s="2668">
        <f t="shared" si="62"/>
        <v>281.10342338870947</v>
      </c>
      <c r="F43" s="2668">
        <f t="shared" si="62"/>
        <v>168.97309388942256</v>
      </c>
      <c r="G43" s="3445">
        <v>2009</v>
      </c>
      <c r="H43" s="2658">
        <v>1</v>
      </c>
      <c r="I43" s="2658">
        <v>-2.64</v>
      </c>
      <c r="J43" s="2658">
        <v>-2.5299999999999998</v>
      </c>
      <c r="K43" s="2658">
        <v>-3.02</v>
      </c>
      <c r="L43" s="2669">
        <v>1.52</v>
      </c>
      <c r="N43" s="2671">
        <f t="shared" si="47"/>
        <v>-2.64E-2</v>
      </c>
      <c r="O43" s="2672">
        <f t="shared" si="47"/>
        <v>-2.53E-2</v>
      </c>
      <c r="P43" s="2672">
        <f t="shared" si="47"/>
        <v>-3.0200000000000001E-2</v>
      </c>
      <c r="Q43" s="2672">
        <f t="shared" si="47"/>
        <v>1.52E-2</v>
      </c>
      <c r="R43" s="2665"/>
      <c r="S43" s="2671">
        <f>B43/B44-1</f>
        <v>-2.4137638417038754E-2</v>
      </c>
      <c r="T43" s="2672">
        <f>C43/C44-1</f>
        <v>-2.248773845264096E-2</v>
      </c>
      <c r="U43" s="2672">
        <f>E43/E44-1</f>
        <v>-2.7323794502735366E-2</v>
      </c>
      <c r="V43" s="2672">
        <f>F43/F44-1</f>
        <v>1.7910204153148035E-2</v>
      </c>
      <c r="X43" s="2673"/>
      <c r="Y43" s="2673"/>
      <c r="Z43" s="2673"/>
    </row>
    <row r="44" spans="1:26" ht="13.8" thickBot="1">
      <c r="A44" s="2654" t="s">
        <v>2565</v>
      </c>
      <c r="B44" s="2698">
        <v>214</v>
      </c>
      <c r="C44" s="2698">
        <v>188</v>
      </c>
      <c r="D44" s="2698">
        <f t="shared" si="45"/>
        <v>188</v>
      </c>
      <c r="E44" s="2698">
        <v>289</v>
      </c>
      <c r="F44" s="2699">
        <v>166</v>
      </c>
      <c r="G44" s="3443">
        <v>2008</v>
      </c>
      <c r="H44" s="2674">
        <v>4</v>
      </c>
      <c r="I44" s="2674">
        <v>1.73</v>
      </c>
      <c r="J44" s="2674">
        <v>0.03</v>
      </c>
      <c r="K44" s="2674">
        <v>2.59</v>
      </c>
      <c r="L44" s="2675">
        <v>-1.66</v>
      </c>
      <c r="N44" s="2663">
        <f t="shared" si="47"/>
        <v>1.7299999999999999E-2</v>
      </c>
      <c r="O44" s="2664">
        <f t="shared" si="47"/>
        <v>2.9999999999999997E-4</v>
      </c>
      <c r="P44" s="2664">
        <f t="shared" si="47"/>
        <v>2.5899999999999999E-2</v>
      </c>
      <c r="Q44" s="2664">
        <f t="shared" si="47"/>
        <v>-1.66E-2</v>
      </c>
      <c r="R44" s="2665"/>
      <c r="S44" s="2666"/>
      <c r="T44" s="2667"/>
      <c r="U44" s="2667"/>
      <c r="V44" s="2667"/>
      <c r="X44" s="2667"/>
      <c r="Y44" s="2667"/>
      <c r="Z44" s="2667"/>
    </row>
    <row r="45" spans="1:26">
      <c r="A45" s="2654" t="s">
        <v>2566</v>
      </c>
      <c r="B45" s="2668">
        <f t="shared" ref="B45:C47" si="63">B44/(1+N44)</f>
        <v>210.36075887152265</v>
      </c>
      <c r="C45" s="2668">
        <f t="shared" si="63"/>
        <v>187.94361691492554</v>
      </c>
      <c r="D45" s="2668">
        <f t="shared" si="45"/>
        <v>187.94361691492554</v>
      </c>
      <c r="E45" s="2668">
        <f t="shared" ref="E45:F47" si="64">E44/(1+P44)</f>
        <v>281.70386977288234</v>
      </c>
      <c r="F45" s="2668">
        <f t="shared" si="64"/>
        <v>168.80211511083994</v>
      </c>
      <c r="G45" s="3444">
        <v>2008</v>
      </c>
      <c r="H45" s="2679">
        <v>3</v>
      </c>
      <c r="I45" s="2679">
        <v>1.96</v>
      </c>
      <c r="J45" s="2679">
        <v>2.36</v>
      </c>
      <c r="K45" s="2679">
        <v>1.82</v>
      </c>
      <c r="L45" s="2680">
        <v>2.2200000000000002</v>
      </c>
      <c r="N45" s="2663">
        <f t="shared" si="47"/>
        <v>1.9599999999999999E-2</v>
      </c>
      <c r="O45" s="2664">
        <f t="shared" si="47"/>
        <v>2.3599999999999999E-2</v>
      </c>
      <c r="P45" s="2664">
        <f t="shared" si="47"/>
        <v>1.8200000000000001E-2</v>
      </c>
      <c r="Q45" s="2664">
        <f t="shared" si="47"/>
        <v>2.2200000000000001E-2</v>
      </c>
      <c r="R45" s="2665"/>
      <c r="S45" s="2663"/>
      <c r="T45" s="2664"/>
      <c r="U45" s="2664"/>
      <c r="V45" s="2664"/>
    </row>
    <row r="46" spans="1:26">
      <c r="A46" s="2654" t="s">
        <v>2567</v>
      </c>
      <c r="B46" s="2668">
        <f t="shared" si="63"/>
        <v>206.31694671589116</v>
      </c>
      <c r="C46" s="2668">
        <f t="shared" si="63"/>
        <v>183.61041121036101</v>
      </c>
      <c r="D46" s="2668">
        <f t="shared" si="45"/>
        <v>183.61041121036101</v>
      </c>
      <c r="E46" s="2668">
        <f t="shared" si="64"/>
        <v>276.66850301795557</v>
      </c>
      <c r="F46" s="2668">
        <f t="shared" si="64"/>
        <v>165.1360938278614</v>
      </c>
      <c r="G46" s="3444">
        <v>2008</v>
      </c>
      <c r="H46" s="2659">
        <v>2</v>
      </c>
      <c r="I46" s="2659">
        <v>4.93</v>
      </c>
      <c r="J46" s="2659">
        <v>7.38</v>
      </c>
      <c r="K46" s="2659">
        <v>3.98</v>
      </c>
      <c r="L46" s="2670">
        <v>6.86</v>
      </c>
      <c r="N46" s="2663">
        <f t="shared" si="47"/>
        <v>4.9299999999999997E-2</v>
      </c>
      <c r="O46" s="2664">
        <f t="shared" si="47"/>
        <v>7.3800000000000004E-2</v>
      </c>
      <c r="P46" s="2664">
        <f t="shared" si="47"/>
        <v>3.9800000000000002E-2</v>
      </c>
      <c r="Q46" s="2664">
        <f t="shared" si="47"/>
        <v>6.8600000000000008E-2</v>
      </c>
      <c r="R46" s="2665"/>
      <c r="S46" s="2663"/>
      <c r="T46" s="2664"/>
      <c r="U46" s="2664"/>
      <c r="V46" s="2664"/>
    </row>
    <row r="47" spans="1:26" s="2704" customFormat="1" ht="13.8" thickBot="1">
      <c r="A47" s="2654" t="s">
        <v>2568</v>
      </c>
      <c r="B47" s="2701">
        <f t="shared" si="63"/>
        <v>196.62341248059772</v>
      </c>
      <c r="C47" s="2701">
        <f t="shared" si="63"/>
        <v>170.99125648199012</v>
      </c>
      <c r="D47" s="2701">
        <f t="shared" si="45"/>
        <v>170.99125648199012</v>
      </c>
      <c r="E47" s="2701">
        <f t="shared" si="64"/>
        <v>266.07857570490052</v>
      </c>
      <c r="F47" s="2701">
        <f t="shared" si="64"/>
        <v>154.53499328828505</v>
      </c>
      <c r="G47" s="3445">
        <v>2008</v>
      </c>
      <c r="H47" s="2702">
        <v>1</v>
      </c>
      <c r="I47" s="2702">
        <v>4.1399999999999997</v>
      </c>
      <c r="J47" s="2702">
        <v>3.45</v>
      </c>
      <c r="K47" s="2702">
        <v>4.95</v>
      </c>
      <c r="L47" s="2703">
        <v>4.82</v>
      </c>
      <c r="N47" s="2705">
        <f t="shared" si="47"/>
        <v>4.1399999999999999E-2</v>
      </c>
      <c r="O47" s="2706">
        <f t="shared" si="47"/>
        <v>3.4500000000000003E-2</v>
      </c>
      <c r="P47" s="2706">
        <f t="shared" si="47"/>
        <v>4.9500000000000002E-2</v>
      </c>
      <c r="Q47" s="2706">
        <f t="shared" si="47"/>
        <v>4.82E-2</v>
      </c>
      <c r="R47" s="2707"/>
      <c r="S47" s="2705">
        <f>B47/B48-1</f>
        <v>4.5869215322328349E-2</v>
      </c>
      <c r="T47" s="2706">
        <f>C47/C48-1</f>
        <v>3.6310645345394743E-2</v>
      </c>
      <c r="U47" s="2706">
        <f>E47/E48-1</f>
        <v>4.7553447657088688E-2</v>
      </c>
      <c r="V47" s="2706">
        <f>F47/F48-1</f>
        <v>4.4155360055980086E-2</v>
      </c>
      <c r="X47" s="2708"/>
      <c r="Y47" s="2708"/>
      <c r="Z47" s="2708"/>
    </row>
    <row r="48" spans="1:26" ht="13.8" thickBot="1">
      <c r="A48" s="2654" t="s">
        <v>2569</v>
      </c>
      <c r="B48" s="2660">
        <v>188</v>
      </c>
      <c r="C48" s="2660">
        <v>165</v>
      </c>
      <c r="D48" s="2660">
        <f t="shared" si="45"/>
        <v>165</v>
      </c>
      <c r="E48" s="2660">
        <v>254</v>
      </c>
      <c r="F48" s="2661">
        <v>148</v>
      </c>
      <c r="G48" s="3443">
        <v>2007</v>
      </c>
      <c r="H48" s="2709">
        <v>4</v>
      </c>
      <c r="I48" s="2709">
        <v>5.51</v>
      </c>
      <c r="J48" s="2709">
        <v>4.8899999999999997</v>
      </c>
      <c r="K48" s="2709">
        <v>6.43</v>
      </c>
      <c r="L48" s="2710">
        <v>5.36</v>
      </c>
      <c r="N48" s="2711">
        <f t="shared" ref="N48:O51" si="65">B48/B49-1</f>
        <v>4.1339718365245526E-2</v>
      </c>
      <c r="O48" s="2712">
        <f t="shared" si="65"/>
        <v>4.0324492593776018E-2</v>
      </c>
      <c r="P48" s="2712">
        <f t="shared" ref="P48:Q51" si="66">E48/E49-1</f>
        <v>6.1625555347990968E-2</v>
      </c>
      <c r="Q48" s="2712">
        <f t="shared" si="66"/>
        <v>4.6757569250590603E-2</v>
      </c>
      <c r="R48" s="2665"/>
      <c r="S48" s="2666"/>
      <c r="T48" s="2667"/>
      <c r="U48" s="2667"/>
      <c r="V48" s="2667"/>
      <c r="X48" s="2667"/>
      <c r="Y48" s="2667"/>
      <c r="Z48" s="2667"/>
    </row>
    <row r="49" spans="1:26">
      <c r="A49" s="2654" t="s">
        <v>2570</v>
      </c>
      <c r="B49" s="2668">
        <f t="shared" ref="B49:C51" si="67">B50+(B$48-B$52)*I49/SUM(I$48:I$51)</f>
        <v>180.5366651097618</v>
      </c>
      <c r="C49" s="2668">
        <f t="shared" si="67"/>
        <v>158.60435967302453</v>
      </c>
      <c r="D49" s="2668">
        <f t="shared" si="45"/>
        <v>158.60435967302453</v>
      </c>
      <c r="E49" s="2668">
        <f t="shared" ref="E49:F51" si="68">E50+(E$48-E$52)*K49/SUM(K$48:K$51)</f>
        <v>239.25573260785075</v>
      </c>
      <c r="F49" s="2668">
        <f t="shared" si="68"/>
        <v>141.38899430740037</v>
      </c>
      <c r="G49" s="3444">
        <v>2007</v>
      </c>
      <c r="H49" s="2679">
        <v>3</v>
      </c>
      <c r="I49" s="2679">
        <v>8.65</v>
      </c>
      <c r="J49" s="2679">
        <v>8.06</v>
      </c>
      <c r="K49" s="2679">
        <v>9.94</v>
      </c>
      <c r="L49" s="2680">
        <v>5.8</v>
      </c>
      <c r="N49" s="2711">
        <f t="shared" si="65"/>
        <v>6.940217571740015E-2</v>
      </c>
      <c r="O49" s="2712">
        <f t="shared" si="65"/>
        <v>7.1197482471153428E-2</v>
      </c>
      <c r="P49" s="2712">
        <f t="shared" si="66"/>
        <v>0.10529679922579582</v>
      </c>
      <c r="Q49" s="2712">
        <f t="shared" si="66"/>
        <v>5.3292245059512133E-2</v>
      </c>
      <c r="R49" s="2665"/>
      <c r="S49" s="2663"/>
      <c r="T49" s="2664"/>
      <c r="U49" s="2664"/>
      <c r="V49" s="2664"/>
      <c r="X49" s="2713"/>
      <c r="Y49" s="2713"/>
      <c r="Z49" s="2713"/>
    </row>
    <row r="50" spans="1:26">
      <c r="A50" s="2654" t="s">
        <v>2571</v>
      </c>
      <c r="B50" s="2668">
        <f t="shared" si="67"/>
        <v>168.82017748715555</v>
      </c>
      <c r="C50" s="2668">
        <f t="shared" si="67"/>
        <v>148.06267029972753</v>
      </c>
      <c r="D50" s="2668">
        <f t="shared" si="45"/>
        <v>148.06267029972753</v>
      </c>
      <c r="E50" s="2668">
        <f t="shared" si="68"/>
        <v>216.46288379323747</v>
      </c>
      <c r="F50" s="2668">
        <f t="shared" si="68"/>
        <v>134.23529411764704</v>
      </c>
      <c r="G50" s="3444">
        <v>2007</v>
      </c>
      <c r="H50" s="2659">
        <v>2</v>
      </c>
      <c r="I50" s="2659">
        <v>3.67</v>
      </c>
      <c r="J50" s="2659">
        <v>2.3199999999999998</v>
      </c>
      <c r="K50" s="2659">
        <v>5.0199999999999996</v>
      </c>
      <c r="L50" s="2670">
        <v>6.71</v>
      </c>
      <c r="N50" s="2711">
        <f t="shared" si="65"/>
        <v>3.0339138143848032E-2</v>
      </c>
      <c r="O50" s="2712">
        <f t="shared" si="65"/>
        <v>2.0922341588790472E-2</v>
      </c>
      <c r="P50" s="2712">
        <f t="shared" si="66"/>
        <v>5.6164796592717003E-2</v>
      </c>
      <c r="Q50" s="2712">
        <f t="shared" si="66"/>
        <v>6.5704536723887319E-2</v>
      </c>
      <c r="R50" s="2665"/>
      <c r="S50" s="2663"/>
      <c r="T50" s="2664"/>
      <c r="U50" s="2664"/>
      <c r="V50" s="2664"/>
      <c r="X50" s="2713"/>
      <c r="Y50" s="2713"/>
      <c r="Z50" s="2713"/>
    </row>
    <row r="51" spans="1:26">
      <c r="A51" s="2654" t="s">
        <v>2572</v>
      </c>
      <c r="B51" s="2668">
        <f t="shared" si="67"/>
        <v>163.84913591779542</v>
      </c>
      <c r="C51" s="2668">
        <f t="shared" si="67"/>
        <v>145.0283378746594</v>
      </c>
      <c r="D51" s="2668">
        <f t="shared" si="45"/>
        <v>145.0283378746594</v>
      </c>
      <c r="E51" s="2668">
        <f t="shared" si="68"/>
        <v>204.95180722891567</v>
      </c>
      <c r="F51" s="2668">
        <f t="shared" si="68"/>
        <v>125.95920303605313</v>
      </c>
      <c r="G51" s="3445">
        <v>2007</v>
      </c>
      <c r="H51" s="2658">
        <v>1</v>
      </c>
      <c r="I51" s="2658">
        <v>3.58</v>
      </c>
      <c r="J51" s="2658">
        <v>3.08</v>
      </c>
      <c r="K51" s="2658">
        <v>4.34</v>
      </c>
      <c r="L51" s="2669">
        <v>3.21</v>
      </c>
      <c r="N51" s="2714">
        <f t="shared" si="65"/>
        <v>3.0497710174814063E-2</v>
      </c>
      <c r="O51" s="2715">
        <f t="shared" si="65"/>
        <v>2.8569772160704998E-2</v>
      </c>
      <c r="P51" s="2715">
        <f t="shared" si="66"/>
        <v>5.1034908866234296E-2</v>
      </c>
      <c r="Q51" s="2715">
        <f t="shared" si="66"/>
        <v>3.245248390207478E-2</v>
      </c>
      <c r="R51" s="2665"/>
      <c r="S51" s="2671">
        <f>B51/B52-1</f>
        <v>3.0497710174814063E-2</v>
      </c>
      <c r="T51" s="2672">
        <f>C51/C52-1</f>
        <v>2.8569772160704998E-2</v>
      </c>
      <c r="U51" s="2672">
        <f>E51/E52-1</f>
        <v>5.1034908866234296E-2</v>
      </c>
      <c r="V51" s="2672">
        <f>F51/F52-1</f>
        <v>3.245248390207478E-2</v>
      </c>
      <c r="X51" s="2713"/>
      <c r="Y51" s="2713"/>
      <c r="Z51" s="2713"/>
    </row>
    <row r="52" spans="1:26" ht="13.8" thickBot="1">
      <c r="A52" s="2654" t="s">
        <v>2573</v>
      </c>
      <c r="B52" s="2682">
        <v>159</v>
      </c>
      <c r="C52" s="2682">
        <v>141</v>
      </c>
      <c r="D52" s="2682">
        <f t="shared" si="45"/>
        <v>141</v>
      </c>
      <c r="E52" s="2682">
        <v>195</v>
      </c>
      <c r="F52" s="2683">
        <v>122</v>
      </c>
      <c r="G52" s="3443">
        <v>2006</v>
      </c>
      <c r="H52" s="2674">
        <v>4</v>
      </c>
      <c r="I52" s="2674">
        <v>3.79</v>
      </c>
      <c r="J52" s="2674">
        <v>2.21</v>
      </c>
      <c r="K52" s="2674">
        <v>5.65</v>
      </c>
      <c r="L52" s="2675">
        <v>5.41</v>
      </c>
      <c r="N52" s="2711">
        <f t="shared" ref="N52:O55" si="69">I52/SUM(I$52:I$55)*(B$52/B$56-1)</f>
        <v>7.245466462748526E-2</v>
      </c>
      <c r="O52" s="2712">
        <f t="shared" si="69"/>
        <v>2.3237230038062766E-2</v>
      </c>
      <c r="P52" s="2712">
        <f t="shared" ref="P52:Q55" si="70">K52/SUM(K$52:K$55)*(E$52/E$56-1)</f>
        <v>0.16146893866323722</v>
      </c>
      <c r="Q52" s="2712">
        <f t="shared" si="70"/>
        <v>5.0755230321793784E-2</v>
      </c>
      <c r="R52" s="2665"/>
      <c r="S52" s="2666"/>
      <c r="T52" s="2667"/>
      <c r="U52" s="2667"/>
      <c r="V52" s="2667"/>
      <c r="X52" s="2713"/>
      <c r="Y52" s="2713"/>
      <c r="Z52" s="2713"/>
    </row>
    <row r="53" spans="1:26">
      <c r="A53" s="2654" t="s">
        <v>2574</v>
      </c>
      <c r="B53" s="2668">
        <f t="shared" ref="B53:C55" si="71">B54+(B$52-B$56)*I53/SUM(I$52:I$55)</f>
        <v>149.00125628140702</v>
      </c>
      <c r="C53" s="2668">
        <f t="shared" si="71"/>
        <v>137.95592286501378</v>
      </c>
      <c r="D53" s="2668">
        <f t="shared" si="45"/>
        <v>137.95592286501378</v>
      </c>
      <c r="E53" s="2668">
        <f t="shared" ref="E53:F55" si="72">E54+(E$52-E$56)*K53/SUM(K$52:K$55)</f>
        <v>169.97231450719823</v>
      </c>
      <c r="F53" s="2668">
        <f t="shared" si="72"/>
        <v>116.21390374331551</v>
      </c>
      <c r="G53" s="3444">
        <v>2006</v>
      </c>
      <c r="H53" s="2679">
        <v>3</v>
      </c>
      <c r="I53" s="2679">
        <v>0.92</v>
      </c>
      <c r="J53" s="2679">
        <v>1.08</v>
      </c>
      <c r="K53" s="2679">
        <v>0.73</v>
      </c>
      <c r="L53" s="2680">
        <v>1.08</v>
      </c>
      <c r="N53" s="2711">
        <f t="shared" si="69"/>
        <v>1.7587939698492462E-2</v>
      </c>
      <c r="O53" s="2712">
        <f t="shared" si="69"/>
        <v>1.1355750425840628E-2</v>
      </c>
      <c r="P53" s="2712">
        <f t="shared" si="70"/>
        <v>2.0862358446754544E-2</v>
      </c>
      <c r="Q53" s="2712">
        <f t="shared" si="70"/>
        <v>1.0132282578103011E-2</v>
      </c>
      <c r="R53" s="2665"/>
      <c r="S53" s="2663"/>
      <c r="T53" s="2664"/>
      <c r="U53" s="2664"/>
      <c r="V53" s="2664"/>
      <c r="X53" s="2713"/>
      <c r="Y53" s="2713"/>
      <c r="Z53" s="2713"/>
    </row>
    <row r="54" spans="1:26">
      <c r="A54" s="2654" t="s">
        <v>2575</v>
      </c>
      <c r="B54" s="2668">
        <f t="shared" si="71"/>
        <v>146.57412060301507</v>
      </c>
      <c r="C54" s="2668">
        <f t="shared" si="71"/>
        <v>136.46831955922866</v>
      </c>
      <c r="D54" s="2668">
        <f t="shared" si="45"/>
        <v>136.46831955922866</v>
      </c>
      <c r="E54" s="2668">
        <f t="shared" si="72"/>
        <v>166.73864894795128</v>
      </c>
      <c r="F54" s="2668">
        <f t="shared" si="72"/>
        <v>115.05882352941177</v>
      </c>
      <c r="G54" s="3444">
        <v>2006</v>
      </c>
      <c r="H54" s="2659">
        <v>2</v>
      </c>
      <c r="I54" s="2659">
        <v>0.96</v>
      </c>
      <c r="J54" s="2659">
        <v>0.25</v>
      </c>
      <c r="K54" s="2659">
        <v>1.9</v>
      </c>
      <c r="L54" s="2670">
        <v>0.95</v>
      </c>
      <c r="N54" s="2711">
        <f t="shared" si="69"/>
        <v>1.8352632728861701E-2</v>
      </c>
      <c r="O54" s="2712">
        <f t="shared" si="69"/>
        <v>2.6286459319075526E-3</v>
      </c>
      <c r="P54" s="2712">
        <f t="shared" si="70"/>
        <v>5.4299289107991269E-2</v>
      </c>
      <c r="Q54" s="2712">
        <f t="shared" si="70"/>
        <v>8.9126559714794995E-3</v>
      </c>
      <c r="R54" s="2665"/>
      <c r="S54" s="2663"/>
      <c r="T54" s="2664"/>
      <c r="U54" s="2664"/>
      <c r="V54" s="2664"/>
      <c r="X54" s="2713"/>
      <c r="Y54" s="2713"/>
      <c r="Z54" s="2713"/>
    </row>
    <row r="55" spans="1:26">
      <c r="A55" s="2654" t="s">
        <v>2576</v>
      </c>
      <c r="B55" s="2668">
        <f t="shared" si="71"/>
        <v>144.04145728643215</v>
      </c>
      <c r="C55" s="2668">
        <f t="shared" si="71"/>
        <v>136.12396694214877</v>
      </c>
      <c r="D55" s="2668">
        <f t="shared" si="45"/>
        <v>136.12396694214877</v>
      </c>
      <c r="E55" s="2668">
        <f t="shared" si="72"/>
        <v>158.32225913621264</v>
      </c>
      <c r="F55" s="2668">
        <f t="shared" si="72"/>
        <v>114.04278074866311</v>
      </c>
      <c r="G55" s="3445">
        <v>2006</v>
      </c>
      <c r="H55" s="2658">
        <v>1</v>
      </c>
      <c r="I55" s="2658">
        <v>2.29</v>
      </c>
      <c r="J55" s="2658">
        <v>3.72</v>
      </c>
      <c r="K55" s="2658">
        <v>0.75</v>
      </c>
      <c r="L55" s="2669">
        <v>0.04</v>
      </c>
      <c r="N55" s="2714">
        <f t="shared" si="69"/>
        <v>4.3778675988638847E-2</v>
      </c>
      <c r="O55" s="2715">
        <f t="shared" si="69"/>
        <v>3.9114251466784385E-2</v>
      </c>
      <c r="P55" s="2715">
        <f t="shared" si="70"/>
        <v>2.1433929911049188E-2</v>
      </c>
      <c r="Q55" s="2715">
        <f t="shared" si="70"/>
        <v>3.7526972511492629E-4</v>
      </c>
      <c r="R55" s="2665"/>
      <c r="S55" s="2671">
        <f>B55/B56-1</f>
        <v>4.3778675988638716E-2</v>
      </c>
      <c r="T55" s="2672">
        <f>C55/C56-1</f>
        <v>3.91142514667846E-2</v>
      </c>
      <c r="U55" s="2672">
        <f>E55/E56-1</f>
        <v>2.143392991104931E-2</v>
      </c>
      <c r="V55" s="2672">
        <f>F55/F56-1</f>
        <v>3.7526972511492396E-4</v>
      </c>
      <c r="X55" s="2713"/>
      <c r="Y55" s="2713"/>
      <c r="Z55" s="2713"/>
    </row>
    <row r="56" spans="1:26" ht="13.8" thickBot="1">
      <c r="A56" s="2654" t="s">
        <v>2577</v>
      </c>
      <c r="B56" s="2682">
        <v>138</v>
      </c>
      <c r="C56" s="2682">
        <v>131</v>
      </c>
      <c r="D56" s="2682">
        <f t="shared" si="45"/>
        <v>131</v>
      </c>
      <c r="E56" s="2682">
        <v>155</v>
      </c>
      <c r="F56" s="2683">
        <v>114</v>
      </c>
      <c r="G56" s="3443">
        <v>2005</v>
      </c>
      <c r="H56" s="2674">
        <v>4</v>
      </c>
      <c r="I56" s="2674">
        <v>3.29</v>
      </c>
      <c r="J56" s="2674">
        <v>1.44</v>
      </c>
      <c r="K56" s="2674">
        <v>0.66</v>
      </c>
      <c r="L56" s="2675">
        <v>7.78</v>
      </c>
      <c r="N56" s="2711">
        <f t="shared" ref="N56:O59" si="73">I56/SUM(I$56:I$59)*(B$56/B$60-1)</f>
        <v>9.9404603216919935E-2</v>
      </c>
      <c r="O56" s="2712">
        <f t="shared" si="73"/>
        <v>4.7636550760861554E-2</v>
      </c>
      <c r="P56" s="2712">
        <f t="shared" ref="P56:Q59" si="74">K56/SUM(K$56:K$59)*(E$56/E$60-1)</f>
        <v>8.3756345177664976E-2</v>
      </c>
      <c r="Q56" s="2712">
        <f t="shared" si="74"/>
        <v>5.2148766661559584E-2</v>
      </c>
      <c r="R56" s="2665"/>
      <c r="S56" s="2666"/>
      <c r="T56" s="2667"/>
      <c r="U56" s="2667"/>
      <c r="V56" s="2667"/>
      <c r="X56" s="2713"/>
      <c r="Y56" s="2713"/>
      <c r="Z56" s="2713"/>
    </row>
    <row r="57" spans="1:26">
      <c r="A57" s="2654" t="s">
        <v>2578</v>
      </c>
      <c r="B57" s="2668">
        <f t="shared" ref="B57:C59" si="75">B58+(B$56-B$60)*I57/SUM(I$56:I$59)</f>
        <v>125.9720430107527</v>
      </c>
      <c r="C57" s="2668">
        <f t="shared" si="75"/>
        <v>125.1883408071749</v>
      </c>
      <c r="D57" s="2668">
        <f t="shared" si="45"/>
        <v>125.1883408071749</v>
      </c>
      <c r="E57" s="2668">
        <f t="shared" ref="E57:F59" si="76">E58+(E$56-E$60)*K57/SUM(K$56:K$59)</f>
        <v>144.61421319796952</v>
      </c>
      <c r="F57" s="2668">
        <f t="shared" si="76"/>
        <v>108.42008196721311</v>
      </c>
      <c r="G57" s="3444">
        <v>2005</v>
      </c>
      <c r="H57" s="2679">
        <v>3</v>
      </c>
      <c r="I57" s="2679">
        <v>0.46</v>
      </c>
      <c r="J57" s="2679">
        <v>0.32</v>
      </c>
      <c r="K57" s="2679">
        <v>0.42</v>
      </c>
      <c r="L57" s="2680">
        <v>0.64</v>
      </c>
      <c r="N57" s="2711">
        <f t="shared" si="73"/>
        <v>1.3898515951301874E-2</v>
      </c>
      <c r="O57" s="2712">
        <f t="shared" si="73"/>
        <v>1.0585900169080346E-2</v>
      </c>
      <c r="P57" s="2712">
        <f t="shared" si="74"/>
        <v>5.3299492385786795E-2</v>
      </c>
      <c r="Q57" s="2712">
        <f t="shared" si="74"/>
        <v>4.2898728359123568E-3</v>
      </c>
      <c r="R57" s="2665"/>
      <c r="S57" s="2663"/>
      <c r="T57" s="2664"/>
      <c r="U57" s="2664"/>
      <c r="V57" s="2664"/>
      <c r="X57" s="2713"/>
      <c r="Y57" s="2713"/>
      <c r="Z57" s="2713"/>
    </row>
    <row r="58" spans="1:26">
      <c r="A58" s="2654" t="s">
        <v>2579</v>
      </c>
      <c r="B58" s="2668">
        <f t="shared" si="75"/>
        <v>124.29032258064517</v>
      </c>
      <c r="C58" s="2668">
        <f t="shared" si="75"/>
        <v>123.8968609865471</v>
      </c>
      <c r="D58" s="2668">
        <f t="shared" si="45"/>
        <v>123.8968609865471</v>
      </c>
      <c r="E58" s="2668">
        <f t="shared" si="76"/>
        <v>138.00507614213197</v>
      </c>
      <c r="F58" s="2668">
        <f t="shared" si="76"/>
        <v>107.96106557377048</v>
      </c>
      <c r="G58" s="3444">
        <v>2005</v>
      </c>
      <c r="H58" s="2659">
        <v>2</v>
      </c>
      <c r="I58" s="2659">
        <v>0.47</v>
      </c>
      <c r="J58" s="2659">
        <v>0.1</v>
      </c>
      <c r="K58" s="2659">
        <v>0.52</v>
      </c>
      <c r="L58" s="2670">
        <v>0.79</v>
      </c>
      <c r="N58" s="2711">
        <f t="shared" si="73"/>
        <v>1.420065760241713E-2</v>
      </c>
      <c r="O58" s="2712">
        <f t="shared" si="73"/>
        <v>3.3080938028376083E-3</v>
      </c>
      <c r="P58" s="2712">
        <f t="shared" si="74"/>
        <v>6.598984771573603E-2</v>
      </c>
      <c r="Q58" s="2712">
        <f t="shared" si="74"/>
        <v>5.2953117818293153E-3</v>
      </c>
      <c r="R58" s="2665"/>
      <c r="S58" s="2663"/>
      <c r="T58" s="2664"/>
      <c r="U58" s="2664"/>
      <c r="V58" s="2664"/>
      <c r="X58" s="2713"/>
      <c r="Y58" s="2713"/>
      <c r="Z58" s="2713"/>
    </row>
    <row r="59" spans="1:26">
      <c r="A59" s="2654" t="s">
        <v>2580</v>
      </c>
      <c r="B59" s="2668">
        <f t="shared" si="75"/>
        <v>122.57204301075269</v>
      </c>
      <c r="C59" s="2668">
        <f t="shared" si="75"/>
        <v>123.4932735426009</v>
      </c>
      <c r="D59" s="2668">
        <f t="shared" si="45"/>
        <v>123.4932735426009</v>
      </c>
      <c r="E59" s="2668">
        <f t="shared" si="76"/>
        <v>129.82233502538071</v>
      </c>
      <c r="F59" s="2668">
        <f t="shared" si="76"/>
        <v>107.39446721311475</v>
      </c>
      <c r="G59" s="3445">
        <v>2005</v>
      </c>
      <c r="H59" s="2658">
        <v>1</v>
      </c>
      <c r="I59" s="2658">
        <v>0.43</v>
      </c>
      <c r="J59" s="2658">
        <v>0.37</v>
      </c>
      <c r="K59" s="2658">
        <v>0.37</v>
      </c>
      <c r="L59" s="2669">
        <v>0.55000000000000004</v>
      </c>
      <c r="N59" s="2714">
        <f t="shared" si="73"/>
        <v>1.2992090997956099E-2</v>
      </c>
      <c r="O59" s="2715">
        <f t="shared" si="73"/>
        <v>1.2239947070499151E-2</v>
      </c>
      <c r="P59" s="2715">
        <f t="shared" si="74"/>
        <v>4.6954314720812178E-2</v>
      </c>
      <c r="Q59" s="2715">
        <f t="shared" si="74"/>
        <v>3.6866094683621815E-3</v>
      </c>
      <c r="R59" s="2665"/>
      <c r="S59" s="2671">
        <f>B59/B60-1</f>
        <v>1.2992090997956174E-2</v>
      </c>
      <c r="T59" s="2672">
        <f>C59/C60-1</f>
        <v>1.2239947070499246E-2</v>
      </c>
      <c r="U59" s="2672">
        <f>E59/E60-1</f>
        <v>4.695431472081224E-2</v>
      </c>
      <c r="V59" s="2672">
        <f>F59/F60-1</f>
        <v>3.6866094683620787E-3</v>
      </c>
      <c r="X59" s="2713"/>
      <c r="Y59" s="2713"/>
      <c r="Z59" s="2713"/>
    </row>
    <row r="60" spans="1:26" ht="13.8" thickBot="1">
      <c r="A60" s="2654" t="s">
        <v>2581</v>
      </c>
      <c r="B60" s="2698">
        <v>121</v>
      </c>
      <c r="C60" s="2698">
        <v>122</v>
      </c>
      <c r="D60" s="2698">
        <f t="shared" si="45"/>
        <v>122</v>
      </c>
      <c r="E60" s="2698">
        <v>124</v>
      </c>
      <c r="F60" s="2699">
        <v>107</v>
      </c>
      <c r="G60" s="3443">
        <v>2004</v>
      </c>
      <c r="H60" s="2674">
        <v>4</v>
      </c>
      <c r="I60" s="2674">
        <v>0.33</v>
      </c>
      <c r="J60" s="2674">
        <v>0.5</v>
      </c>
      <c r="K60" s="2674">
        <v>0.5</v>
      </c>
      <c r="L60" s="2675">
        <v>0</v>
      </c>
      <c r="N60" s="2711">
        <f t="shared" ref="N60:O63" si="77">I60/SUM(I$60:I$63)*(B$60/B$64-1)</f>
        <v>1.3391770148526898E-2</v>
      </c>
      <c r="O60" s="2712">
        <f t="shared" si="77"/>
        <v>1.063264221158958E-2</v>
      </c>
      <c r="P60" s="2712">
        <f t="shared" ref="P60:Q63" si="78">K60/SUM(K$60:K$63)*(E$60/E$64-1)</f>
        <v>2.2244466688911134E-2</v>
      </c>
      <c r="Q60" s="2712">
        <f t="shared" si="78"/>
        <v>0</v>
      </c>
      <c r="R60" s="2665"/>
      <c r="S60" s="2666"/>
      <c r="T60" s="2667"/>
      <c r="U60" s="2667"/>
      <c r="V60" s="2667"/>
      <c r="X60" s="2713"/>
      <c r="Y60" s="2713"/>
      <c r="Z60" s="2713"/>
    </row>
    <row r="61" spans="1:26">
      <c r="A61" s="2654" t="s">
        <v>2582</v>
      </c>
      <c r="B61" s="2668">
        <f t="shared" ref="B61:C63" si="79">B62+(B$60-B$64)*I61/SUM(I$60:I$63)</f>
        <v>119.51351351351352</v>
      </c>
      <c r="C61" s="2668">
        <f t="shared" si="79"/>
        <v>120.7878787878788</v>
      </c>
      <c r="D61" s="2668">
        <f t="shared" si="45"/>
        <v>120.7878787878788</v>
      </c>
      <c r="E61" s="2668">
        <f t="shared" ref="E61:F63" si="80">E62+(E$60-E$64)*K61/SUM(K$60:K$63)</f>
        <v>121.5975975975976</v>
      </c>
      <c r="F61" s="2668">
        <f t="shared" si="80"/>
        <v>107</v>
      </c>
      <c r="G61" s="3444">
        <v>2004</v>
      </c>
      <c r="H61" s="2679">
        <v>3</v>
      </c>
      <c r="I61" s="2679">
        <v>0.56000000000000005</v>
      </c>
      <c r="J61" s="2679">
        <v>0.8</v>
      </c>
      <c r="K61" s="2679">
        <v>0.83</v>
      </c>
      <c r="L61" s="2680">
        <v>0.06</v>
      </c>
      <c r="N61" s="2711">
        <f t="shared" si="77"/>
        <v>2.2725428130833527E-2</v>
      </c>
      <c r="O61" s="2712">
        <f t="shared" si="77"/>
        <v>1.7012227538543329E-2</v>
      </c>
      <c r="P61" s="2712">
        <f t="shared" si="78"/>
        <v>3.6925814703592477E-2</v>
      </c>
      <c r="Q61" s="2712">
        <f t="shared" si="78"/>
        <v>2.8846153846153744E-2</v>
      </c>
      <c r="R61" s="2665"/>
      <c r="S61" s="2663"/>
      <c r="T61" s="2664"/>
      <c r="U61" s="2664"/>
      <c r="V61" s="2664"/>
      <c r="X61" s="2713"/>
      <c r="Y61" s="2713"/>
      <c r="Z61" s="2713"/>
    </row>
    <row r="62" spans="1:26">
      <c r="A62" s="2654" t="s">
        <v>2583</v>
      </c>
      <c r="B62" s="2668">
        <f t="shared" si="79"/>
        <v>116.99099099099099</v>
      </c>
      <c r="C62" s="2668">
        <f t="shared" si="79"/>
        <v>118.84848484848486</v>
      </c>
      <c r="D62" s="2668">
        <f t="shared" si="45"/>
        <v>118.84848484848486</v>
      </c>
      <c r="E62" s="2668">
        <f t="shared" si="80"/>
        <v>117.60960960960961</v>
      </c>
      <c r="F62" s="2668">
        <f t="shared" si="80"/>
        <v>104</v>
      </c>
      <c r="G62" s="3444">
        <v>2004</v>
      </c>
      <c r="H62" s="2659">
        <v>2</v>
      </c>
      <c r="I62" s="2659">
        <v>1</v>
      </c>
      <c r="J62" s="2659">
        <v>1.5</v>
      </c>
      <c r="K62" s="2659">
        <v>1.5</v>
      </c>
      <c r="L62" s="2670">
        <v>0</v>
      </c>
      <c r="N62" s="2711">
        <f t="shared" si="77"/>
        <v>4.0581121662202721E-2</v>
      </c>
      <c r="O62" s="2712">
        <f t="shared" si="77"/>
        <v>3.1897926634768738E-2</v>
      </c>
      <c r="P62" s="2712">
        <f t="shared" si="78"/>
        <v>6.6733400066733395E-2</v>
      </c>
      <c r="Q62" s="2712">
        <f t="shared" si="78"/>
        <v>0</v>
      </c>
      <c r="R62" s="2665"/>
      <c r="S62" s="2663"/>
      <c r="T62" s="2664"/>
      <c r="U62" s="2664"/>
      <c r="V62" s="2664"/>
      <c r="X62" s="2713"/>
      <c r="Y62" s="2713"/>
      <c r="Z62" s="2713"/>
    </row>
    <row r="63" spans="1:26" s="2704" customFormat="1" ht="13.8" thickBot="1">
      <c r="A63" s="2654" t="s">
        <v>2584</v>
      </c>
      <c r="B63" s="2701">
        <f t="shared" si="79"/>
        <v>112.48648648648648</v>
      </c>
      <c r="C63" s="2701">
        <f t="shared" si="79"/>
        <v>115.21212121212122</v>
      </c>
      <c r="D63" s="2701">
        <f t="shared" si="45"/>
        <v>115.21212121212122</v>
      </c>
      <c r="E63" s="2701">
        <f t="shared" si="80"/>
        <v>110.4024024024024</v>
      </c>
      <c r="F63" s="2701">
        <f t="shared" si="80"/>
        <v>104</v>
      </c>
      <c r="G63" s="3445">
        <v>2004</v>
      </c>
      <c r="H63" s="2702">
        <v>1</v>
      </c>
      <c r="I63" s="2702">
        <v>0.33</v>
      </c>
      <c r="J63" s="2702">
        <v>0.5</v>
      </c>
      <c r="K63" s="2702">
        <v>0.5</v>
      </c>
      <c r="L63" s="2703">
        <v>0</v>
      </c>
      <c r="N63" s="2716">
        <f t="shared" si="77"/>
        <v>1.3391770148526898E-2</v>
      </c>
      <c r="O63" s="2717">
        <f t="shared" si="77"/>
        <v>1.063264221158958E-2</v>
      </c>
      <c r="P63" s="2717">
        <f t="shared" si="78"/>
        <v>2.2244466688911134E-2</v>
      </c>
      <c r="Q63" s="2717">
        <f t="shared" si="78"/>
        <v>0</v>
      </c>
      <c r="R63" s="2707"/>
      <c r="S63" s="2705">
        <f>B63/B64-1</f>
        <v>1.3391770148526883E-2</v>
      </c>
      <c r="T63" s="2706">
        <f>C63/C64-1</f>
        <v>1.063264221158966E-2</v>
      </c>
      <c r="U63" s="2706">
        <f>E63/E64-1</f>
        <v>2.2244466688911224E-2</v>
      </c>
      <c r="V63" s="2706">
        <f>F63/F64-1</f>
        <v>0</v>
      </c>
      <c r="X63" s="2718"/>
      <c r="Y63" s="2718"/>
      <c r="Z63" s="2718"/>
    </row>
    <row r="64" spans="1:26" ht="13.8" thickBot="1">
      <c r="A64" s="2654" t="s">
        <v>2585</v>
      </c>
      <c r="B64" s="2719">
        <v>111</v>
      </c>
      <c r="C64" s="2719">
        <v>114</v>
      </c>
      <c r="D64" s="2719">
        <f t="shared" si="45"/>
        <v>114</v>
      </c>
      <c r="E64" s="2719">
        <v>108</v>
      </c>
      <c r="F64" s="2720">
        <v>104</v>
      </c>
      <c r="G64" s="3443">
        <v>2003</v>
      </c>
      <c r="H64" s="2709">
        <v>4</v>
      </c>
      <c r="I64" s="2721"/>
      <c r="J64" s="2721"/>
      <c r="K64" s="2721"/>
      <c r="L64" s="2721"/>
      <c r="N64" s="2722"/>
      <c r="O64" s="2721"/>
      <c r="P64" s="2721"/>
      <c r="Q64" s="2721"/>
      <c r="S64" s="2722"/>
      <c r="T64" s="2721"/>
      <c r="U64" s="2721"/>
      <c r="V64" s="2721"/>
      <c r="X64" s="2713"/>
      <c r="Y64" s="2713"/>
      <c r="Z64" s="2713"/>
    </row>
    <row r="65" spans="1:26">
      <c r="A65" s="2654" t="s">
        <v>2586</v>
      </c>
      <c r="B65" s="2723">
        <f t="shared" ref="B65:C67" si="81">B66+(B$64-B$68)/4</f>
        <v>109.75</v>
      </c>
      <c r="C65" s="2723">
        <f t="shared" si="81"/>
        <v>112.25</v>
      </c>
      <c r="D65" s="2723">
        <f t="shared" si="45"/>
        <v>112.25</v>
      </c>
      <c r="E65" s="2723">
        <f t="shared" ref="E65:F67" si="82">E66+(E$64-E$68)/4</f>
        <v>107.25</v>
      </c>
      <c r="F65" s="2723">
        <f t="shared" si="82"/>
        <v>103.5</v>
      </c>
      <c r="G65" s="3444">
        <v>2003</v>
      </c>
      <c r="H65" s="2679">
        <v>3</v>
      </c>
      <c r="I65" s="2721"/>
      <c r="J65" s="2721"/>
      <c r="K65" s="2721"/>
      <c r="L65" s="2721"/>
      <c r="X65" s="2713"/>
      <c r="Y65" s="2713"/>
      <c r="Z65" s="2713"/>
    </row>
    <row r="66" spans="1:26">
      <c r="A66" s="2654" t="s">
        <v>2587</v>
      </c>
      <c r="B66" s="2723">
        <f t="shared" si="81"/>
        <v>108.5</v>
      </c>
      <c r="C66" s="2723">
        <f t="shared" si="81"/>
        <v>110.5</v>
      </c>
      <c r="D66" s="2723">
        <f t="shared" si="45"/>
        <v>110.5</v>
      </c>
      <c r="E66" s="2723">
        <f t="shared" si="82"/>
        <v>106.5</v>
      </c>
      <c r="F66" s="2723">
        <f t="shared" si="82"/>
        <v>103</v>
      </c>
      <c r="G66" s="3444">
        <v>2003</v>
      </c>
      <c r="H66" s="2659">
        <v>2</v>
      </c>
      <c r="I66" s="2721"/>
      <c r="J66" s="2721"/>
      <c r="K66" s="2721"/>
      <c r="L66" s="2721"/>
      <c r="X66" s="2713"/>
      <c r="Y66" s="2713"/>
      <c r="Z66" s="2713"/>
    </row>
    <row r="67" spans="1:26" ht="13.8" thickBot="1">
      <c r="A67" s="2654" t="s">
        <v>2588</v>
      </c>
      <c r="B67" s="2723">
        <f t="shared" si="81"/>
        <v>107.25</v>
      </c>
      <c r="C67" s="2723">
        <f t="shared" si="81"/>
        <v>108.75</v>
      </c>
      <c r="D67" s="2723">
        <f t="shared" si="45"/>
        <v>108.75</v>
      </c>
      <c r="E67" s="2723">
        <f t="shared" si="82"/>
        <v>105.75</v>
      </c>
      <c r="F67" s="2723">
        <f t="shared" si="82"/>
        <v>102.5</v>
      </c>
      <c r="G67" s="3445">
        <v>2003</v>
      </c>
      <c r="H67" s="2724">
        <v>1</v>
      </c>
      <c r="I67" s="2721"/>
      <c r="J67" s="2721"/>
      <c r="K67" s="2721"/>
      <c r="L67" s="2721"/>
      <c r="S67" s="2663"/>
      <c r="T67" s="2664"/>
      <c r="U67" s="2664"/>
      <c r="X67" s="2713"/>
      <c r="Y67" s="2713"/>
      <c r="Z67" s="2713"/>
    </row>
    <row r="68" spans="1:26" ht="13.8" thickBot="1">
      <c r="A68" s="2654" t="s">
        <v>2589</v>
      </c>
      <c r="B68" s="2725">
        <v>106</v>
      </c>
      <c r="C68" s="2725">
        <v>107</v>
      </c>
      <c r="D68" s="2725">
        <f t="shared" si="45"/>
        <v>107</v>
      </c>
      <c r="E68" s="2725">
        <v>105</v>
      </c>
      <c r="F68" s="2726">
        <v>102</v>
      </c>
      <c r="G68" s="3443">
        <v>2002</v>
      </c>
      <c r="H68" s="2674">
        <v>4</v>
      </c>
      <c r="I68" s="2721"/>
      <c r="J68" s="2721"/>
      <c r="K68" s="2721"/>
      <c r="L68" s="2721"/>
      <c r="N68" s="2722"/>
      <c r="O68" s="2721"/>
      <c r="P68" s="2721"/>
      <c r="Q68" s="2721"/>
      <c r="S68" s="2722"/>
      <c r="T68" s="2721"/>
      <c r="U68" s="2721"/>
      <c r="V68" s="2721"/>
      <c r="X68" s="2713"/>
      <c r="Y68" s="2713"/>
      <c r="Z68" s="2713"/>
    </row>
    <row r="69" spans="1:26">
      <c r="A69" s="2654" t="s">
        <v>2590</v>
      </c>
      <c r="B69" s="2723">
        <f t="shared" ref="B69:C71" si="83">B70+(B$68-B$72)/4</f>
        <v>105</v>
      </c>
      <c r="C69" s="2723">
        <f t="shared" si="83"/>
        <v>106</v>
      </c>
      <c r="D69" s="2723">
        <f t="shared" si="45"/>
        <v>106</v>
      </c>
      <c r="E69" s="2723">
        <f t="shared" ref="E69:F71" si="84">E70+(E$68-E$72)/4</f>
        <v>104.5</v>
      </c>
      <c r="F69" s="2723">
        <f t="shared" si="84"/>
        <v>101.5</v>
      </c>
      <c r="G69" s="3444">
        <v>2002</v>
      </c>
      <c r="H69" s="2679">
        <v>3</v>
      </c>
      <c r="I69" s="2721"/>
      <c r="J69" s="2721"/>
      <c r="K69" s="2721"/>
      <c r="L69" s="2721"/>
      <c r="X69" s="2713"/>
      <c r="Y69" s="2713"/>
      <c r="Z69" s="2713"/>
    </row>
    <row r="70" spans="1:26">
      <c r="A70" s="2654" t="s">
        <v>2591</v>
      </c>
      <c r="B70" s="2723">
        <f t="shared" si="83"/>
        <v>104</v>
      </c>
      <c r="C70" s="2723">
        <f t="shared" si="83"/>
        <v>105</v>
      </c>
      <c r="D70" s="2723">
        <f t="shared" si="45"/>
        <v>105</v>
      </c>
      <c r="E70" s="2723">
        <f t="shared" si="84"/>
        <v>104</v>
      </c>
      <c r="F70" s="2723">
        <f t="shared" si="84"/>
        <v>101</v>
      </c>
      <c r="G70" s="3444">
        <v>2002</v>
      </c>
      <c r="H70" s="2659">
        <v>2</v>
      </c>
      <c r="I70" s="2721"/>
      <c r="J70" s="2721"/>
      <c r="K70" s="2721"/>
      <c r="L70" s="2721"/>
      <c r="X70" s="2713"/>
      <c r="Y70" s="2713"/>
      <c r="Z70" s="2713"/>
    </row>
    <row r="71" spans="1:26" s="2690" customFormat="1" ht="13.8" thickBot="1">
      <c r="A71" s="2686" t="s">
        <v>2592</v>
      </c>
      <c r="B71" s="2727">
        <f t="shared" si="83"/>
        <v>103</v>
      </c>
      <c r="C71" s="2727">
        <f t="shared" si="83"/>
        <v>104</v>
      </c>
      <c r="D71" s="2727">
        <f t="shared" si="45"/>
        <v>104</v>
      </c>
      <c r="E71" s="2727">
        <f t="shared" si="84"/>
        <v>103.5</v>
      </c>
      <c r="F71" s="2727">
        <f t="shared" si="84"/>
        <v>100.5</v>
      </c>
      <c r="G71" s="3445">
        <v>2002</v>
      </c>
      <c r="H71" s="2728">
        <v>1</v>
      </c>
      <c r="I71" s="2729"/>
      <c r="J71" s="2729"/>
      <c r="K71" s="2729"/>
      <c r="L71" s="2729"/>
      <c r="N71" s="2730"/>
      <c r="S71" s="2730"/>
      <c r="X71" s="2731"/>
      <c r="Y71" s="2731"/>
      <c r="Z71" s="2731"/>
    </row>
    <row r="72" spans="1:26" ht="13.8" thickBot="1">
      <c r="B72" s="2732">
        <v>102</v>
      </c>
      <c r="C72" s="2733">
        <v>103</v>
      </c>
      <c r="D72" s="2733">
        <f t="shared" si="45"/>
        <v>103</v>
      </c>
      <c r="E72" s="2733">
        <v>103</v>
      </c>
      <c r="F72" s="2734">
        <v>100</v>
      </c>
      <c r="I72" s="2721"/>
      <c r="J72" s="2721"/>
      <c r="K72" s="2721"/>
      <c r="L72" s="2721"/>
      <c r="N72" s="2722"/>
      <c r="O72" s="2721"/>
      <c r="P72" s="2721"/>
      <c r="Q72" s="2721"/>
      <c r="S72" s="2722"/>
      <c r="T72" s="2721"/>
      <c r="U72" s="2721"/>
      <c r="V72" s="2721"/>
      <c r="X72" s="2667"/>
      <c r="Y72" s="2667"/>
      <c r="Z72" s="2667"/>
    </row>
    <row r="74" spans="1:26" s="2736" customFormat="1">
      <c r="A74" s="2735" t="s">
        <v>2593</v>
      </c>
      <c r="G74" s="2737"/>
      <c r="N74" s="2737"/>
      <c r="S74" s="2737"/>
    </row>
    <row r="75" spans="1:26" s="2736" customFormat="1">
      <c r="A75" s="2736" t="s">
        <v>2594</v>
      </c>
      <c r="G75" s="2737"/>
      <c r="N75" s="2737"/>
      <c r="S75" s="2737"/>
    </row>
    <row r="76" spans="1:26" s="2736" customFormat="1">
      <c r="A76" s="2736" t="s">
        <v>2595</v>
      </c>
      <c r="G76" s="2737"/>
      <c r="I76" s="2738"/>
      <c r="J76" s="2738"/>
      <c r="K76" s="2738"/>
      <c r="L76" s="2738"/>
      <c r="N76" s="2739"/>
      <c r="O76" s="2738"/>
      <c r="P76" s="2738"/>
      <c r="Q76" s="2738"/>
      <c r="S76" s="2739"/>
      <c r="T76" s="2738"/>
      <c r="U76" s="2738"/>
      <c r="V76" s="2738"/>
    </row>
    <row r="77" spans="1:26" s="2736" customFormat="1">
      <c r="A77" s="2736" t="s">
        <v>2596</v>
      </c>
      <c r="G77" s="2737"/>
      <c r="N77" s="2737"/>
      <c r="S77" s="2737"/>
    </row>
    <row r="84" spans="7:22" ht="13.8" thickBot="1"/>
    <row r="85" spans="7:22">
      <c r="G85" s="2662"/>
      <c r="S85" s="2740" t="s">
        <v>2597</v>
      </c>
      <c r="T85" s="2741" t="s">
        <v>2598</v>
      </c>
      <c r="U85" s="2741" t="s">
        <v>2599</v>
      </c>
      <c r="V85" s="2741" t="s">
        <v>2600</v>
      </c>
    </row>
    <row r="86" spans="7:22">
      <c r="G86" s="2662"/>
      <c r="N86" s="2666"/>
      <c r="O86" s="2667"/>
      <c r="P86" s="2667"/>
      <c r="Q86" s="2667"/>
      <c r="S86" s="2742">
        <v>2006</v>
      </c>
      <c r="T86" s="2743">
        <v>15.1</v>
      </c>
      <c r="U86" s="2743">
        <v>7.43</v>
      </c>
      <c r="V86" s="2743">
        <v>26.26</v>
      </c>
    </row>
    <row r="87" spans="7:22">
      <c r="G87" s="2662"/>
      <c r="N87" s="2666"/>
      <c r="O87" s="2667"/>
      <c r="P87" s="2667"/>
      <c r="Q87" s="2667"/>
      <c r="S87" s="2745">
        <v>2005</v>
      </c>
      <c r="T87" s="2744">
        <v>13.9</v>
      </c>
      <c r="U87" s="2744">
        <v>7.49</v>
      </c>
      <c r="V87" s="2744">
        <v>24.92</v>
      </c>
    </row>
    <row r="88" spans="7:22">
      <c r="G88" s="2662"/>
      <c r="N88" s="2666"/>
      <c r="O88" s="2667"/>
      <c r="P88" s="2667"/>
      <c r="Q88" s="2667"/>
      <c r="S88" s="2742">
        <v>2004</v>
      </c>
      <c r="T88" s="2743">
        <v>9.48</v>
      </c>
      <c r="U88" s="2743">
        <v>7.2</v>
      </c>
      <c r="V88" s="2743">
        <v>14.68</v>
      </c>
    </row>
    <row r="89" spans="7:22">
      <c r="G89" s="2662"/>
      <c r="N89" s="2666"/>
      <c r="O89" s="2667"/>
      <c r="P89" s="2667"/>
      <c r="Q89" s="2667"/>
      <c r="S89" s="2745">
        <v>2003</v>
      </c>
      <c r="T89" s="2744">
        <v>4.5</v>
      </c>
      <c r="U89" s="2744">
        <v>6.12</v>
      </c>
      <c r="V89" s="2744">
        <v>2.34</v>
      </c>
    </row>
    <row r="90" spans="7:22" ht="13.8" thickBot="1">
      <c r="G90" s="2662"/>
      <c r="N90" s="2666"/>
      <c r="O90" s="2667"/>
      <c r="P90" s="2667"/>
      <c r="Q90" s="2667"/>
      <c r="S90" s="2746">
        <v>2002</v>
      </c>
      <c r="T90" s="2747">
        <v>3.59</v>
      </c>
      <c r="U90" s="2747">
        <v>4.54</v>
      </c>
      <c r="V90" s="2747">
        <v>2.5499999999999998</v>
      </c>
    </row>
    <row r="91" spans="7:22">
      <c r="G91" s="2662"/>
      <c r="N91" s="2666"/>
      <c r="O91" s="2667"/>
      <c r="P91" s="2667"/>
      <c r="Q91" s="2667"/>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c r="S101" s="2662"/>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2"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4" zoomScale="80" zoomScaleNormal="80" workbookViewId="0">
      <selection activeCell="F41" sqref="F41"/>
    </sheetView>
  </sheetViews>
  <sheetFormatPr defaultColWidth="9" defaultRowHeight="15"/>
  <cols>
    <col min="1" max="1" width="9" style="2059"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5.88671875" style="2058" customWidth="1"/>
    <col min="16" max="16" width="27.6640625" style="2058" customWidth="1"/>
    <col min="17" max="17" width="13.77734375" style="2096" customWidth="1"/>
    <col min="18" max="18" width="23.44140625" style="2058" customWidth="1"/>
    <col min="19" max="19" width="1.44140625" style="2058" customWidth="1"/>
    <col min="20" max="33" width="9" style="2058"/>
    <col min="34" max="16384" width="9" style="2059"/>
  </cols>
  <sheetData>
    <row r="1" spans="1:33" s="2053" customFormat="1" ht="21.6">
      <c r="A1" s="831" t="s">
        <v>1687</v>
      </c>
      <c r="B1" s="737"/>
      <c r="C1" s="772" t="s">
        <v>2944</v>
      </c>
      <c r="D1" s="3125" t="s">
        <v>2984</v>
      </c>
      <c r="E1" s="2386" t="s">
        <v>2336</v>
      </c>
      <c r="F1" s="2387">
        <f ca="1">J53</f>
        <v>43.95</v>
      </c>
      <c r="G1" s="773">
        <f>MATCH(C1,'数据-取费表'!A6:A16,0)+5</f>
        <v>6</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2" t="s">
        <v>1688</v>
      </c>
      <c r="B2" s="774">
        <f ca="1">C40+J29+L46</f>
        <v>16353</v>
      </c>
      <c r="C2" s="2056"/>
      <c r="D2" s="2054"/>
      <c r="E2" s="2055"/>
      <c r="F2" s="2055"/>
      <c r="G2" s="1588"/>
      <c r="H2" s="2056"/>
      <c r="I2" s="2056"/>
      <c r="J2" s="2056"/>
      <c r="K2" s="2057"/>
      <c r="L2" s="2056"/>
      <c r="M2" s="2056"/>
    </row>
    <row r="3" spans="1:33" ht="18" customHeight="1" thickBot="1">
      <c r="A3" s="832" t="s">
        <v>1689</v>
      </c>
      <c r="B3" s="833">
        <f ca="1">IF(ISERROR(B2*10000/F43),0,ROUND(B2*10000/F43,0))</f>
        <v>13278</v>
      </c>
      <c r="C3" s="2056"/>
      <c r="D3" s="2054"/>
      <c r="E3" s="2055"/>
      <c r="F3" s="2055"/>
      <c r="G3" s="1588"/>
      <c r="H3" s="775" t="s">
        <v>660</v>
      </c>
      <c r="I3" s="1361"/>
      <c r="J3" s="1361"/>
      <c r="K3" s="1589"/>
      <c r="L3" s="1361"/>
      <c r="M3" s="1361"/>
    </row>
    <row r="4" spans="1:33" ht="18" customHeight="1">
      <c r="A4" s="776" t="s">
        <v>1690</v>
      </c>
      <c r="B4" s="777" t="s">
        <v>1691</v>
      </c>
      <c r="C4" s="777" t="s">
        <v>1692</v>
      </c>
      <c r="D4" s="777" t="s">
        <v>598</v>
      </c>
      <c r="E4" s="778" t="s">
        <v>1693</v>
      </c>
      <c r="F4" s="779"/>
      <c r="G4" s="1590"/>
      <c r="H4" s="776" t="s">
        <v>1694</v>
      </c>
      <c r="I4" s="777" t="s">
        <v>1695</v>
      </c>
      <c r="J4" s="777" t="s">
        <v>1696</v>
      </c>
      <c r="K4" s="777" t="s">
        <v>1697</v>
      </c>
      <c r="L4" s="778" t="s">
        <v>1698</v>
      </c>
      <c r="M4" s="779"/>
    </row>
    <row r="5" spans="1:33" ht="18" customHeight="1">
      <c r="A5" s="780">
        <v>1</v>
      </c>
      <c r="B5" s="781" t="s">
        <v>2420</v>
      </c>
      <c r="C5" s="54">
        <f ca="1">C6+C10+C12</f>
        <v>954</v>
      </c>
      <c r="D5" s="2495" t="s">
        <v>2423</v>
      </c>
      <c r="E5" s="2489"/>
      <c r="F5" s="2490"/>
      <c r="G5" s="1590"/>
      <c r="H5" s="780">
        <v>1</v>
      </c>
      <c r="I5" s="781" t="s">
        <v>2420</v>
      </c>
      <c r="J5" s="54">
        <f ca="1">J6+J10+J12</f>
        <v>0</v>
      </c>
      <c r="K5" s="2495" t="s">
        <v>2423</v>
      </c>
      <c r="L5" s="2489"/>
      <c r="M5" s="2490"/>
    </row>
    <row r="6" spans="1:33" ht="18" customHeight="1">
      <c r="A6" s="1829" t="s">
        <v>1786</v>
      </c>
      <c r="B6" s="3437" t="s">
        <v>2425</v>
      </c>
      <c r="C6" s="782">
        <f ca="1">ROUND(F6*F8*F7*(1-F9)/10000,0)</f>
        <v>954</v>
      </c>
      <c r="D6" s="2496" t="s">
        <v>2424</v>
      </c>
      <c r="E6" s="783" t="s">
        <v>1700</v>
      </c>
      <c r="F6" s="784">
        <f ca="1">INDIRECT("'数据-取费表'!u"&amp;$G$1)</f>
        <v>9536000</v>
      </c>
      <c r="G6" s="1590"/>
      <c r="H6" s="2503" t="s">
        <v>2430</v>
      </c>
      <c r="I6" s="3437" t="s">
        <v>2425</v>
      </c>
      <c r="J6" s="782">
        <f ca="1">ROUND(M6*M8*M7*(1-M9)/10000,0)</f>
        <v>0</v>
      </c>
      <c r="K6" s="340" t="s">
        <v>1699</v>
      </c>
      <c r="L6" s="783" t="s">
        <v>1700</v>
      </c>
      <c r="M6" s="784">
        <f ca="1">INDIRECT("'数据-取费表'!z"&amp;$G$1)</f>
        <v>0</v>
      </c>
    </row>
    <row r="7" spans="1:33" ht="18" customHeight="1">
      <c r="A7" s="2499"/>
      <c r="B7" s="3438"/>
      <c r="C7" s="787"/>
      <c r="D7" s="788"/>
      <c r="E7" s="783" t="s">
        <v>1701</v>
      </c>
      <c r="F7" s="784">
        <f ca="1">IF(INDIRECT("'数据-取费表'!ah"&amp;$G$1)="",INDIRECT("'数据-取费表'!k"&amp;$G$1),INDIRECT("'数据-取费表'!ah"&amp;$G$1))</f>
        <v>1</v>
      </c>
      <c r="G7" s="1590"/>
      <c r="H7" s="2488"/>
      <c r="I7" s="3438"/>
      <c r="J7" s="787"/>
      <c r="K7" s="788"/>
      <c r="L7" s="783" t="s">
        <v>1701</v>
      </c>
      <c r="M7" s="784">
        <f ca="1">F7</f>
        <v>1</v>
      </c>
    </row>
    <row r="8" spans="1:33" ht="18" customHeight="1">
      <c r="A8" s="2492"/>
      <c r="B8" s="3439"/>
      <c r="C8" s="787"/>
      <c r="D8" s="788"/>
      <c r="E8" s="783" t="s">
        <v>1702</v>
      </c>
      <c r="F8" s="784">
        <f ca="1">INDIRECT("'数据-取费表'!ai"&amp;$G$1)</f>
        <v>1</v>
      </c>
      <c r="G8" s="1590"/>
      <c r="H8" s="2488"/>
      <c r="I8" s="3439"/>
      <c r="J8" s="787"/>
      <c r="K8" s="788"/>
      <c r="L8" s="783" t="s">
        <v>1702</v>
      </c>
      <c r="M8" s="784">
        <f ca="1">INDIRECT("'数据-取费表'!ai"&amp;$G$1)</f>
        <v>1</v>
      </c>
    </row>
    <row r="9" spans="1:33" ht="18" customHeight="1">
      <c r="A9" s="785"/>
      <c r="B9" s="3440"/>
      <c r="C9" s="787"/>
      <c r="D9" s="788"/>
      <c r="E9" s="783" t="s">
        <v>1703</v>
      </c>
      <c r="F9" s="793">
        <f ca="1">INDIRECT("'数据-取费表'!w"&amp;$G$1)</f>
        <v>0</v>
      </c>
      <c r="G9" s="1590"/>
      <c r="H9" s="2504"/>
      <c r="I9" s="3439"/>
      <c r="J9" s="787"/>
      <c r="K9" s="788"/>
      <c r="L9" s="794" t="s">
        <v>1703</v>
      </c>
      <c r="M9" s="795">
        <f ca="1">INDIRECT("'数据-取费表'!ab"&amp;$G$1)</f>
        <v>0</v>
      </c>
    </row>
    <row r="10" spans="1:33" ht="18" customHeight="1">
      <c r="A10" s="1829" t="s">
        <v>2428</v>
      </c>
      <c r="B10" s="2493" t="s">
        <v>2421</v>
      </c>
      <c r="C10" s="798">
        <f ca="1">ROUND(IF(F10="押一",C6/12*F11,IF(F10="押二",C6/12*2*F11,IF(F10="押三",C6/12*3*F11,C11*F11))),0)</f>
        <v>0</v>
      </c>
      <c r="D10" s="2500" t="s">
        <v>2934</v>
      </c>
      <c r="E10" s="2497" t="s">
        <v>2426</v>
      </c>
      <c r="F10" s="2620" t="s">
        <v>3492</v>
      </c>
      <c r="G10" s="1590"/>
      <c r="H10" s="2560" t="s">
        <v>2431</v>
      </c>
      <c r="I10" s="2565" t="s">
        <v>2421</v>
      </c>
      <c r="J10" s="782">
        <f ca="1">ROUND(IF(M10="押一",J6/12*M11,IF(M10="押二",J6/12*2*M11,IF(M10="押三",J6/12*3*M11,J11*M11))),0)</f>
        <v>0</v>
      </c>
      <c r="K10" s="2500" t="s">
        <v>2934</v>
      </c>
      <c r="L10" s="2497" t="s">
        <v>2426</v>
      </c>
      <c r="M10" s="2620"/>
    </row>
    <row r="11" spans="1:33" ht="18" customHeight="1">
      <c r="A11" s="789"/>
      <c r="B11" s="2494" t="s">
        <v>2535</v>
      </c>
      <c r="C11" s="2498"/>
      <c r="D11" s="788"/>
      <c r="E11" s="2497" t="s">
        <v>2427</v>
      </c>
      <c r="F11" s="795">
        <f ca="1">'数据-取费表'!B39</f>
        <v>1.4999999999999999E-2</v>
      </c>
      <c r="G11" s="1590"/>
      <c r="H11" s="2561"/>
      <c r="I11" s="2494" t="s">
        <v>2535</v>
      </c>
      <c r="J11" s="2498"/>
      <c r="K11" s="2562"/>
      <c r="L11" s="2497" t="s">
        <v>2427</v>
      </c>
      <c r="M11" s="2491">
        <f ca="1">'数据-取费表'!B39</f>
        <v>1.4999999999999999E-2</v>
      </c>
    </row>
    <row r="12" spans="1:33" ht="18" customHeight="1" thickBot="1">
      <c r="A12" s="2536" t="s">
        <v>2429</v>
      </c>
      <c r="B12" s="2537" t="s">
        <v>2422</v>
      </c>
      <c r="C12" s="2538"/>
      <c r="D12" s="2539"/>
      <c r="E12" s="2540"/>
      <c r="F12" s="2541"/>
      <c r="G12" s="1590"/>
      <c r="H12" s="2550" t="s">
        <v>2432</v>
      </c>
      <c r="I12" s="2563" t="s">
        <v>2422</v>
      </c>
      <c r="J12" s="2564"/>
      <c r="K12" s="2539"/>
      <c r="L12" s="2540"/>
      <c r="M12" s="2553"/>
    </row>
    <row r="13" spans="1:33" ht="18" customHeight="1" thickTop="1">
      <c r="A13" s="1828">
        <v>2</v>
      </c>
      <c r="B13" s="1826" t="s">
        <v>1704</v>
      </c>
      <c r="C13" s="791">
        <f ca="1">ROUND(C29*F13,0)</f>
        <v>12062</v>
      </c>
      <c r="D13" s="1833" t="s">
        <v>2259</v>
      </c>
      <c r="E13" s="1833" t="s">
        <v>1706</v>
      </c>
      <c r="F13" s="2535">
        <f ca="1">INDIRECT("'数据-取费表'!y"&amp;$G$1)</f>
        <v>1</v>
      </c>
      <c r="G13" s="1590"/>
      <c r="H13" s="1828">
        <v>2</v>
      </c>
      <c r="I13" s="1826" t="s">
        <v>1704</v>
      </c>
      <c r="J13" s="1818">
        <f ca="1">ROUND(J14*J15,0)</f>
        <v>0</v>
      </c>
      <c r="K13" s="1820" t="s">
        <v>1705</v>
      </c>
      <c r="L13" s="2551"/>
      <c r="M13" s="2552"/>
    </row>
    <row r="14" spans="1:33" ht="18" customHeight="1">
      <c r="A14" s="1646" t="s">
        <v>1846</v>
      </c>
      <c r="B14" s="783" t="s">
        <v>610</v>
      </c>
      <c r="C14" s="803">
        <f ca="1">INDIRECT("'数据-取费表'!m"&amp;$G$1)+INDIRECT("'数据-取费表'!t"&amp;$G$1)</f>
        <v>8900</v>
      </c>
      <c r="D14" s="1978" t="s">
        <v>1707</v>
      </c>
      <c r="E14" s="1979"/>
      <c r="F14" s="804"/>
      <c r="G14" s="1590"/>
      <c r="H14" s="1647" t="s">
        <v>1792</v>
      </c>
      <c r="I14" s="2230" t="s">
        <v>2788</v>
      </c>
      <c r="J14" s="52">
        <f ca="1">C29</f>
        <v>12062</v>
      </c>
      <c r="K14" s="25"/>
      <c r="L14" s="800"/>
      <c r="M14" s="801"/>
    </row>
    <row r="15" spans="1:33" s="2063" customFormat="1" ht="18" customHeight="1" thickBot="1">
      <c r="A15" s="1646" t="s">
        <v>1847</v>
      </c>
      <c r="B15" s="783" t="s">
        <v>612</v>
      </c>
      <c r="C15" s="52">
        <f ca="1">ROUND(C14*F15,0)</f>
        <v>267</v>
      </c>
      <c r="D15" s="805" t="s">
        <v>1708</v>
      </c>
      <c r="E15" s="805" t="s">
        <v>1709</v>
      </c>
      <c r="F15" s="806">
        <f>'数据-取费表'!B33</f>
        <v>0.03</v>
      </c>
      <c r="G15" s="1591"/>
      <c r="H15" s="2550" t="s">
        <v>1851</v>
      </c>
      <c r="I15" s="2545" t="s">
        <v>1706</v>
      </c>
      <c r="J15" s="2554">
        <f ca="1">INDIRECT("'数据-取费表'!ad"&amp;$G$1)</f>
        <v>0</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6" t="s">
        <v>1848</v>
      </c>
      <c r="B16" s="783" t="s">
        <v>615</v>
      </c>
      <c r="C16" s="52">
        <f ca="1">ROUND(INDIRECT("'数据-取费表'!m"&amp;$G$1)*F16,0)</f>
        <v>0</v>
      </c>
      <c r="D16" s="783" t="s">
        <v>1708</v>
      </c>
      <c r="E16" s="783" t="s">
        <v>1709</v>
      </c>
      <c r="F16" s="808">
        <f ca="1">IF(INDIRECT("'数据-取费表'!c"&amp;$G$1)="住宅",'数据-取费表'!B34,0)</f>
        <v>0</v>
      </c>
      <c r="G16" s="1590"/>
      <c r="H16" s="1828" t="s">
        <v>1710</v>
      </c>
      <c r="I16" s="1826" t="s">
        <v>1711</v>
      </c>
      <c r="J16" s="791">
        <f ca="1">ROUND(J17+J22+J23+J24,0)</f>
        <v>291</v>
      </c>
      <c r="K16" s="1820" t="s">
        <v>1712</v>
      </c>
      <c r="L16" s="2485"/>
      <c r="M16" s="2490"/>
    </row>
    <row r="17" spans="1:33" s="2063" customFormat="1" ht="18" customHeight="1">
      <c r="A17" s="1646" t="s">
        <v>1849</v>
      </c>
      <c r="B17" s="783" t="s">
        <v>618</v>
      </c>
      <c r="C17" s="52">
        <f ca="1">ROUND(F17*(F43+INDIRECT("'数据-取费表'!S"&amp;$G$1))/10000,0)</f>
        <v>322</v>
      </c>
      <c r="D17" s="783" t="s">
        <v>1713</v>
      </c>
      <c r="E17" s="783" t="s">
        <v>1714</v>
      </c>
      <c r="F17" s="55">
        <f>'数据-取费表'!B35</f>
        <v>150</v>
      </c>
      <c r="G17" s="1591"/>
      <c r="H17" s="1647" t="s">
        <v>1792</v>
      </c>
      <c r="I17" s="783" t="s">
        <v>621</v>
      </c>
      <c r="J17" s="52">
        <f ca="1">ROUND(IF(项目基本情况!B11="自然人",J5*M17,J18+J19+J20),0)</f>
        <v>110</v>
      </c>
      <c r="K17" s="2484" t="s">
        <v>1715</v>
      </c>
      <c r="L17" s="2483" t="s">
        <v>1716</v>
      </c>
      <c r="M17" s="809"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6" t="s">
        <v>1850</v>
      </c>
      <c r="B18" s="783" t="s">
        <v>624</v>
      </c>
      <c r="C18" s="52">
        <f ca="1">ROUND(C14*F18,0)</f>
        <v>134</v>
      </c>
      <c r="D18" s="783" t="s">
        <v>1708</v>
      </c>
      <c r="E18" s="783" t="s">
        <v>1709</v>
      </c>
      <c r="F18" s="808">
        <f>'数据-取费表'!B36</f>
        <v>1.4999999999999999E-2</v>
      </c>
      <c r="G18" s="1591"/>
      <c r="H18" s="1646" t="s">
        <v>1846</v>
      </c>
      <c r="I18" s="783" t="s">
        <v>1717</v>
      </c>
      <c r="J18" s="52">
        <f ca="1">ROUND(J5*M18/1.05,1)</f>
        <v>0</v>
      </c>
      <c r="K18" s="2483" t="s">
        <v>1718</v>
      </c>
      <c r="L18" s="783" t="s">
        <v>1709</v>
      </c>
      <c r="M18" s="808">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7" t="s">
        <v>1792</v>
      </c>
      <c r="B19" s="783" t="s">
        <v>627</v>
      </c>
      <c r="C19" s="52">
        <f ca="1">SUM(C14:C18)</f>
        <v>9623</v>
      </c>
      <c r="D19" s="260" t="s">
        <v>1719</v>
      </c>
      <c r="E19" s="1981"/>
      <c r="F19" s="55"/>
      <c r="G19" s="1590"/>
      <c r="H19" s="1646" t="s">
        <v>1847</v>
      </c>
      <c r="I19" s="783" t="s">
        <v>1720</v>
      </c>
      <c r="J19" s="52">
        <f ca="1">IF(K19="按租金收入计税",ROUND(J5*M19,1),ROUND(C29*F33*0.7,1))</f>
        <v>101.3</v>
      </c>
      <c r="K19" s="810" t="s">
        <v>630</v>
      </c>
      <c r="L19" s="783" t="s">
        <v>1709</v>
      </c>
      <c r="M19" s="808">
        <f>IF(K19="按租金收入计税",'数据-取费表'!B51,'数据-取费表'!B50)</f>
        <v>1.2E-2</v>
      </c>
    </row>
    <row r="20" spans="1:33" s="2063" customFormat="1" ht="18" customHeight="1">
      <c r="A20" s="1647" t="s">
        <v>1851</v>
      </c>
      <c r="B20" s="783" t="s">
        <v>631</v>
      </c>
      <c r="C20" s="52">
        <f ca="1">ROUND(C19*F20,0)</f>
        <v>192</v>
      </c>
      <c r="D20" s="811" t="s">
        <v>1721</v>
      </c>
      <c r="E20" s="783" t="s">
        <v>1709</v>
      </c>
      <c r="F20" s="808">
        <f>'数据-取费表'!B37</f>
        <v>0.02</v>
      </c>
      <c r="G20" s="1591"/>
      <c r="H20" s="1649" t="s">
        <v>1842</v>
      </c>
      <c r="I20" s="340" t="s">
        <v>1722</v>
      </c>
      <c r="J20" s="53">
        <f ca="1">ROUND(M20*M21/10000,0)</f>
        <v>9</v>
      </c>
      <c r="K20" s="813" t="s">
        <v>1723</v>
      </c>
      <c r="L20" s="783" t="s">
        <v>1724</v>
      </c>
      <c r="M20" s="639">
        <f>'数据-取费表'!B52</f>
        <v>12</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7" t="s">
        <v>1852</v>
      </c>
      <c r="B21" s="783" t="s">
        <v>1725</v>
      </c>
      <c r="C21" s="52" t="s">
        <v>1726</v>
      </c>
      <c r="D21" s="811" t="s">
        <v>2260</v>
      </c>
      <c r="E21" s="783" t="s">
        <v>1727</v>
      </c>
      <c r="F21" s="808">
        <f>'数据-取费表'!B38</f>
        <v>0.02</v>
      </c>
      <c r="G21" s="1591"/>
      <c r="H21" s="2505"/>
      <c r="I21" s="792"/>
      <c r="J21" s="68"/>
      <c r="K21" s="815"/>
      <c r="L21" s="783" t="s">
        <v>1728</v>
      </c>
      <c r="M21" s="784">
        <f ca="1">INDIRECT("'数据-取费表'!r"&amp;$G$1)</f>
        <v>7409.7000000000007</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7" t="s">
        <v>1853</v>
      </c>
      <c r="B22" s="783" t="s">
        <v>1729</v>
      </c>
      <c r="C22" s="52"/>
      <c r="D22" s="2571" t="str">
        <f>IF(F23&lt;=1,"单利计息。","复利计息。")&amp;"建造成本、管理费用、销售费用产生的利息。"</f>
        <v>复利计息。建造成本、管理费用、销售费用产生的利息。</v>
      </c>
      <c r="E22" s="1981"/>
      <c r="F22" s="55"/>
      <c r="G22" s="1590"/>
      <c r="H22" s="1647" t="s">
        <v>1851</v>
      </c>
      <c r="I22" s="783" t="s">
        <v>1730</v>
      </c>
      <c r="J22" s="52">
        <f ca="1">ROUND(J14*M22,0)</f>
        <v>181</v>
      </c>
      <c r="K22" s="2483" t="s">
        <v>1731</v>
      </c>
      <c r="L22" s="783" t="s">
        <v>1709</v>
      </c>
      <c r="M22" s="816">
        <f ca="1">INDIRECT("'数据-取费表'!Ak"&amp;$G$1)</f>
        <v>1.4999999999999999E-2</v>
      </c>
    </row>
    <row r="23" spans="1:33" s="2063" customFormat="1" ht="18" customHeight="1">
      <c r="A23" s="1646" t="s">
        <v>1793</v>
      </c>
      <c r="B23" s="783" t="s">
        <v>2497</v>
      </c>
      <c r="C23" s="52">
        <f ca="1">ROUND(IF('数据-取费表'!B22&lt;=1,(C19+C20)*F24*F23/2,(C19+C20)*(POWER((1+F24),F23/2)-1)),0)</f>
        <v>348</v>
      </c>
      <c r="D23" s="2570" t="str">
        <f>IF(F23&lt;=1,"(建造成本+管理费用)×利率×(建设周期÷2)","(建造成本+管理费用)×((1+利率)^(建设周期÷2)-1)")</f>
        <v>(建造成本+管理费用)×((1+利率)^(建设周期÷2)-1)</v>
      </c>
      <c r="E23" s="783" t="s">
        <v>1732</v>
      </c>
      <c r="F23" s="639">
        <f>'数据-取费表'!B20</f>
        <v>1.5</v>
      </c>
      <c r="G23" s="1591"/>
      <c r="H23" s="1647" t="s">
        <v>1852</v>
      </c>
      <c r="I23" s="783" t="s">
        <v>644</v>
      </c>
      <c r="J23" s="52">
        <f ca="1">ROUND(J13*M23,0)</f>
        <v>0</v>
      </c>
      <c r="K23" s="2483" t="s">
        <v>1733</v>
      </c>
      <c r="L23" s="783" t="s">
        <v>1709</v>
      </c>
      <c r="M23" s="817">
        <f ca="1">INDIRECT("'数据-取费表'!Al"&amp;$G$1)</f>
        <v>1.5E-3</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6" t="s">
        <v>1794</v>
      </c>
      <c r="B24" s="783" t="s">
        <v>1734</v>
      </c>
      <c r="C24" s="52">
        <f ca="1">ROUND(IF('数据-取费表'!B22&lt;=1,F21*F24*F23/2,F21*(POWER((1+F24),F23/2)-1)),4)</f>
        <v>6.9999999999999999E-4</v>
      </c>
      <c r="D24" s="2570" t="str">
        <f>IF(F23&lt;=1,"销售费用×利率×(建设周期÷2)","销售费用×((1+利率)^(建设周期÷2)-1)")</f>
        <v>销售费用×((1+利率)^(建设周期÷2)-1)</v>
      </c>
      <c r="E24" s="783" t="s">
        <v>1735</v>
      </c>
      <c r="F24" s="818">
        <f ca="1">'数据-取费表'!B40</f>
        <v>4.7500000000000001E-2</v>
      </c>
      <c r="G24" s="1591"/>
      <c r="H24" s="2550" t="s">
        <v>1853</v>
      </c>
      <c r="I24" s="2545" t="s">
        <v>631</v>
      </c>
      <c r="J24" s="2543">
        <f ca="1">ROUND(J5*M24,0)</f>
        <v>0</v>
      </c>
      <c r="K24" s="2544" t="s">
        <v>1736</v>
      </c>
      <c r="L24" s="2545" t="s">
        <v>1709</v>
      </c>
      <c r="M24" s="2541">
        <f ca="1">INDIRECT("'数据-取费表'!Am"&amp;$G$1)</f>
        <v>0.02</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8" t="s">
        <v>1802</v>
      </c>
      <c r="B25" s="783" t="s">
        <v>649</v>
      </c>
      <c r="C25" s="52"/>
      <c r="D25" s="260" t="s">
        <v>1737</v>
      </c>
      <c r="E25" s="1981"/>
      <c r="F25" s="55"/>
      <c r="G25" s="1590"/>
      <c r="H25" s="1828" t="s">
        <v>1738</v>
      </c>
      <c r="I25" s="3009" t="s">
        <v>2784</v>
      </c>
      <c r="J25" s="791">
        <f ca="1">J5-J16</f>
        <v>-291</v>
      </c>
      <c r="K25" s="2547" t="s">
        <v>1739</v>
      </c>
      <c r="L25" s="2548"/>
      <c r="M25" s="2549"/>
    </row>
    <row r="26" spans="1:33" ht="18" customHeight="1">
      <c r="A26" s="1646" t="s">
        <v>1793</v>
      </c>
      <c r="B26" s="783" t="s">
        <v>2400</v>
      </c>
      <c r="C26" s="52">
        <f ca="1">ROUND((C19+C20)*F26,0)</f>
        <v>982</v>
      </c>
      <c r="D26" s="811" t="s">
        <v>1740</v>
      </c>
      <c r="E26" s="794" t="s">
        <v>1741</v>
      </c>
      <c r="F26" s="793">
        <f ca="1">INDIRECT("'数据-取费表'!q"&amp;$G$1)</f>
        <v>0.1</v>
      </c>
      <c r="G26" s="1590"/>
      <c r="H26" s="2501" t="s">
        <v>1742</v>
      </c>
      <c r="I26" s="2231" t="s">
        <v>2789</v>
      </c>
      <c r="J26" s="782">
        <f ca="1">IF(J5&lt;&gt;0,ROUND(J25*(1-((1+M28)/(1+M26))^M27)/(M26-M28),0),0)</f>
        <v>0</v>
      </c>
      <c r="K26" s="813" t="s">
        <v>1743</v>
      </c>
      <c r="L26" s="783" t="s">
        <v>2381</v>
      </c>
      <c r="M26" s="793">
        <f ca="1">INDIRECT("'数据-取费表'!I"&amp;$G$1)</f>
        <v>5.5E-2</v>
      </c>
    </row>
    <row r="27" spans="1:33" ht="18" customHeight="1">
      <c r="A27" s="1646" t="s">
        <v>1794</v>
      </c>
      <c r="B27" s="783" t="s">
        <v>651</v>
      </c>
      <c r="C27" s="52">
        <f ca="1">ROUND(F21*F26,4)</f>
        <v>2E-3</v>
      </c>
      <c r="D27" s="811" t="s">
        <v>1744</v>
      </c>
      <c r="E27" s="805"/>
      <c r="F27" s="806"/>
      <c r="G27" s="1590"/>
      <c r="H27" s="2502"/>
      <c r="I27" s="786"/>
      <c r="J27" s="787"/>
      <c r="K27" s="820" t="s">
        <v>1745</v>
      </c>
      <c r="L27" s="783" t="s">
        <v>1746</v>
      </c>
      <c r="M27" s="821">
        <f ca="1">INDIRECT("'数据-取费表'!ag"&amp;$G$1)</f>
        <v>0</v>
      </c>
    </row>
    <row r="28" spans="1:33" s="2063" customFormat="1" ht="18" customHeight="1">
      <c r="A28" s="1648" t="s">
        <v>1803</v>
      </c>
      <c r="B28" s="783" t="s">
        <v>652</v>
      </c>
      <c r="C28" s="52">
        <f>ROUND(F28/(1+'数据-取费表'!C42),4)</f>
        <v>5.33E-2</v>
      </c>
      <c r="D28" s="811" t="s">
        <v>2261</v>
      </c>
      <c r="E28" s="783" t="s">
        <v>1747</v>
      </c>
      <c r="F28" s="808">
        <f>'数据-取费表'!B41</f>
        <v>5.6000000000000001E-2</v>
      </c>
      <c r="G28" s="1591"/>
      <c r="H28" s="1828"/>
      <c r="I28" s="790"/>
      <c r="J28" s="791"/>
      <c r="K28" s="815"/>
      <c r="L28" s="783" t="s">
        <v>1748</v>
      </c>
      <c r="M28" s="793">
        <f ca="1">INDIRECT("'数据-取费表'!aa"&amp;$G$1)</f>
        <v>0</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1854</v>
      </c>
      <c r="B29" s="2540" t="s">
        <v>2262</v>
      </c>
      <c r="C29" s="2543">
        <f ca="1">ROUND((C19+C20+C23+C26)/(1-F21-C24-C27-C28),0)</f>
        <v>12062</v>
      </c>
      <c r="D29" s="2544"/>
      <c r="E29" s="2545"/>
      <c r="F29" s="2546"/>
      <c r="G29" s="1591"/>
      <c r="H29" s="822" t="s">
        <v>1749</v>
      </c>
      <c r="I29" s="823" t="s">
        <v>1750</v>
      </c>
      <c r="J29" s="824">
        <f ca="1">ROUND(J26/(1+F40)^F41,0)</f>
        <v>0</v>
      </c>
      <c r="K29" s="825" t="s">
        <v>1751</v>
      </c>
      <c r="L29" s="826"/>
      <c r="M29" s="827">
        <f ca="1">INDIRECT("'数据-取费表'!k"&amp;$G$1)</f>
        <v>12316.199999999999</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1855</v>
      </c>
      <c r="B30" s="1826" t="s">
        <v>1752</v>
      </c>
      <c r="C30" s="791">
        <f ca="1">ROUND(C31+C36+C37+C38,0)</f>
        <v>379</v>
      </c>
      <c r="D30" s="1820" t="s">
        <v>1753</v>
      </c>
      <c r="E30" s="2485"/>
      <c r="F30" s="2490"/>
      <c r="G30" s="2061"/>
      <c r="H30" s="2064"/>
      <c r="I30" s="2065"/>
      <c r="J30" s="2066"/>
      <c r="K30" s="2067"/>
      <c r="L30" s="2068"/>
      <c r="M30" s="2069"/>
    </row>
    <row r="31" spans="1:33" ht="18" customHeight="1">
      <c r="A31" s="1647" t="s">
        <v>1792</v>
      </c>
      <c r="B31" s="783" t="s">
        <v>621</v>
      </c>
      <c r="C31" s="52">
        <f ca="1">ROUND(IF(项目基本情况!B11="自然人",C5*F31,C32+C33+C34),1)</f>
        <v>161.1</v>
      </c>
      <c r="D31" s="1978" t="s">
        <v>1754</v>
      </c>
      <c r="E31" s="1976" t="s">
        <v>1755</v>
      </c>
      <c r="F31" s="809" t="str">
        <f ca="1">IF(项目基本情况!B11="企业","",IF(INDIRECT("'数据-取费表'!c"&amp;$G$1)="住宅",5%,IF(F6*F7*F8/12/(1+'数据-取费表'!C42)&gt;20000,12%,7%)))</f>
        <v/>
      </c>
      <c r="G31" s="2061"/>
      <c r="H31" s="2064"/>
      <c r="I31" s="2065"/>
      <c r="J31" s="2066"/>
      <c r="K31" s="2067"/>
      <c r="L31" s="2068"/>
      <c r="M31" s="2069"/>
    </row>
    <row r="32" spans="1:33" ht="18" customHeight="1">
      <c r="A32" s="1646" t="s">
        <v>1793</v>
      </c>
      <c r="B32" s="783" t="s">
        <v>1756</v>
      </c>
      <c r="C32" s="52">
        <f ca="1">ROUND(C5*F32/1.05,1)</f>
        <v>50.9</v>
      </c>
      <c r="D32" s="1976" t="s">
        <v>1757</v>
      </c>
      <c r="E32" s="783" t="s">
        <v>1758</v>
      </c>
      <c r="F32" s="808">
        <f>'数据-取费表'!B41</f>
        <v>5.6000000000000001E-2</v>
      </c>
      <c r="G32" s="2061"/>
      <c r="H32" s="2070"/>
      <c r="I32" s="2071"/>
      <c r="J32" s="2072"/>
      <c r="K32" s="2073"/>
      <c r="L32" s="2074"/>
      <c r="M32" s="2075"/>
    </row>
    <row r="33" spans="1:18" ht="18" customHeight="1">
      <c r="A33" s="1646" t="s">
        <v>1794</v>
      </c>
      <c r="B33" s="783" t="s">
        <v>1759</v>
      </c>
      <c r="C33" s="52">
        <f ca="1">IF(D33="按租金收入计税",ROUND(C5*F33,1),IF(D33="按房产原值计税",ROUND(C29*F33*0.7,1),INDIRECT("'数据-取费表'!Aj"&amp;$G$1)))</f>
        <v>101.3</v>
      </c>
      <c r="D33" s="810" t="s">
        <v>1645</v>
      </c>
      <c r="E33" s="783" t="s">
        <v>1758</v>
      </c>
      <c r="F33" s="808">
        <f>IF(D33="按租金收入计税",'数据-取费表'!B51,'数据-取费表'!B50)</f>
        <v>1.2E-2</v>
      </c>
      <c r="G33" s="2061"/>
      <c r="H33" s="2076"/>
      <c r="I33" s="2076"/>
      <c r="J33" s="2076"/>
      <c r="K33" s="2077"/>
      <c r="L33" s="2076"/>
      <c r="M33" s="2076"/>
    </row>
    <row r="34" spans="1:18" ht="18" customHeight="1">
      <c r="A34" s="1649" t="s">
        <v>1795</v>
      </c>
      <c r="B34" s="340" t="s">
        <v>1760</v>
      </c>
      <c r="C34" s="53">
        <f ca="1">ROUND(F34*F35/10000,1)</f>
        <v>8.9</v>
      </c>
      <c r="D34" s="813" t="s">
        <v>1761</v>
      </c>
      <c r="E34" s="783" t="s">
        <v>1762</v>
      </c>
      <c r="F34" s="639">
        <f>'数据-取费表'!B52</f>
        <v>12</v>
      </c>
      <c r="G34" s="2061"/>
      <c r="H34" s="2064"/>
      <c r="I34" s="834" t="s">
        <v>1775</v>
      </c>
      <c r="J34" s="835"/>
      <c r="K34" s="2079"/>
      <c r="L34" s="2078"/>
      <c r="M34" s="2078"/>
    </row>
    <row r="35" spans="1:18" ht="18" customHeight="1">
      <c r="A35" s="814"/>
      <c r="B35" s="792"/>
      <c r="C35" s="68"/>
      <c r="D35" s="815"/>
      <c r="E35" s="783" t="s">
        <v>1763</v>
      </c>
      <c r="F35" s="784">
        <f ca="1">INDIRECT("'数据-取费表'!r"&amp;$G$1)</f>
        <v>7409.7000000000007</v>
      </c>
      <c r="G35" s="2061"/>
      <c r="H35" s="2064"/>
      <c r="I35" s="836" t="s">
        <v>1776</v>
      </c>
      <c r="J35" s="837">
        <f ca="1">ROUND(C13*J36,0)</f>
        <v>1025</v>
      </c>
      <c r="K35" s="2077"/>
      <c r="L35" s="2076"/>
      <c r="M35" s="2076"/>
    </row>
    <row r="36" spans="1:18" ht="18" customHeight="1">
      <c r="A36" s="1647" t="s">
        <v>1851</v>
      </c>
      <c r="B36" s="783" t="s">
        <v>1764</v>
      </c>
      <c r="C36" s="52">
        <f ca="1">ROUND(C29*F36,1)</f>
        <v>180.9</v>
      </c>
      <c r="D36" s="1976" t="s">
        <v>1765</v>
      </c>
      <c r="E36" s="783" t="s">
        <v>1758</v>
      </c>
      <c r="F36" s="816">
        <f ca="1">INDIRECT("'数据-取费表'!Ak"&amp;$G$1)</f>
        <v>1.4999999999999999E-2</v>
      </c>
      <c r="G36" s="2061"/>
      <c r="H36" s="2076"/>
      <c r="I36" s="838" t="s">
        <v>1777</v>
      </c>
      <c r="J36" s="839">
        <f ca="1">INDIRECT("'数据-取费表'!j"&amp;$G$1)</f>
        <v>8.5000000000000006E-2</v>
      </c>
      <c r="K36" s="2081"/>
      <c r="L36" s="2076"/>
      <c r="M36" s="2076"/>
    </row>
    <row r="37" spans="1:18" ht="18" customHeight="1">
      <c r="A37" s="1647" t="s">
        <v>1852</v>
      </c>
      <c r="B37" s="783" t="s">
        <v>644</v>
      </c>
      <c r="C37" s="52">
        <f ca="1">ROUND(C13*F37,1)</f>
        <v>18.100000000000001</v>
      </c>
      <c r="D37" s="1976" t="s">
        <v>1766</v>
      </c>
      <c r="E37" s="783" t="s">
        <v>1758</v>
      </c>
      <c r="F37" s="817">
        <f ca="1">INDIRECT("'数据-取费表'!Al"&amp;$G$1)</f>
        <v>1.5E-3</v>
      </c>
      <c r="G37" s="2061"/>
      <c r="H37" s="2076"/>
      <c r="I37" s="840" t="s">
        <v>1778</v>
      </c>
      <c r="J37" s="841"/>
      <c r="K37" s="2081"/>
      <c r="L37" s="2076"/>
      <c r="M37" s="2076"/>
    </row>
    <row r="38" spans="1:18" ht="18" customHeight="1" thickBot="1">
      <c r="A38" s="2550" t="s">
        <v>1853</v>
      </c>
      <c r="B38" s="2545" t="s">
        <v>631</v>
      </c>
      <c r="C38" s="2543">
        <f ca="1">ROUND(C5*F38,1)</f>
        <v>19.100000000000001</v>
      </c>
      <c r="D38" s="2544" t="s">
        <v>1767</v>
      </c>
      <c r="E38" s="2545" t="s">
        <v>1758</v>
      </c>
      <c r="F38" s="2541">
        <f ca="1">INDIRECT("'数据-取费表'!Am"&amp;$G$1)</f>
        <v>0.02</v>
      </c>
      <c r="G38" s="2061"/>
      <c r="H38" s="2076"/>
      <c r="I38" s="842" t="s">
        <v>1779</v>
      </c>
      <c r="J38" s="843"/>
      <c r="K38" s="2082"/>
      <c r="L38" s="2076"/>
      <c r="M38" s="2076"/>
    </row>
    <row r="39" spans="1:18" ht="24.6" customHeight="1" thickTop="1">
      <c r="A39" s="1828" t="s">
        <v>1856</v>
      </c>
      <c r="B39" s="3009" t="s">
        <v>2784</v>
      </c>
      <c r="C39" s="791">
        <f ca="1">C5-C30</f>
        <v>575</v>
      </c>
      <c r="D39" s="2547" t="s">
        <v>1768</v>
      </c>
      <c r="E39" s="2548"/>
      <c r="F39" s="2549"/>
      <c r="G39" s="2061"/>
      <c r="H39" s="2076"/>
      <c r="I39" s="836" t="s">
        <v>1780</v>
      </c>
      <c r="J39" s="844">
        <f ca="1">ROUND(J35/C39,3)</f>
        <v>1.7829999999999999</v>
      </c>
      <c r="K39" s="2082"/>
      <c r="L39" s="2076"/>
      <c r="M39" s="2076"/>
    </row>
    <row r="40" spans="1:18" ht="18" customHeight="1">
      <c r="A40" s="780" t="s">
        <v>1857</v>
      </c>
      <c r="B40" s="2231" t="s">
        <v>2263</v>
      </c>
      <c r="C40" s="782">
        <f ca="1">ROUND(C39*(1-((1+F42)/(1+F40))^F41)/(F40-F42),0)</f>
        <v>16353</v>
      </c>
      <c r="D40" s="813" t="s">
        <v>1769</v>
      </c>
      <c r="E40" s="783" t="s">
        <v>2381</v>
      </c>
      <c r="F40" s="793">
        <f ca="1">INDIRECT("'数据-取费表'!I"&amp;$G$1)</f>
        <v>5.5E-2</v>
      </c>
      <c r="G40" s="2061"/>
      <c r="H40" s="2061"/>
      <c r="I40" s="836" t="s">
        <v>1781</v>
      </c>
      <c r="J40" s="844">
        <f ca="1">1-J39</f>
        <v>-0.78299999999999992</v>
      </c>
      <c r="K40" s="2082"/>
      <c r="L40" s="2061"/>
      <c r="M40" s="2061"/>
    </row>
    <row r="41" spans="1:18" ht="18" customHeight="1">
      <c r="A41" s="785"/>
      <c r="B41" s="786"/>
      <c r="C41" s="787"/>
      <c r="D41" s="820" t="s">
        <v>1770</v>
      </c>
      <c r="E41" s="783" t="s">
        <v>2924</v>
      </c>
      <c r="F41" s="821">
        <f ca="1">IF(INDIRECT("'数据-取费表'!af"&amp;$G$1)=0,INDIRECT("'数据-取费表'!ae"&amp;$G$1),INDIRECT("'数据-取费表'!af"&amp;$G$1))</f>
        <v>43.95</v>
      </c>
      <c r="G41" s="2061"/>
      <c r="H41" s="1987"/>
      <c r="I41" s="842" t="s">
        <v>1782</v>
      </c>
      <c r="J41" s="845"/>
      <c r="K41" s="2081"/>
      <c r="L41" s="1987"/>
      <c r="M41" s="1987"/>
    </row>
    <row r="42" spans="1:18" ht="18" customHeight="1">
      <c r="A42" s="789"/>
      <c r="B42" s="790"/>
      <c r="C42" s="791"/>
      <c r="D42" s="815"/>
      <c r="E42" s="783" t="s">
        <v>1771</v>
      </c>
      <c r="F42" s="793">
        <f ca="1">INDIRECT("'数据-取费表'!v"&amp;$G$1)</f>
        <v>3.5000000000000003E-2</v>
      </c>
      <c r="G42" s="2061"/>
      <c r="H42" s="1987"/>
      <c r="I42" s="846" t="s">
        <v>1783</v>
      </c>
      <c r="J42" s="844">
        <f ca="1">ROUND(C13/C40,3)</f>
        <v>0.73799999999999999</v>
      </c>
      <c r="K42" s="2081"/>
      <c r="L42" s="1987"/>
      <c r="M42" s="1987"/>
    </row>
    <row r="43" spans="1:18" ht="18" customHeight="1" thickBot="1">
      <c r="A43" s="822" t="s">
        <v>1749</v>
      </c>
      <c r="B43" s="823" t="s">
        <v>1772</v>
      </c>
      <c r="C43" s="824">
        <f ca="1">ROUND(C40*10000/F43,0)</f>
        <v>13278</v>
      </c>
      <c r="D43" s="825" t="s">
        <v>1773</v>
      </c>
      <c r="E43" s="826" t="s">
        <v>1774</v>
      </c>
      <c r="F43" s="827">
        <f ca="1">INDIRECT("'数据-取费表'!k"&amp;$G$1)</f>
        <v>12316.199999999999</v>
      </c>
      <c r="G43" s="2061"/>
      <c r="H43" s="1987"/>
      <c r="I43" s="846" t="s">
        <v>1784</v>
      </c>
      <c r="J43" s="847">
        <f ca="1">1-J42</f>
        <v>0.26200000000000001</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2257</v>
      </c>
      <c r="B46" s="2084"/>
      <c r="C46" s="2573">
        <f ca="1">C67-C40</f>
        <v>-21437</v>
      </c>
      <c r="D46" s="2084"/>
      <c r="E46" s="2084"/>
      <c r="F46" s="2084"/>
      <c r="I46" s="2377" t="s">
        <v>2305</v>
      </c>
      <c r="J46" s="2378"/>
      <c r="K46" s="2379"/>
      <c r="L46" s="3160">
        <f>IF(OR(M47="住宅",D1="土地（套用方法）"),0,IF(L48&gt;J51,L60,J60))</f>
        <v>0</v>
      </c>
      <c r="O46" s="2393" t="s">
        <v>2372</v>
      </c>
      <c r="P46" s="1590"/>
      <c r="Q46" s="1602"/>
      <c r="R46" s="1590"/>
    </row>
    <row r="47" spans="1:18" s="2058" customFormat="1" ht="18" customHeight="1" thickBot="1">
      <c r="A47" s="2371">
        <v>1</v>
      </c>
      <c r="B47" s="2372" t="s">
        <v>600</v>
      </c>
      <c r="C47" s="2573">
        <f ca="1">C48+C52+C54</f>
        <v>0</v>
      </c>
      <c r="D47" s="2084"/>
      <c r="E47" s="2084"/>
      <c r="F47" s="2084"/>
      <c r="I47" s="3150" t="s">
        <v>2306</v>
      </c>
      <c r="J47" s="2380" t="s">
        <v>2983</v>
      </c>
      <c r="K47" s="3157" t="s">
        <v>2311</v>
      </c>
      <c r="L47" s="3161">
        <f ca="1">INDIRECT("'数据-取费表'!d"&amp;$G$1)</f>
        <v>50</v>
      </c>
      <c r="M47" s="1602" t="str">
        <f>IF(ISNUMBER(FIND("住宅",C1)),"住宅","非住宅")</f>
        <v>非住宅</v>
      </c>
      <c r="O47" s="2394" t="s">
        <v>2337</v>
      </c>
      <c r="P47" s="2395" t="s">
        <v>2338</v>
      </c>
      <c r="Q47" s="2396" t="s">
        <v>2339</v>
      </c>
      <c r="R47" s="2395" t="s">
        <v>2340</v>
      </c>
    </row>
    <row r="48" spans="1:18" s="2058" customFormat="1" ht="18" customHeight="1" thickBot="1">
      <c r="A48" s="2641" t="s">
        <v>2499</v>
      </c>
      <c r="B48" s="2642" t="s">
        <v>2500</v>
      </c>
      <c r="C48" s="2373">
        <f ca="1">ROUND(F48*F50*F49*(1-F51)/10000,0)</f>
        <v>0</v>
      </c>
      <c r="D48" s="2374" t="s">
        <v>601</v>
      </c>
      <c r="E48" s="2375" t="s">
        <v>2258</v>
      </c>
      <c r="F48" s="2376"/>
      <c r="G48" s="2089"/>
      <c r="I48" s="3126" t="s">
        <v>2307</v>
      </c>
      <c r="J48" s="2381" t="s">
        <v>2312</v>
      </c>
      <c r="K48" s="3158" t="s">
        <v>2313</v>
      </c>
      <c r="L48" s="1907">
        <f ca="1">INDIRECT("'数据-取费表'!f"&amp;$G$1)</f>
        <v>45.45</v>
      </c>
      <c r="O48" s="2397" t="s">
        <v>2341</v>
      </c>
      <c r="P48" s="2398" t="s">
        <v>2367</v>
      </c>
      <c r="Q48" s="2399">
        <f ca="1">C40+J29</f>
        <v>16353</v>
      </c>
      <c r="R48" s="2398" t="s">
        <v>2342</v>
      </c>
    </row>
    <row r="49" spans="1:18" s="2058" customFormat="1" ht="18" customHeight="1" thickBot="1">
      <c r="A49" s="785"/>
      <c r="B49" s="786"/>
      <c r="C49" s="787"/>
      <c r="D49" s="788"/>
      <c r="E49" s="783" t="s">
        <v>1701</v>
      </c>
      <c r="F49" s="784">
        <f ca="1">F7</f>
        <v>1</v>
      </c>
      <c r="G49" s="2089"/>
      <c r="H49" s="2092"/>
      <c r="I49" s="3126" t="s">
        <v>2308</v>
      </c>
      <c r="J49" s="2382">
        <v>2018</v>
      </c>
      <c r="K49" s="3159" t="s">
        <v>2314</v>
      </c>
      <c r="L49" s="2383"/>
      <c r="O49" s="2397" t="s">
        <v>2343</v>
      </c>
      <c r="P49" s="2398" t="s">
        <v>2368</v>
      </c>
      <c r="Q49" s="2399">
        <f ca="1">J60</f>
        <v>4825</v>
      </c>
      <c r="R49" s="2398" t="s">
        <v>2344</v>
      </c>
    </row>
    <row r="50" spans="1:18" s="2058" customFormat="1" ht="18" customHeight="1" thickBot="1">
      <c r="A50" s="785"/>
      <c r="B50" s="786"/>
      <c r="C50" s="787"/>
      <c r="D50" s="788"/>
      <c r="E50" s="783" t="s">
        <v>1702</v>
      </c>
      <c r="F50" s="784">
        <f ca="1">F8</f>
        <v>1</v>
      </c>
      <c r="G50" s="2094"/>
      <c r="H50" s="2092"/>
      <c r="I50" s="3126" t="s">
        <v>2309</v>
      </c>
      <c r="J50" s="3154">
        <f>SUMPRODUCT((I63:I65=J47)*(J62:L62=J48)*(J63:L65))</f>
        <v>60</v>
      </c>
      <c r="K50" s="3159" t="s">
        <v>2315</v>
      </c>
      <c r="L50" s="2383"/>
      <c r="O50" s="2400" t="s">
        <v>2345</v>
      </c>
      <c r="P50" s="2398" t="s">
        <v>2369</v>
      </c>
      <c r="Q50" s="2399">
        <f ca="1">C29</f>
        <v>12062</v>
      </c>
      <c r="R50" s="2398" t="s">
        <v>2342</v>
      </c>
    </row>
    <row r="51" spans="1:18" s="2058" customFormat="1" ht="18" customHeight="1" thickBot="1">
      <c r="A51" s="785"/>
      <c r="B51" s="786"/>
      <c r="C51" s="787"/>
      <c r="D51" s="788"/>
      <c r="E51" s="783" t="s">
        <v>605</v>
      </c>
      <c r="F51" s="2370"/>
      <c r="H51" s="2092"/>
      <c r="I51" s="3151" t="s">
        <v>2310</v>
      </c>
      <c r="J51" s="3155">
        <f>IF(J49="",J50,J49+J50-YEAR('数据-取费表'!B2))</f>
        <v>60</v>
      </c>
      <c r="K51" s="3126" t="s">
        <v>2316</v>
      </c>
      <c r="L51" s="3162">
        <f ca="1">ROUND(-PV(INDIRECT("'数据-取费表'!h"&amp;$G$1),L48,(C39-C13*J36),0),0)</f>
        <v>-8025</v>
      </c>
      <c r="O51" s="2400" t="s">
        <v>2346</v>
      </c>
      <c r="P51" s="2398" t="s">
        <v>2347</v>
      </c>
      <c r="Q51" s="2401">
        <f ca="1">J58</f>
        <v>0.4</v>
      </c>
      <c r="R51" s="2402"/>
    </row>
    <row r="52" spans="1:18" s="2058" customFormat="1" ht="18" customHeight="1" thickBot="1">
      <c r="A52" s="780" t="s">
        <v>2498</v>
      </c>
      <c r="B52" s="2493" t="s">
        <v>2421</v>
      </c>
      <c r="C52" s="798">
        <f ca="1">ROUND(IF(F52="押一",C48/12*F11,IF(F52="押二",C48/12*2*F11,IF(F52="押三",C48/12*3*F11,C53*F11))),0)</f>
        <v>0</v>
      </c>
      <c r="D52" s="2500" t="s">
        <v>2935</v>
      </c>
      <c r="E52" s="2497" t="s">
        <v>2426</v>
      </c>
      <c r="F52" s="2620"/>
      <c r="I52" s="3152" t="s">
        <v>2383</v>
      </c>
      <c r="J52" s="2384"/>
      <c r="K52" s="3152" t="s">
        <v>2382</v>
      </c>
      <c r="L52" s="2384"/>
      <c r="O52" s="2400" t="s">
        <v>2348</v>
      </c>
      <c r="P52" s="2398" t="s">
        <v>2349</v>
      </c>
      <c r="Q52" s="2401">
        <f>J52</f>
        <v>0</v>
      </c>
      <c r="R52" s="2402"/>
    </row>
    <row r="53" spans="1:18" s="2058" customFormat="1" ht="39.75" customHeight="1" thickBot="1">
      <c r="A53" s="785"/>
      <c r="B53" s="2494" t="s">
        <v>2535</v>
      </c>
      <c r="C53" s="2498"/>
      <c r="D53" s="2500"/>
      <c r="E53" s="2497"/>
      <c r="F53" s="799"/>
      <c r="I53" s="3153" t="s">
        <v>2939</v>
      </c>
      <c r="J53" s="3156">
        <f ca="1">IF(M47="住宅",IF(D1="——",MAX(J51,L48),MAX(J51,L48-'数据-取费表'!B20)),IF(D1="——",MIN(J51,L48),MIN(J51,L48-'数据-取费表'!B20)))</f>
        <v>43.95</v>
      </c>
      <c r="K53" s="3453" t="s">
        <v>2926</v>
      </c>
      <c r="L53" s="3454"/>
      <c r="O53" s="2400" t="s">
        <v>2350</v>
      </c>
      <c r="P53" s="2398" t="s">
        <v>2351</v>
      </c>
      <c r="Q53" s="2399">
        <f ca="1">J53</f>
        <v>43.95</v>
      </c>
      <c r="R53" s="2398" t="s">
        <v>2352</v>
      </c>
    </row>
    <row r="54" spans="1:18" s="2058" customFormat="1" ht="18" customHeight="1" thickBot="1">
      <c r="A54" s="2536" t="s">
        <v>2429</v>
      </c>
      <c r="B54" s="2537" t="s">
        <v>2422</v>
      </c>
      <c r="C54" s="2538"/>
      <c r="D54" s="2500"/>
      <c r="E54" s="2497"/>
      <c r="F54" s="799"/>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97" t="s">
        <v>2353</v>
      </c>
      <c r="P54" s="2398" t="s">
        <v>2370</v>
      </c>
      <c r="Q54" s="2399">
        <f ca="1">Q48+Q49</f>
        <v>21178</v>
      </c>
      <c r="R54" s="2402" t="s">
        <v>2354</v>
      </c>
    </row>
    <row r="55" spans="1:18" s="2058" customFormat="1" ht="18" customHeight="1" thickTop="1" thickBot="1">
      <c r="A55" s="796">
        <v>2</v>
      </c>
      <c r="B55" s="797" t="s">
        <v>609</v>
      </c>
      <c r="C55" s="798">
        <f ca="1">C13</f>
        <v>12062</v>
      </c>
      <c r="D55" s="794"/>
      <c r="E55" s="794"/>
      <c r="F55" s="799"/>
      <c r="I55" s="3165" t="s">
        <v>2317</v>
      </c>
      <c r="J55" s="3101">
        <f ca="1">ROUND(IF(J47="钢混",J57/J50,1-(1-2%)*(J50-J57)/J50),3)</f>
        <v>0.24299999999999999</v>
      </c>
      <c r="K55" s="3166" t="s">
        <v>2318</v>
      </c>
      <c r="L55" s="2385"/>
      <c r="O55" s="2403" t="s">
        <v>2373</v>
      </c>
      <c r="P55" s="1590"/>
      <c r="Q55" s="1602"/>
      <c r="R55" s="1590"/>
    </row>
    <row r="56" spans="1:18" s="2058" customFormat="1" ht="42.75" customHeight="1" thickBot="1">
      <c r="A56" s="1648"/>
      <c r="B56" s="2230" t="s">
        <v>2264</v>
      </c>
      <c r="C56" s="52">
        <f ca="1">C29</f>
        <v>12062</v>
      </c>
      <c r="D56" s="2638"/>
      <c r="E56" s="783"/>
      <c r="F56" s="808"/>
      <c r="I56" s="3167" t="s">
        <v>2319</v>
      </c>
      <c r="J56" s="3177"/>
      <c r="K56" s="3126" t="s">
        <v>2324</v>
      </c>
      <c r="L56" s="1907" t="str">
        <f ca="1">IF(L48&lt;J51,"——",L48-J51)</f>
        <v>——</v>
      </c>
      <c r="O56" s="2394" t="s">
        <v>2337</v>
      </c>
      <c r="P56" s="2395" t="s">
        <v>2338</v>
      </c>
      <c r="Q56" s="2396" t="s">
        <v>2339</v>
      </c>
      <c r="R56" s="2395" t="s">
        <v>2340</v>
      </c>
    </row>
    <row r="57" spans="1:18" s="2058" customFormat="1" ht="28.5" customHeight="1" thickBot="1">
      <c r="A57" s="796" t="s">
        <v>1710</v>
      </c>
      <c r="B57" s="797" t="s">
        <v>616</v>
      </c>
      <c r="C57" s="798">
        <f ca="1">ROUND(C58+C63+C64+C65,0)</f>
        <v>309</v>
      </c>
      <c r="D57" s="25" t="s">
        <v>1712</v>
      </c>
      <c r="E57" s="2639"/>
      <c r="F57" s="55"/>
      <c r="I57" s="3168" t="s">
        <v>2320</v>
      </c>
      <c r="J57" s="3169">
        <f ca="1">IF(OR(M47="住宅",J51&lt;L48,J56="是"),"——",J51-L48)</f>
        <v>14.549999999999997</v>
      </c>
      <c r="K57" s="3126" t="s">
        <v>2325</v>
      </c>
      <c r="L57" s="1907" t="str">
        <f ca="1">IF(L48&lt;J51,"——",IF(L55="比较法",L49,IF(L55="基准地价",L50,L51)))</f>
        <v>——</v>
      </c>
      <c r="O57" s="2397" t="s">
        <v>2341</v>
      </c>
      <c r="P57" s="2398" t="s">
        <v>2371</v>
      </c>
      <c r="Q57" s="2399">
        <f ca="1">C40+J29</f>
        <v>16353</v>
      </c>
      <c r="R57" s="2398" t="s">
        <v>2342</v>
      </c>
    </row>
    <row r="58" spans="1:18" s="2058" customFormat="1" ht="28.5" customHeight="1" thickBot="1">
      <c r="A58" s="1647" t="s">
        <v>1786</v>
      </c>
      <c r="B58" s="783" t="s">
        <v>621</v>
      </c>
      <c r="C58" s="52">
        <f ca="1">ROUND(IF(项目基本情况!B11="自然人",C47*F58,C59+C60+C61),1)</f>
        <v>110.2</v>
      </c>
      <c r="D58" s="2637" t="s">
        <v>622</v>
      </c>
      <c r="E58" s="2638" t="s">
        <v>655</v>
      </c>
      <c r="F58" s="809" t="str">
        <f ca="1">IF(项目基本情况!B11="企业","",IF(INDIRECT("'数据-取费表'!c"&amp;$G$1)="住宅",5%,IF(F48*F49*F50/12/(1+'数据-取费表'!C42)&gt;20000,12%,7%)))</f>
        <v/>
      </c>
      <c r="I58" s="3168" t="s">
        <v>2321</v>
      </c>
      <c r="J58" s="3102">
        <f ca="1">IF(J55&lt;0.4,0.4,J55)</f>
        <v>0.4</v>
      </c>
      <c r="K58" s="3126" t="s">
        <v>2326</v>
      </c>
      <c r="L58" s="1907" t="e">
        <f ca="1">ROUND(POWER(1+L52,L47-L48)*(POWER(1+L52,L48)-1)/(POWER(1+L52,L47)-1),4)</f>
        <v>#DIV/0!</v>
      </c>
      <c r="O58" s="2397" t="s">
        <v>2343</v>
      </c>
      <c r="P58" s="2398" t="s">
        <v>2374</v>
      </c>
      <c r="Q58" s="2399">
        <f ca="1">L60</f>
        <v>0</v>
      </c>
      <c r="R58" s="2402" t="s">
        <v>2376</v>
      </c>
    </row>
    <row r="59" spans="1:18" s="2058" customFormat="1" ht="28.5" customHeight="1" thickBot="1">
      <c r="A59" s="1646" t="s">
        <v>1793</v>
      </c>
      <c r="B59" s="783" t="s">
        <v>625</v>
      </c>
      <c r="C59" s="52">
        <f ca="1">ROUND(C47*F59/1.05,1)</f>
        <v>0</v>
      </c>
      <c r="D59" s="2638" t="s">
        <v>1718</v>
      </c>
      <c r="E59" s="783" t="s">
        <v>1709</v>
      </c>
      <c r="F59" s="808">
        <f t="shared" ref="F59:F65" si="0">F32</f>
        <v>5.6000000000000001E-2</v>
      </c>
      <c r="I59" s="3168" t="s">
        <v>2322</v>
      </c>
      <c r="J59" s="3169">
        <f ca="1">IF(OR(M47="住宅",J51&lt;L48,J56="是"),"——",ROUND(C29*J58,0))</f>
        <v>4825</v>
      </c>
      <c r="K59" s="3126"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400" t="s">
        <v>2345</v>
      </c>
      <c r="P59" s="2398" t="s">
        <v>2375</v>
      </c>
      <c r="Q59" s="2399">
        <f>IF(L55="比较法",L49,IF(L55="基准地价",L50,0))</f>
        <v>0</v>
      </c>
      <c r="R59" s="2398" t="s">
        <v>2342</v>
      </c>
    </row>
    <row r="60" spans="1:18" s="2058" customFormat="1" ht="18" customHeight="1" thickBot="1">
      <c r="A60" s="1646" t="s">
        <v>1794</v>
      </c>
      <c r="B60" s="783" t="s">
        <v>1720</v>
      </c>
      <c r="C60" s="52">
        <f ca="1">IF(D60="按租金收入计税",ROUND(C47*F60,1),IF(D60="按房产原值计税",ROUND(C56*F60*0.7,1),INDIRECT("'数据-取费表'!Aj"&amp;$G$1)))</f>
        <v>101.3</v>
      </c>
      <c r="D60" s="2638" t="str">
        <f>D33</f>
        <v>按房产原值计税</v>
      </c>
      <c r="E60" s="783" t="s">
        <v>1709</v>
      </c>
      <c r="F60" s="808">
        <f t="shared" si="0"/>
        <v>1.2E-2</v>
      </c>
      <c r="I60" s="3170" t="s">
        <v>2323</v>
      </c>
      <c r="J60" s="3171">
        <f ca="1">IF(OR(M47="住宅",J51&lt;L48,J56="是"),"0",ROUND(J59/(1+J52)^J53,0))</f>
        <v>4825</v>
      </c>
      <c r="K60" s="3172" t="s">
        <v>2328</v>
      </c>
      <c r="L60" s="3171">
        <f ca="1">IF(OR(M47="住宅",L48&lt;J51),0,ROUND(L57*(L58/L59-1),0))</f>
        <v>0</v>
      </c>
      <c r="O60" s="2400" t="s">
        <v>2346</v>
      </c>
      <c r="P60" s="2398" t="s">
        <v>2355</v>
      </c>
      <c r="Q60" s="2401">
        <f>L52</f>
        <v>0</v>
      </c>
      <c r="R60" s="2402"/>
    </row>
    <row r="61" spans="1:18" s="2058" customFormat="1" ht="18" customHeight="1" thickBot="1">
      <c r="A61" s="1649" t="s">
        <v>1795</v>
      </c>
      <c r="B61" s="340" t="s">
        <v>633</v>
      </c>
      <c r="C61" s="53">
        <f ca="1">ROUND(F61*F62/10000,1)</f>
        <v>8.9</v>
      </c>
      <c r="D61" s="813" t="s">
        <v>634</v>
      </c>
      <c r="E61" s="783" t="s">
        <v>635</v>
      </c>
      <c r="F61" s="639">
        <f t="shared" si="0"/>
        <v>12</v>
      </c>
      <c r="K61" s="2085"/>
      <c r="O61" s="2400" t="s">
        <v>2348</v>
      </c>
      <c r="P61" s="2398" t="s">
        <v>2356</v>
      </c>
      <c r="Q61" s="2399" t="e">
        <f ca="1">L58</f>
        <v>#DIV/0!</v>
      </c>
      <c r="R61" s="2402" t="s">
        <v>2357</v>
      </c>
    </row>
    <row r="62" spans="1:18" s="2058" customFormat="1" ht="16.2" thickBot="1">
      <c r="A62" s="814"/>
      <c r="B62" s="792"/>
      <c r="C62" s="68"/>
      <c r="D62" s="815"/>
      <c r="E62" s="783" t="s">
        <v>639</v>
      </c>
      <c r="F62" s="784">
        <f t="shared" ca="1" si="0"/>
        <v>7409.7000000000007</v>
      </c>
      <c r="I62" s="3173" t="s">
        <v>2329</v>
      </c>
      <c r="J62" s="3174" t="s">
        <v>2330</v>
      </c>
      <c r="K62" s="3174" t="s">
        <v>2331</v>
      </c>
      <c r="L62" s="3174" t="s">
        <v>2312</v>
      </c>
      <c r="M62" s="3175" t="s">
        <v>2904</v>
      </c>
      <c r="O62" s="2400" t="s">
        <v>2350</v>
      </c>
      <c r="P62" s="2398" t="str">
        <f>K59</f>
        <v>建设期及建筑物耐用年限下的土地年期修正系数Kn</v>
      </c>
      <c r="Q62" s="2399" t="e">
        <f ca="1">L59</f>
        <v>#DIV/0!</v>
      </c>
      <c r="R62" s="2402" t="s">
        <v>2359</v>
      </c>
    </row>
    <row r="63" spans="1:18" s="2058" customFormat="1" ht="16.2" thickBot="1">
      <c r="A63" s="1647" t="s">
        <v>1851</v>
      </c>
      <c r="B63" s="783" t="s">
        <v>641</v>
      </c>
      <c r="C63" s="52">
        <f ca="1">ROUND(C56*F63,1)</f>
        <v>180.9</v>
      </c>
      <c r="D63" s="2638" t="s">
        <v>1765</v>
      </c>
      <c r="E63" s="783" t="s">
        <v>1709</v>
      </c>
      <c r="F63" s="816">
        <f t="shared" ca="1" si="0"/>
        <v>1.4999999999999999E-2</v>
      </c>
      <c r="I63" s="3173" t="s">
        <v>2332</v>
      </c>
      <c r="J63" s="3174">
        <v>70</v>
      </c>
      <c r="K63" s="3174">
        <v>50</v>
      </c>
      <c r="L63" s="3174">
        <v>80</v>
      </c>
      <c r="M63" s="3176">
        <v>0.02</v>
      </c>
      <c r="O63" s="2397" t="s">
        <v>2353</v>
      </c>
      <c r="P63" s="2398" t="s">
        <v>2370</v>
      </c>
      <c r="Q63" s="2399">
        <f ca="1">Q57+Q58</f>
        <v>16353</v>
      </c>
      <c r="R63" s="2402" t="s">
        <v>2354</v>
      </c>
    </row>
    <row r="64" spans="1:18" s="2058" customFormat="1" ht="16.2" thickBot="1">
      <c r="A64" s="1647" t="s">
        <v>1852</v>
      </c>
      <c r="B64" s="783" t="s">
        <v>644</v>
      </c>
      <c r="C64" s="52">
        <f ca="1">ROUND(C55*F64,1)</f>
        <v>18.100000000000001</v>
      </c>
      <c r="D64" s="2638" t="s">
        <v>645</v>
      </c>
      <c r="E64" s="783" t="s">
        <v>1709</v>
      </c>
      <c r="F64" s="817">
        <f t="shared" ca="1" si="0"/>
        <v>1.5E-3</v>
      </c>
      <c r="I64" s="3173" t="s">
        <v>2333</v>
      </c>
      <c r="J64" s="3174">
        <v>50</v>
      </c>
      <c r="K64" s="3174">
        <v>35</v>
      </c>
      <c r="L64" s="3174">
        <v>60</v>
      </c>
      <c r="M64" s="845">
        <v>0</v>
      </c>
      <c r="O64" s="2403" t="s">
        <v>2377</v>
      </c>
      <c r="P64" s="1590"/>
      <c r="Q64" s="1602"/>
      <c r="R64" s="1590"/>
    </row>
    <row r="65" spans="1:18" s="2058" customFormat="1" ht="16.2" thickBot="1">
      <c r="A65" s="1647" t="s">
        <v>1853</v>
      </c>
      <c r="B65" s="783" t="s">
        <v>631</v>
      </c>
      <c r="C65" s="52">
        <f ca="1">ROUND(C47*F65,1)</f>
        <v>0</v>
      </c>
      <c r="D65" s="2638" t="s">
        <v>648</v>
      </c>
      <c r="E65" s="783" t="s">
        <v>1709</v>
      </c>
      <c r="F65" s="793">
        <f t="shared" ca="1" si="0"/>
        <v>0.02</v>
      </c>
      <c r="I65" s="3173" t="s">
        <v>2334</v>
      </c>
      <c r="J65" s="3174">
        <v>40</v>
      </c>
      <c r="K65" s="3174">
        <v>30</v>
      </c>
      <c r="L65" s="3174">
        <v>50</v>
      </c>
      <c r="M65" s="3176">
        <v>0.02</v>
      </c>
      <c r="O65" s="2394" t="s">
        <v>2337</v>
      </c>
      <c r="P65" s="2395" t="s">
        <v>2338</v>
      </c>
      <c r="Q65" s="2396" t="s">
        <v>2339</v>
      </c>
      <c r="R65" s="2395" t="s">
        <v>2340</v>
      </c>
    </row>
    <row r="66" spans="1:18" s="2058" customFormat="1" ht="24.6" thickBot="1">
      <c r="A66" s="796" t="s">
        <v>1738</v>
      </c>
      <c r="B66" s="3010" t="s">
        <v>2784</v>
      </c>
      <c r="C66" s="798">
        <f ca="1">C47-C57</f>
        <v>-309</v>
      </c>
      <c r="D66" s="2637" t="s">
        <v>665</v>
      </c>
      <c r="E66" s="2636"/>
      <c r="F66" s="819"/>
      <c r="K66" s="2085"/>
      <c r="O66" s="2397" t="s">
        <v>2341</v>
      </c>
      <c r="P66" s="2398" t="s">
        <v>2371</v>
      </c>
      <c r="Q66" s="2399">
        <f ca="1">C40+J29</f>
        <v>16353</v>
      </c>
      <c r="R66" s="2398" t="s">
        <v>2342</v>
      </c>
    </row>
    <row r="67" spans="1:18" s="2058" customFormat="1" ht="19.2" thickBot="1">
      <c r="A67" s="780" t="s">
        <v>1742</v>
      </c>
      <c r="B67" s="2231" t="s">
        <v>2263</v>
      </c>
      <c r="C67" s="782">
        <f ca="1">ROUND(C66*(1-((1+F69)/(1+F67))^F68)/(F67-F69),0)</f>
        <v>-5084</v>
      </c>
      <c r="D67" s="813" t="s">
        <v>669</v>
      </c>
      <c r="E67" s="783" t="s">
        <v>670</v>
      </c>
      <c r="F67" s="793">
        <f ca="1">F40</f>
        <v>5.5E-2</v>
      </c>
      <c r="K67" s="2085"/>
      <c r="O67" s="2397" t="s">
        <v>2343</v>
      </c>
      <c r="P67" s="2398" t="s">
        <v>2374</v>
      </c>
      <c r="Q67" s="2399">
        <f ca="1">L60</f>
        <v>0</v>
      </c>
      <c r="R67" s="2402" t="s">
        <v>2376</v>
      </c>
    </row>
    <row r="68" spans="1:18" ht="20.399999999999999" thickBot="1">
      <c r="A68" s="785"/>
      <c r="B68" s="786"/>
      <c r="C68" s="787"/>
      <c r="D68" s="820" t="s">
        <v>1770</v>
      </c>
      <c r="E68" s="783" t="s">
        <v>1746</v>
      </c>
      <c r="F68" s="821">
        <f ca="1">F41</f>
        <v>43.95</v>
      </c>
      <c r="O68" s="2400" t="s">
        <v>2345</v>
      </c>
      <c r="P68" s="2398" t="s">
        <v>2375</v>
      </c>
      <c r="Q68" s="2404">
        <f ca="1">L51</f>
        <v>-8025</v>
      </c>
      <c r="R68" s="2405" t="s">
        <v>2378</v>
      </c>
    </row>
    <row r="69" spans="1:18" ht="19.2" thickBot="1">
      <c r="A69" s="789"/>
      <c r="B69" s="790"/>
      <c r="C69" s="791"/>
      <c r="D69" s="815"/>
      <c r="E69" s="783" t="s">
        <v>675</v>
      </c>
      <c r="F69" s="2370"/>
      <c r="O69" s="2400" t="s">
        <v>2346</v>
      </c>
      <c r="P69" s="2406" t="s">
        <v>2360</v>
      </c>
      <c r="Q69" s="2399">
        <f ca="1">ROUND(Q70-Q71*Q72,0)</f>
        <v>-450</v>
      </c>
      <c r="R69" s="2402"/>
    </row>
    <row r="70" spans="1:18" ht="16.2" thickBot="1">
      <c r="A70" s="822" t="s">
        <v>1749</v>
      </c>
      <c r="B70" s="823" t="s">
        <v>1772</v>
      </c>
      <c r="C70" s="824">
        <f ca="1">ROUND(C67*10000/F70,0)</f>
        <v>-4128</v>
      </c>
      <c r="D70" s="825" t="s">
        <v>1773</v>
      </c>
      <c r="E70" s="826" t="s">
        <v>1774</v>
      </c>
      <c r="F70" s="827">
        <f ca="1">F43</f>
        <v>12316.199999999999</v>
      </c>
      <c r="O70" s="2400" t="s">
        <v>2361</v>
      </c>
      <c r="P70" s="2406" t="s">
        <v>2362</v>
      </c>
      <c r="Q70" s="2399">
        <f ca="1">C39</f>
        <v>575</v>
      </c>
      <c r="R70" s="2398" t="s">
        <v>2342</v>
      </c>
    </row>
    <row r="71" spans="1:18" ht="16.2" thickBot="1">
      <c r="O71" s="2400" t="s">
        <v>2363</v>
      </c>
      <c r="P71" s="2406" t="s">
        <v>2364</v>
      </c>
      <c r="Q71" s="2399">
        <f ca="1">C13</f>
        <v>12062</v>
      </c>
      <c r="R71" s="2398" t="s">
        <v>2342</v>
      </c>
    </row>
    <row r="72" spans="1:18" ht="16.2" thickBot="1">
      <c r="O72" s="2400" t="s">
        <v>2365</v>
      </c>
      <c r="P72" s="2406" t="s">
        <v>2366</v>
      </c>
      <c r="Q72" s="2401">
        <f ca="1">J36</f>
        <v>8.5000000000000006E-2</v>
      </c>
      <c r="R72" s="2402"/>
    </row>
    <row r="73" spans="1:18" ht="16.2" thickBot="1">
      <c r="O73" s="2400" t="s">
        <v>2348</v>
      </c>
      <c r="P73" s="2398" t="s">
        <v>2355</v>
      </c>
      <c r="Q73" s="2401">
        <f>L52</f>
        <v>0</v>
      </c>
      <c r="R73" s="2402"/>
    </row>
    <row r="74" spans="1:18" ht="19.2" thickBot="1">
      <c r="O74" s="2400" t="s">
        <v>2350</v>
      </c>
      <c r="P74" s="2398" t="s">
        <v>2356</v>
      </c>
      <c r="Q74" s="2399" t="e">
        <f ca="1">L58</f>
        <v>#DIV/0!</v>
      </c>
      <c r="R74" s="2402" t="s">
        <v>2357</v>
      </c>
    </row>
    <row r="75" spans="1:18" ht="16.2" thickBot="1">
      <c r="O75" s="2400" t="s">
        <v>2379</v>
      </c>
      <c r="P75" s="2398" t="str">
        <f>K59</f>
        <v>建设期及建筑物耐用年限下的土地年期修正系数Kn</v>
      </c>
      <c r="Q75" s="2399" t="e">
        <f ca="1">L59</f>
        <v>#DIV/0!</v>
      </c>
      <c r="R75" s="2402" t="s">
        <v>2359</v>
      </c>
    </row>
    <row r="76" spans="1:18" ht="16.2" thickBot="1">
      <c r="O76" s="2397" t="s">
        <v>2353</v>
      </c>
      <c r="P76" s="2398" t="s">
        <v>2370</v>
      </c>
      <c r="Q76" s="2399">
        <f ca="1">Q66+Q67</f>
        <v>16353</v>
      </c>
      <c r="R76" s="2402" t="s">
        <v>2354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0" workbookViewId="0">
      <selection activeCell="E39" sqref="E39"/>
    </sheetView>
  </sheetViews>
  <sheetFormatPr defaultRowHeight="14.4"/>
  <cols>
    <col min="1" max="1" width="10.44140625" customWidth="1"/>
    <col min="2" max="2" width="12.88671875" customWidth="1"/>
    <col min="3" max="3" width="8.77734375" customWidth="1"/>
  </cols>
  <sheetData>
    <row r="1" spans="1:9" ht="15.6">
      <c r="A1" s="3455" t="s">
        <v>2433</v>
      </c>
      <c r="B1" s="3456"/>
      <c r="C1" s="3457"/>
      <c r="D1" s="3458">
        <f>SUM(I10,I15,I20,I21,I23)</f>
        <v>1192</v>
      </c>
      <c r="E1" s="3458"/>
      <c r="F1" s="3458"/>
      <c r="G1" s="3458"/>
      <c r="H1" s="3458"/>
      <c r="I1" s="3459"/>
    </row>
    <row r="2" spans="1:9">
      <c r="A2" s="3460" t="s">
        <v>2434</v>
      </c>
      <c r="B2" s="3461" t="s">
        <v>2435</v>
      </c>
      <c r="C2" s="3461"/>
      <c r="D2" s="2506" t="s">
        <v>2436</v>
      </c>
      <c r="E2" s="2506" t="s">
        <v>2437</v>
      </c>
      <c r="F2" s="2506" t="s">
        <v>2438</v>
      </c>
      <c r="G2" s="2506" t="s">
        <v>2439</v>
      </c>
      <c r="H2" s="2506" t="s">
        <v>2440</v>
      </c>
      <c r="I2" s="2507" t="s">
        <v>2441</v>
      </c>
    </row>
    <row r="3" spans="1:9">
      <c r="A3" s="3460"/>
      <c r="B3" s="3461" t="s">
        <v>2442</v>
      </c>
      <c r="C3" s="3461"/>
      <c r="D3" s="2508"/>
      <c r="E3" s="2506"/>
      <c r="F3" s="2509"/>
      <c r="G3" s="2509"/>
      <c r="H3" s="2510"/>
      <c r="I3" s="2511">
        <f>ROUND(D3*E3*F3*G3*H3/10000,0)</f>
        <v>0</v>
      </c>
    </row>
    <row r="4" spans="1:9">
      <c r="A4" s="3460"/>
      <c r="B4" s="3461" t="s">
        <v>2443</v>
      </c>
      <c r="C4" s="3461"/>
      <c r="D4" s="2508"/>
      <c r="E4" s="2506"/>
      <c r="F4" s="2509"/>
      <c r="G4" s="2509"/>
      <c r="H4" s="2510"/>
      <c r="I4" s="2511">
        <f t="shared" ref="I4:I9" si="0">ROUND(D4*E4*F4*G4*H4/10000,0)</f>
        <v>0</v>
      </c>
    </row>
    <row r="5" spans="1:9">
      <c r="A5" s="3460"/>
      <c r="B5" s="3461" t="s">
        <v>2444</v>
      </c>
      <c r="C5" s="3461"/>
      <c r="D5" s="2508"/>
      <c r="E5" s="2506"/>
      <c r="F5" s="2509"/>
      <c r="G5" s="2509"/>
      <c r="H5" s="2510"/>
      <c r="I5" s="2511">
        <f t="shared" si="0"/>
        <v>0</v>
      </c>
    </row>
    <row r="6" spans="1:9">
      <c r="A6" s="3460"/>
      <c r="B6" s="3461" t="s">
        <v>2445</v>
      </c>
      <c r="C6" s="3461"/>
      <c r="D6" s="2508">
        <v>50</v>
      </c>
      <c r="E6" s="2506">
        <v>400</v>
      </c>
      <c r="F6" s="2509">
        <v>1</v>
      </c>
      <c r="G6" s="2509">
        <v>0.65</v>
      </c>
      <c r="H6" s="2510">
        <v>365</v>
      </c>
      <c r="I6" s="2511">
        <f>ROUND(D6*E6*F6*G6*H6/10000,0)</f>
        <v>475</v>
      </c>
    </row>
    <row r="7" spans="1:9">
      <c r="A7" s="3460"/>
      <c r="B7" s="3461" t="s">
        <v>2446</v>
      </c>
      <c r="C7" s="3461"/>
      <c r="D7" s="2508"/>
      <c r="E7" s="2506"/>
      <c r="F7" s="2509"/>
      <c r="G7" s="2509"/>
      <c r="H7" s="2510"/>
      <c r="I7" s="2511">
        <f t="shared" si="0"/>
        <v>0</v>
      </c>
    </row>
    <row r="8" spans="1:9">
      <c r="A8" s="3460"/>
      <c r="B8" s="3461" t="s">
        <v>2447</v>
      </c>
      <c r="C8" s="3461"/>
      <c r="D8" s="2508"/>
      <c r="E8" s="2506"/>
      <c r="F8" s="2509"/>
      <c r="G8" s="2509"/>
      <c r="H8" s="2510"/>
      <c r="I8" s="2511">
        <f t="shared" si="0"/>
        <v>0</v>
      </c>
    </row>
    <row r="9" spans="1:9">
      <c r="A9" s="3460"/>
      <c r="B9" s="3461" t="s">
        <v>2448</v>
      </c>
      <c r="C9" s="3461"/>
      <c r="D9" s="2508"/>
      <c r="E9" s="2506"/>
      <c r="F9" s="2509"/>
      <c r="G9" s="2509"/>
      <c r="H9" s="2510"/>
      <c r="I9" s="2511">
        <f t="shared" si="0"/>
        <v>0</v>
      </c>
    </row>
    <row r="10" spans="1:9">
      <c r="A10" s="3460"/>
      <c r="B10" s="3462" t="s">
        <v>2449</v>
      </c>
      <c r="C10" s="3462"/>
      <c r="D10" s="2512">
        <v>527</v>
      </c>
      <c r="E10" s="2512" t="e">
        <f>ROUND(D1*10000/D10/H9,0)</f>
        <v>#DIV/0!</v>
      </c>
      <c r="F10" s="2513"/>
      <c r="G10" s="2513"/>
      <c r="H10" s="2514"/>
      <c r="I10" s="2515">
        <f>SUM(I3:I9)</f>
        <v>475</v>
      </c>
    </row>
    <row r="11" spans="1:9" ht="15.6">
      <c r="A11" s="3460" t="s">
        <v>2450</v>
      </c>
      <c r="B11" s="3461" t="s">
        <v>2451</v>
      </c>
      <c r="C11" s="3461"/>
      <c r="D11" s="2508" t="s">
        <v>2452</v>
      </c>
      <c r="E11" s="2508" t="s">
        <v>2453</v>
      </c>
      <c r="F11" s="2509" t="s">
        <v>2454</v>
      </c>
      <c r="G11" s="2509" t="s">
        <v>2455</v>
      </c>
      <c r="H11" s="2516" t="s">
        <v>2456</v>
      </c>
      <c r="I11" s="2507" t="s">
        <v>2457</v>
      </c>
    </row>
    <row r="12" spans="1:9">
      <c r="A12" s="3460"/>
      <c r="B12" s="3461" t="s">
        <v>2458</v>
      </c>
      <c r="C12" s="3461"/>
      <c r="D12" s="2508"/>
      <c r="E12" s="2508"/>
      <c r="F12" s="2509"/>
      <c r="G12" s="2510"/>
      <c r="H12" s="2517"/>
      <c r="I12" s="2507">
        <f>ROUND(D12*E12*F12*G12/10000,0)</f>
        <v>0</v>
      </c>
    </row>
    <row r="13" spans="1:9">
      <c r="A13" s="3460"/>
      <c r="B13" s="3461" t="s">
        <v>2459</v>
      </c>
      <c r="C13" s="3461"/>
      <c r="D13" s="2508"/>
      <c r="E13" s="2508"/>
      <c r="F13" s="2509"/>
      <c r="G13" s="2510"/>
      <c r="H13" s="2517"/>
      <c r="I13" s="2507">
        <f>ROUND(D13*E13*F13*G13/10000,0)</f>
        <v>0</v>
      </c>
    </row>
    <row r="14" spans="1:9">
      <c r="A14" s="3460"/>
      <c r="B14" s="3461" t="s">
        <v>2460</v>
      </c>
      <c r="C14" s="3461"/>
      <c r="D14" s="2508"/>
      <c r="E14" s="2508"/>
      <c r="F14" s="2509"/>
      <c r="G14" s="2510"/>
      <c r="H14" s="2517"/>
      <c r="I14" s="2507">
        <f>ROUND(D14*E14*F14*G14/10000,0)</f>
        <v>0</v>
      </c>
    </row>
    <row r="15" spans="1:9">
      <c r="A15" s="3460"/>
      <c r="B15" s="3462" t="s">
        <v>2449</v>
      </c>
      <c r="C15" s="3462"/>
      <c r="D15" s="2512"/>
      <c r="E15" s="2512">
        <f>SUM(E12:E14)</f>
        <v>0</v>
      </c>
      <c r="F15" s="2513"/>
      <c r="G15" s="2510"/>
      <c r="H15" s="2517"/>
      <c r="I15" s="2518">
        <f>SUM(I12:I14)</f>
        <v>0</v>
      </c>
    </row>
    <row r="16" spans="1:9" ht="24">
      <c r="A16" s="3460" t="s">
        <v>2461</v>
      </c>
      <c r="B16" s="3461" t="s">
        <v>2462</v>
      </c>
      <c r="C16" s="3461"/>
      <c r="D16" s="2508" t="s">
        <v>2463</v>
      </c>
      <c r="E16" s="2519" t="s">
        <v>2464</v>
      </c>
      <c r="F16" s="2509" t="s">
        <v>2465</v>
      </c>
      <c r="G16" s="2510" t="s">
        <v>2455</v>
      </c>
      <c r="H16" s="2516" t="s">
        <v>2456</v>
      </c>
      <c r="I16" s="2507" t="s">
        <v>2457</v>
      </c>
    </row>
    <row r="17" spans="1:9" ht="15.6">
      <c r="A17" s="3460"/>
      <c r="B17" s="3461" t="s">
        <v>2466</v>
      </c>
      <c r="C17" s="3461"/>
      <c r="D17" s="2508"/>
      <c r="E17" s="2508"/>
      <c r="F17" s="2509"/>
      <c r="G17" s="2510"/>
      <c r="H17" s="2520"/>
      <c r="I17" s="2521">
        <f>ROUND(D17*E17*F17*G17/10000,0)</f>
        <v>0</v>
      </c>
    </row>
    <row r="18" spans="1:9" ht="15.6">
      <c r="A18" s="3460"/>
      <c r="B18" s="3461" t="s">
        <v>2467</v>
      </c>
      <c r="C18" s="3461"/>
      <c r="D18" s="2508"/>
      <c r="E18" s="2508"/>
      <c r="F18" s="2509"/>
      <c r="G18" s="2510"/>
      <c r="H18" s="2520"/>
      <c r="I18" s="2521">
        <f>ROUND(D18*E18*F18*G18/10000,0)</f>
        <v>0</v>
      </c>
    </row>
    <row r="19" spans="1:9" ht="15.6">
      <c r="A19" s="3460"/>
      <c r="B19" s="3461" t="s">
        <v>2468</v>
      </c>
      <c r="C19" s="3461"/>
      <c r="D19" s="2508"/>
      <c r="E19" s="2508"/>
      <c r="F19" s="2509"/>
      <c r="G19" s="2510"/>
      <c r="H19" s="2520"/>
      <c r="I19" s="2521">
        <f>ROUND(D19*E19*F19*G19/10000,0)</f>
        <v>0</v>
      </c>
    </row>
    <row r="20" spans="1:9">
      <c r="A20" s="3460"/>
      <c r="B20" s="3462" t="s">
        <v>2449</v>
      </c>
      <c r="C20" s="3462"/>
      <c r="D20" s="2512">
        <f>SUM(D17:D19)</f>
        <v>0</v>
      </c>
      <c r="E20" s="2512"/>
      <c r="F20" s="2513"/>
      <c r="G20" s="2510"/>
      <c r="H20" s="2517"/>
      <c r="I20" s="2518">
        <f>SUM(I17:I19)</f>
        <v>0</v>
      </c>
    </row>
    <row r="21" spans="1:9">
      <c r="A21" s="3460" t="s">
        <v>2469</v>
      </c>
      <c r="B21" s="3464"/>
      <c r="C21" s="3464"/>
      <c r="D21" s="3464"/>
      <c r="E21" s="3464"/>
      <c r="F21" s="3464"/>
      <c r="G21" s="3464"/>
      <c r="H21" s="2522">
        <v>1</v>
      </c>
      <c r="I21" s="2515">
        <f>ROUND(I10*H21,0)</f>
        <v>475</v>
      </c>
    </row>
    <row r="22" spans="1:9" ht="15.6">
      <c r="A22" s="3465" t="s">
        <v>2470</v>
      </c>
      <c r="B22" s="3466"/>
      <c r="C22" s="3467"/>
      <c r="D22" s="2523" t="s">
        <v>2471</v>
      </c>
      <c r="E22" s="2523" t="s">
        <v>2472</v>
      </c>
      <c r="F22" s="2524" t="s">
        <v>2473</v>
      </c>
      <c r="G22" s="2524" t="s">
        <v>2474</v>
      </c>
      <c r="H22" s="2516" t="s">
        <v>2475</v>
      </c>
      <c r="I22" s="2507" t="s">
        <v>2476</v>
      </c>
    </row>
    <row r="23" spans="1:9" ht="15" thickBot="1">
      <c r="A23" s="3468"/>
      <c r="B23" s="3469"/>
      <c r="C23" s="3470"/>
      <c r="D23" s="2525">
        <f>98.16+152.88+236.88+54.62+109.24+116.56+202.56+118.4+118.44+445.32+159.9+147.44+145.35</f>
        <v>2105.75</v>
      </c>
      <c r="E23" s="2525">
        <v>3.5</v>
      </c>
      <c r="F23" s="2525">
        <v>365</v>
      </c>
      <c r="G23" s="2526">
        <v>0.1</v>
      </c>
      <c r="H23" s="2527"/>
      <c r="I23" s="2528">
        <f>ROUND(E23*D23*F23*(1-G23)/10000,0)</f>
        <v>242</v>
      </c>
    </row>
    <row r="24" spans="1:9">
      <c r="C24" s="3192" t="s">
        <v>3497</v>
      </c>
      <c r="D24">
        <v>124</v>
      </c>
    </row>
    <row r="26" spans="1:9">
      <c r="A26" s="2529" t="s">
        <v>2477</v>
      </c>
      <c r="B26" s="2529"/>
      <c r="C26" s="2529"/>
      <c r="D26" s="2529"/>
      <c r="E26" s="3471">
        <f>C27-C30-C31-C32</f>
        <v>953.59999999999991</v>
      </c>
      <c r="F26" s="3471"/>
      <c r="G26" s="3471"/>
      <c r="H26" s="3043" t="s">
        <v>2805</v>
      </c>
    </row>
    <row r="27" spans="1:9">
      <c r="A27" s="2530">
        <v>1</v>
      </c>
      <c r="B27" s="2531" t="s">
        <v>2478</v>
      </c>
      <c r="C27" s="2531">
        <f>C28+C29</f>
        <v>1192</v>
      </c>
      <c r="D27" s="2531"/>
      <c r="E27" s="3472"/>
      <c r="F27" s="3472"/>
      <c r="G27" s="3472"/>
    </row>
    <row r="28" spans="1:9">
      <c r="A28" s="2532" t="s">
        <v>2479</v>
      </c>
      <c r="B28" s="2531" t="s">
        <v>2480</v>
      </c>
      <c r="C28" s="2531">
        <f>I10</f>
        <v>475</v>
      </c>
      <c r="D28" s="2531"/>
      <c r="E28" s="3472"/>
      <c r="F28" s="3472"/>
      <c r="G28" s="3472"/>
    </row>
    <row r="29" spans="1:9">
      <c r="A29" s="2532" t="s">
        <v>2481</v>
      </c>
      <c r="B29" s="2531" t="s">
        <v>2422</v>
      </c>
      <c r="C29" s="2531">
        <f>I21+I23</f>
        <v>717</v>
      </c>
      <c r="D29" s="2531"/>
      <c r="E29" s="2531" t="s">
        <v>2482</v>
      </c>
      <c r="F29" s="2531"/>
      <c r="G29" s="2531"/>
    </row>
    <row r="30" spans="1:9">
      <c r="A30" s="2530">
        <v>2</v>
      </c>
      <c r="B30" s="2531" t="s">
        <v>2483</v>
      </c>
      <c r="C30" s="2531">
        <f>C27*D30</f>
        <v>119.2</v>
      </c>
      <c r="D30" s="2533">
        <v>0.1</v>
      </c>
      <c r="E30" s="2531" t="s">
        <v>2484</v>
      </c>
      <c r="F30" s="2531"/>
      <c r="G30" s="2531"/>
    </row>
    <row r="31" spans="1:9">
      <c r="A31" s="2530">
        <v>3</v>
      </c>
      <c r="B31" s="2531" t="s">
        <v>2485</v>
      </c>
      <c r="C31" s="2531">
        <f>C27*D31</f>
        <v>59.6</v>
      </c>
      <c r="D31" s="2533">
        <v>0.05</v>
      </c>
      <c r="E31" s="2531" t="s">
        <v>2486</v>
      </c>
      <c r="F31" s="2531"/>
      <c r="G31" s="2531"/>
    </row>
    <row r="32" spans="1:9">
      <c r="A32" s="2530">
        <v>4</v>
      </c>
      <c r="B32" s="2531" t="s">
        <v>2487</v>
      </c>
      <c r="C32" s="2531">
        <f>C27*D32</f>
        <v>59.6</v>
      </c>
      <c r="D32" s="2533">
        <v>0.05</v>
      </c>
      <c r="E32" s="3463"/>
      <c r="F32" s="3463"/>
      <c r="G32" s="3463"/>
    </row>
    <row r="33" spans="1:7" hidden="1">
      <c r="A33" s="3473" t="s">
        <v>2488</v>
      </c>
      <c r="B33" s="3474"/>
      <c r="C33" s="3474"/>
      <c r="D33" s="3475"/>
      <c r="E33" s="3471"/>
      <c r="F33" s="3471"/>
      <c r="G33" s="3471"/>
    </row>
    <row r="34" spans="1:7" hidden="1">
      <c r="A34" s="2534">
        <v>1</v>
      </c>
      <c r="B34" s="2531" t="s">
        <v>2489</v>
      </c>
      <c r="C34" s="2531"/>
      <c r="D34" s="2531"/>
      <c r="E34" s="3472"/>
      <c r="F34" s="3472"/>
      <c r="G34" s="3472"/>
    </row>
    <row r="35" spans="1:7" hidden="1">
      <c r="A35" s="2534">
        <v>2</v>
      </c>
      <c r="B35" s="2531" t="s">
        <v>2490</v>
      </c>
      <c r="C35" s="2531"/>
      <c r="D35" s="2531"/>
      <c r="E35" s="3472"/>
      <c r="F35" s="3472"/>
      <c r="G35" s="3472"/>
    </row>
    <row r="36" spans="1:7" hidden="1">
      <c r="A36" s="2534">
        <v>3</v>
      </c>
      <c r="B36" s="2531" t="s">
        <v>2491</v>
      </c>
      <c r="C36" s="2531"/>
      <c r="D36" s="2531"/>
      <c r="E36" s="3472"/>
      <c r="F36" s="3472"/>
      <c r="G36" s="3472"/>
    </row>
    <row r="37" spans="1:7" hidden="1">
      <c r="A37" s="2534">
        <v>4</v>
      </c>
      <c r="B37" s="2531" t="s">
        <v>2492</v>
      </c>
      <c r="C37" s="2531"/>
      <c r="D37" s="2531"/>
      <c r="E37" s="3472"/>
      <c r="F37" s="3472"/>
      <c r="G37" s="3472"/>
    </row>
    <row r="38" spans="1:7" hidden="1">
      <c r="A38" s="3473" t="s">
        <v>2493</v>
      </c>
      <c r="B38" s="3474"/>
      <c r="C38" s="3474"/>
      <c r="D38" s="3475"/>
      <c r="E38" s="3471"/>
      <c r="F38" s="3471"/>
      <c r="G38" s="347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2"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3203125" defaultRowHeight="13.2"/>
  <cols>
    <col min="1" max="1" width="9.33203125" style="2184" customWidth="1"/>
    <col min="2" max="2" width="26.6640625" style="2185" customWidth="1"/>
    <col min="3" max="3" width="11.109375" style="2185" customWidth="1"/>
    <col min="4" max="5" width="11.109375" style="2186" customWidth="1"/>
    <col min="6" max="6" width="9.44140625" style="2185" customWidth="1"/>
    <col min="7" max="7" width="31.88671875" style="2185" customWidth="1"/>
    <col min="8" max="25" width="9" style="2187" customWidth="1"/>
    <col min="26" max="254" width="9" style="2185" customWidth="1"/>
    <col min="255" max="16384" width="8.33203125" style="2185"/>
  </cols>
  <sheetData>
    <row r="1" spans="1:25" s="2058" customFormat="1" ht="21">
      <c r="A1" s="420" t="s">
        <v>568</v>
      </c>
      <c r="B1" s="741"/>
      <c r="C1" s="2181"/>
      <c r="D1" s="2181"/>
      <c r="E1" s="2181"/>
      <c r="F1" s="2181"/>
      <c r="G1" s="2107"/>
    </row>
    <row r="2" spans="1:25" s="2058" customFormat="1" ht="18" customHeight="1">
      <c r="A2" s="422" t="s">
        <v>432</v>
      </c>
      <c r="B2" s="424">
        <f ca="1">C23</f>
        <v>0</v>
      </c>
      <c r="C2" s="2107"/>
      <c r="D2" s="2107"/>
      <c r="E2" s="2107"/>
      <c r="F2" s="2107"/>
      <c r="G2" s="2107"/>
    </row>
    <row r="3" spans="1:25" s="2058" customFormat="1" ht="18" customHeight="1">
      <c r="A3" s="1377" t="s">
        <v>1647</v>
      </c>
      <c r="B3" s="424">
        <f ca="1">ROUND(B2*10000/'数据-汇总表'!E3,0)</f>
        <v>0</v>
      </c>
      <c r="C3" s="2107"/>
      <c r="D3" s="2107"/>
      <c r="E3" s="2107"/>
      <c r="F3" s="2107"/>
      <c r="G3" s="2107"/>
    </row>
    <row r="4" spans="1:25" s="2058" customFormat="1" ht="18" customHeight="1">
      <c r="A4" s="425" t="s">
        <v>433</v>
      </c>
      <c r="B4" s="426">
        <f ca="1">ROUND(B2*10000/'数据-汇总表'!D3,0)</f>
        <v>0</v>
      </c>
      <c r="C4" s="2060"/>
      <c r="D4" s="2107"/>
      <c r="E4" s="2107"/>
      <c r="F4" s="2107"/>
      <c r="G4" s="2107"/>
    </row>
    <row r="5" spans="1:25" s="2058" customFormat="1" ht="18" customHeight="1" thickBot="1">
      <c r="A5" s="428"/>
      <c r="B5" s="429">
        <f ca="1">ROUND(B2/('数据-汇总表'!D3/666.67),0)</f>
        <v>0</v>
      </c>
      <c r="C5" s="430" t="s">
        <v>434</v>
      </c>
      <c r="D5" s="2107"/>
      <c r="E5" s="2107"/>
      <c r="F5" s="2107"/>
      <c r="G5" s="2107"/>
    </row>
    <row r="6" spans="1:25" s="2182" customFormat="1" ht="13.5" customHeight="1">
      <c r="A6" s="742"/>
      <c r="B6" s="743" t="s">
        <v>569</v>
      </c>
      <c r="C6" s="744" t="s">
        <v>570</v>
      </c>
      <c r="D6" s="744" t="s">
        <v>571</v>
      </c>
      <c r="E6" s="745" t="s">
        <v>572</v>
      </c>
      <c r="F6" s="745" t="s">
        <v>573</v>
      </c>
      <c r="G6" s="746"/>
    </row>
    <row r="7" spans="1:25" s="2182" customFormat="1" ht="13.5" customHeight="1">
      <c r="A7" s="2468">
        <v>1</v>
      </c>
      <c r="B7" s="747" t="s">
        <v>574</v>
      </c>
      <c r="C7" s="748">
        <f>C8+C9</f>
        <v>0</v>
      </c>
      <c r="D7" s="748"/>
      <c r="E7" s="749"/>
      <c r="F7" s="749"/>
      <c r="G7" s="2478"/>
    </row>
    <row r="8" spans="1:25" s="2182" customFormat="1" ht="13.5" customHeight="1">
      <c r="A8" s="2468" t="s">
        <v>2402</v>
      </c>
      <c r="B8" s="2471" t="s">
        <v>2404</v>
      </c>
      <c r="C8" s="2472"/>
      <c r="D8" s="748"/>
      <c r="E8" s="749"/>
      <c r="F8" s="749"/>
      <c r="G8" s="750"/>
    </row>
    <row r="9" spans="1:25" s="2182" customFormat="1" ht="13.5" customHeight="1">
      <c r="A9" s="2468" t="s">
        <v>2403</v>
      </c>
      <c r="B9" s="2471" t="s">
        <v>2405</v>
      </c>
      <c r="C9" s="2472"/>
      <c r="D9" s="748"/>
      <c r="E9" s="749"/>
      <c r="F9" s="749"/>
      <c r="G9" s="750"/>
    </row>
    <row r="10" spans="1:25" s="2182" customFormat="1" ht="36">
      <c r="A10" s="2468">
        <v>2</v>
      </c>
      <c r="B10" s="747" t="s">
        <v>578</v>
      </c>
      <c r="C10" s="748">
        <f>C11+C14+C15</f>
        <v>0</v>
      </c>
      <c r="D10" s="759">
        <f>'数据-汇总表'!E3</f>
        <v>21457.599999999999</v>
      </c>
      <c r="E10" s="748">
        <f>'数据-取费表'!B31</f>
        <v>120</v>
      </c>
      <c r="F10" s="760"/>
      <c r="G10" s="758" t="s">
        <v>579</v>
      </c>
    </row>
    <row r="11" spans="1:25" s="2182" customFormat="1" ht="13.5" customHeight="1">
      <c r="A11" s="2468" t="s">
        <v>2402</v>
      </c>
      <c r="B11" s="751" t="s">
        <v>575</v>
      </c>
      <c r="C11" s="752">
        <f>'数据-取费表'!B29</f>
        <v>0</v>
      </c>
      <c r="D11" s="753"/>
      <c r="E11" s="752"/>
      <c r="F11" s="754"/>
      <c r="G11" s="2477" t="s">
        <v>2413</v>
      </c>
    </row>
    <row r="12" spans="1:25" s="2182" customFormat="1" ht="13.5" customHeight="1">
      <c r="A12" s="2475" t="s">
        <v>2410</v>
      </c>
      <c r="B12" s="755" t="s">
        <v>576</v>
      </c>
      <c r="C12" s="756">
        <f>ROUND(D12*E12/10000,0)</f>
        <v>0</v>
      </c>
      <c r="D12" s="757">
        <f>'数据-汇总表'!E5</f>
        <v>0</v>
      </c>
      <c r="E12" s="756">
        <f>'数据-取费表'!B27</f>
        <v>220</v>
      </c>
      <c r="F12" s="754"/>
      <c r="G12" s="758"/>
    </row>
    <row r="13" spans="1:25" s="2182" customFormat="1" ht="13.5" customHeight="1">
      <c r="A13" s="2475" t="s">
        <v>2409</v>
      </c>
      <c r="B13" s="755" t="s">
        <v>577</v>
      </c>
      <c r="C13" s="756">
        <f>ROUND(D13*E13/10000,0)</f>
        <v>472</v>
      </c>
      <c r="D13" s="757">
        <f>'数据-汇总表'!E6</f>
        <v>21457.599999999999</v>
      </c>
      <c r="E13" s="756">
        <f>'数据-取费表'!B28</f>
        <v>220</v>
      </c>
      <c r="F13" s="754"/>
      <c r="G13" s="758"/>
    </row>
    <row r="14" spans="1:25" s="2182" customFormat="1" ht="13.5" customHeight="1">
      <c r="A14" s="2468" t="s">
        <v>2403</v>
      </c>
      <c r="B14" s="2474" t="s">
        <v>2406</v>
      </c>
      <c r="C14" s="2472"/>
      <c r="D14" s="757"/>
      <c r="E14" s="756"/>
      <c r="F14" s="2473"/>
      <c r="G14" s="2476" t="s">
        <v>2411</v>
      </c>
    </row>
    <row r="15" spans="1:25" s="2182" customFormat="1" ht="13.5" customHeight="1">
      <c r="A15" s="2468" t="s">
        <v>2408</v>
      </c>
      <c r="B15" s="2474" t="s">
        <v>2407</v>
      </c>
      <c r="C15" s="2472"/>
      <c r="D15" s="757"/>
      <c r="E15" s="756"/>
      <c r="F15" s="2473"/>
      <c r="G15" s="2476" t="s">
        <v>2412</v>
      </c>
    </row>
    <row r="16" spans="1:25" s="2183" customFormat="1" ht="48">
      <c r="A16" s="2468">
        <v>3</v>
      </c>
      <c r="B16" s="747" t="s">
        <v>580</v>
      </c>
      <c r="C16" s="2472"/>
      <c r="D16" s="759"/>
      <c r="E16" s="748"/>
      <c r="F16" s="760"/>
      <c r="G16" s="758" t="s">
        <v>2414</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6.4">
      <c r="A17" s="2469">
        <v>4</v>
      </c>
      <c r="B17" s="747" t="s">
        <v>581</v>
      </c>
      <c r="C17" s="2572">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7" t="s">
        <v>582</v>
      </c>
      <c r="C18" s="748">
        <f>ROUND((C7+C10+C16)*F18,0)</f>
        <v>0</v>
      </c>
      <c r="D18" s="761"/>
      <c r="E18" s="762"/>
      <c r="F18" s="760">
        <f>'数据-取费表'!Q16</f>
        <v>0.1</v>
      </c>
      <c r="G18" s="764" t="s">
        <v>583</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7" t="s">
        <v>584</v>
      </c>
      <c r="C19" s="748">
        <f ca="1">C7+C10+C16+C17+C18</f>
        <v>0</v>
      </c>
      <c r="D19" s="759"/>
      <c r="E19" s="748"/>
      <c r="F19" s="760"/>
      <c r="G19" s="764" t="s">
        <v>585</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5.2">
      <c r="A20" s="2468">
        <v>7</v>
      </c>
      <c r="B20" s="747" t="s">
        <v>586</v>
      </c>
      <c r="C20" s="748">
        <f ca="1">ROUND(C19*F20,0)</f>
        <v>0</v>
      </c>
      <c r="D20" s="759"/>
      <c r="E20" s="748"/>
      <c r="F20" s="1347"/>
      <c r="G20" s="764" t="s">
        <v>587</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7" t="s">
        <v>588</v>
      </c>
      <c r="C21" s="748">
        <f ca="1">C19+C20</f>
        <v>0</v>
      </c>
      <c r="D21" s="759"/>
      <c r="E21" s="748"/>
      <c r="F21" s="760"/>
      <c r="G21" s="764" t="s">
        <v>589</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7" t="s">
        <v>590</v>
      </c>
      <c r="C22" s="748">
        <f ca="1">ROUND(C21*F22,0)</f>
        <v>0</v>
      </c>
      <c r="D22" s="759"/>
      <c r="E22" s="748"/>
      <c r="F22" s="765">
        <f>'数据-取费表'!AP16</f>
        <v>0.89100000000000001</v>
      </c>
      <c r="G22" s="764" t="s">
        <v>591</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6" t="s">
        <v>592</v>
      </c>
      <c r="C23" s="767">
        <f ca="1">C22</f>
        <v>0</v>
      </c>
      <c r="D23" s="768"/>
      <c r="E23" s="767"/>
      <c r="F23" s="769"/>
      <c r="G23" s="770"/>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I47" sqref="I47:I48"/>
    </sheetView>
  </sheetViews>
  <sheetFormatPr defaultColWidth="9" defaultRowHeight="13.8"/>
  <cols>
    <col min="1" max="1" width="10.44140625" style="1335" customWidth="1"/>
    <col min="2" max="2" width="15.77734375" style="1335" customWidth="1"/>
    <col min="3" max="3" width="16.88671875" style="1335" customWidth="1"/>
    <col min="4" max="4" width="12.21875" style="1335" customWidth="1"/>
    <col min="5" max="5" width="16.109375" style="1335" customWidth="1"/>
    <col min="6" max="6" width="12.21875" style="1335" customWidth="1"/>
    <col min="7" max="7" width="17.6640625" style="1335" customWidth="1"/>
    <col min="8" max="8" width="12.21875" style="1335" customWidth="1"/>
    <col min="9" max="9" width="15.8867187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683</v>
      </c>
      <c r="B1" s="2622" t="s">
        <v>684</v>
      </c>
      <c r="C1" s="2623" t="s">
        <v>685</v>
      </c>
      <c r="D1" s="2624" t="s">
        <v>2942</v>
      </c>
      <c r="E1" s="2625"/>
      <c r="F1" s="2806" t="s">
        <v>2987</v>
      </c>
      <c r="G1" s="1599" t="s">
        <v>686</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60" customFormat="1" ht="28.5" customHeight="1">
      <c r="A2" s="422" t="s">
        <v>432</v>
      </c>
      <c r="B2" s="2621" t="e">
        <f>ROUND(B3*D3/10000,0)</f>
        <v>#DIV/0!</v>
      </c>
      <c r="C2" s="2126"/>
      <c r="D2" s="2126"/>
      <c r="E2" s="2126"/>
      <c r="F2" s="2200"/>
      <c r="G2" s="2126"/>
      <c r="H2" s="2126"/>
      <c r="I2" s="2126"/>
      <c r="J2" s="2126"/>
      <c r="K2" s="2201"/>
      <c r="L2" s="2202"/>
      <c r="M2" s="2203"/>
      <c r="N2" s="2203"/>
      <c r="O2" s="2203"/>
      <c r="P2" s="1600"/>
      <c r="Q2" s="1600"/>
      <c r="R2" s="1600"/>
      <c r="S2" s="1600"/>
      <c r="T2" s="1600"/>
      <c r="U2" s="1600"/>
      <c r="V2" s="1600"/>
      <c r="W2" s="1600"/>
      <c r="X2" s="1600"/>
      <c r="Y2" s="1600"/>
      <c r="Z2" s="1600"/>
      <c r="AA2" s="1600"/>
      <c r="AB2" s="1600"/>
      <c r="AC2" s="1601"/>
    </row>
    <row r="3" spans="1:29" s="1360" customFormat="1" ht="28.5" customHeight="1" thickBot="1">
      <c r="A3" s="508" t="s">
        <v>484</v>
      </c>
      <c r="B3" s="850" t="e">
        <f>C49</f>
        <v>#DIV/0!</v>
      </c>
      <c r="C3" s="851" t="s">
        <v>687</v>
      </c>
      <c r="D3" s="850">
        <f>SUMIF('数据-汇总表'!$C19:$C33,D1,'数据-汇总表'!$E19:$E33)</f>
        <v>0</v>
      </c>
      <c r="E3" s="2126"/>
      <c r="F3" s="2200"/>
      <c r="G3" s="2126"/>
      <c r="H3" s="2126"/>
      <c r="I3" s="2126"/>
      <c r="J3" s="2126"/>
      <c r="K3" s="2201"/>
      <c r="L3" s="2202"/>
      <c r="M3" s="2203"/>
      <c r="N3" s="2203"/>
      <c r="O3" s="2203"/>
      <c r="P3" s="1600"/>
      <c r="Q3" s="1600"/>
      <c r="R3" s="1600"/>
      <c r="S3" s="1600"/>
      <c r="T3" s="1600"/>
      <c r="U3" s="1600"/>
      <c r="V3" s="1600"/>
      <c r="W3" s="1600"/>
      <c r="X3" s="1600"/>
      <c r="Y3" s="1600"/>
      <c r="Z3" s="1600"/>
      <c r="AA3" s="1600"/>
      <c r="AB3" s="1600"/>
      <c r="AC3" s="1602"/>
    </row>
    <row r="4" spans="1:29" ht="14.4">
      <c r="A4" s="511" t="s">
        <v>486</v>
      </c>
      <c r="B4" s="512"/>
      <c r="C4" s="3368" t="s">
        <v>487</v>
      </c>
      <c r="D4" s="3369"/>
      <c r="E4" s="3404" t="s">
        <v>488</v>
      </c>
      <c r="F4" s="3405"/>
      <c r="G4" s="3368" t="s">
        <v>489</v>
      </c>
      <c r="H4" s="3369"/>
      <c r="I4" s="3368" t="s">
        <v>490</v>
      </c>
      <c r="J4" s="3369"/>
      <c r="K4" s="852" t="s">
        <v>491</v>
      </c>
      <c r="L4" s="2132"/>
      <c r="M4" s="2133"/>
      <c r="N4" s="2133"/>
      <c r="O4" s="2133"/>
      <c r="P4" s="3370" t="s">
        <v>492</v>
      </c>
      <c r="Q4" s="3371"/>
      <c r="R4" s="3376" t="s">
        <v>488</v>
      </c>
      <c r="S4" s="3377"/>
      <c r="T4" s="3376" t="s">
        <v>489</v>
      </c>
      <c r="U4" s="3377"/>
      <c r="V4" s="3363" t="s">
        <v>490</v>
      </c>
      <c r="W4" s="3363"/>
      <c r="X4" s="1565"/>
      <c r="Y4" s="3376" t="s">
        <v>492</v>
      </c>
      <c r="Z4" s="3377"/>
      <c r="AA4" s="3365" t="s">
        <v>488</v>
      </c>
      <c r="AB4" s="3365" t="s">
        <v>489</v>
      </c>
      <c r="AC4" s="3365" t="s">
        <v>490</v>
      </c>
    </row>
    <row r="5" spans="1:29">
      <c r="A5" s="514"/>
      <c r="B5" s="515"/>
      <c r="C5" s="3384" t="s">
        <v>2991</v>
      </c>
      <c r="D5" s="3385"/>
      <c r="E5" s="3480" t="s">
        <v>2988</v>
      </c>
      <c r="F5" s="3407"/>
      <c r="G5" s="3384" t="s">
        <v>3075</v>
      </c>
      <c r="H5" s="3385"/>
      <c r="I5" s="3384" t="s">
        <v>3018</v>
      </c>
      <c r="J5" s="3385"/>
      <c r="K5" s="853"/>
      <c r="L5" s="2132"/>
      <c r="M5" s="2133"/>
      <c r="N5" s="2133"/>
      <c r="O5" s="2133"/>
      <c r="P5" s="3372"/>
      <c r="Q5" s="3373"/>
      <c r="R5" s="3378"/>
      <c r="S5" s="3379"/>
      <c r="T5" s="3378"/>
      <c r="U5" s="3379"/>
      <c r="V5" s="3363"/>
      <c r="W5" s="3363"/>
      <c r="X5" s="1565"/>
      <c r="Y5" s="3378"/>
      <c r="Z5" s="3379"/>
      <c r="AA5" s="3366"/>
      <c r="AB5" s="3366"/>
      <c r="AC5" s="3366"/>
    </row>
    <row r="6" spans="1:29" ht="15" thickBot="1">
      <c r="A6" s="516"/>
      <c r="B6" s="517"/>
      <c r="C6" s="3382" t="s">
        <v>2990</v>
      </c>
      <c r="D6" s="3383"/>
      <c r="E6" s="3479" t="s">
        <v>2989</v>
      </c>
      <c r="F6" s="3403"/>
      <c r="G6" s="3382" t="s">
        <v>3017</v>
      </c>
      <c r="H6" s="3383"/>
      <c r="I6" s="3382" t="s">
        <v>3019</v>
      </c>
      <c r="J6" s="3383"/>
      <c r="K6" s="853" t="s">
        <v>493</v>
      </c>
      <c r="L6" s="2132"/>
      <c r="M6" s="2133"/>
      <c r="N6" s="2133"/>
      <c r="O6" s="2133"/>
      <c r="P6" s="3374"/>
      <c r="Q6" s="3375"/>
      <c r="R6" s="3378"/>
      <c r="S6" s="3379"/>
      <c r="T6" s="3380"/>
      <c r="U6" s="3381"/>
      <c r="V6" s="3363"/>
      <c r="W6" s="3363"/>
      <c r="X6" s="1565"/>
      <c r="Y6" s="3380"/>
      <c r="Z6" s="3381"/>
      <c r="AA6" s="3367"/>
      <c r="AB6" s="3367"/>
      <c r="AC6" s="3367"/>
    </row>
    <row r="7" spans="1:29" s="1218" customFormat="1" ht="15" thickBot="1">
      <c r="A7" s="2911"/>
      <c r="B7" s="2918" t="s">
        <v>494</v>
      </c>
      <c r="C7" s="518">
        <f>'数据-取费表'!B2</f>
        <v>43458</v>
      </c>
      <c r="D7" s="519">
        <v>100</v>
      </c>
      <c r="E7" s="520">
        <v>43416</v>
      </c>
      <c r="F7" s="521">
        <f>SUMIF(58:58,YEAR(E7)&amp;"-"&amp;MONTH(E7),59:59)</f>
        <v>0</v>
      </c>
      <c r="G7" s="522">
        <v>43416</v>
      </c>
      <c r="H7" s="519">
        <f>SUMIF(58:58,YEAR(G7)&amp;"-"&amp;MONTH(G7),59:59)</f>
        <v>0</v>
      </c>
      <c r="I7" s="522">
        <v>43416</v>
      </c>
      <c r="J7" s="519">
        <f>SUMIF(58:58,YEAR(I7)&amp;"-"&amp;MONTH(I7),59:59)</f>
        <v>0</v>
      </c>
      <c r="K7" s="854"/>
      <c r="L7" s="2134"/>
      <c r="M7" s="2135"/>
      <c r="N7" s="2135"/>
      <c r="O7" s="2135"/>
      <c r="P7" s="3393" t="s">
        <v>495</v>
      </c>
      <c r="Q7" s="3395"/>
      <c r="R7" s="1566" t="s">
        <v>12</v>
      </c>
      <c r="S7" s="1567">
        <f t="shared" ref="S7:S15" si="0">F7</f>
        <v>0</v>
      </c>
      <c r="T7" s="1566" t="s">
        <v>12</v>
      </c>
      <c r="U7" s="1567">
        <f t="shared" ref="U7:U15" si="1">H7</f>
        <v>0</v>
      </c>
      <c r="V7" s="1566" t="s">
        <v>12</v>
      </c>
      <c r="W7" s="1567">
        <f t="shared" ref="W7:W15" si="2">J7</f>
        <v>0</v>
      </c>
      <c r="X7" s="1568"/>
      <c r="Y7" s="3393" t="s">
        <v>495</v>
      </c>
      <c r="Z7" s="3394"/>
      <c r="AA7" s="1569" t="e">
        <f>D7/F7</f>
        <v>#DIV/0!</v>
      </c>
      <c r="AB7" s="1569" t="e">
        <f>D7/H7</f>
        <v>#DIV/0!</v>
      </c>
      <c r="AC7" s="1569" t="e">
        <f>D7/J7</f>
        <v>#DIV/0!</v>
      </c>
    </row>
    <row r="8" spans="1:29" s="1218" customFormat="1" ht="15" thickBot="1">
      <c r="A8" s="2912"/>
      <c r="B8" s="2919" t="s">
        <v>496</v>
      </c>
      <c r="C8" s="524" t="s">
        <v>541</v>
      </c>
      <c r="D8" s="519">
        <v>100</v>
      </c>
      <c r="E8" s="524" t="s">
        <v>541</v>
      </c>
      <c r="F8" s="521">
        <f>SUMIF(61:61,E8,62:62)-SUMIF(61:61,C8,62:62)+100</f>
        <v>100</v>
      </c>
      <c r="G8" s="524" t="s">
        <v>541</v>
      </c>
      <c r="H8" s="519">
        <f>SUMIF(61:61,G8,62:62)-SUMIF(61:61,C8,62:62)+100</f>
        <v>100</v>
      </c>
      <c r="I8" s="524" t="s">
        <v>541</v>
      </c>
      <c r="J8" s="519">
        <f>SUMIF(61:61,I8,62:62)-SUMIF(61:61,C8,62:62)+100</f>
        <v>100</v>
      </c>
      <c r="K8" s="854"/>
      <c r="L8" s="2134"/>
      <c r="M8" s="2135"/>
      <c r="N8" s="2135"/>
      <c r="O8" s="2135"/>
      <c r="P8" s="3393" t="s">
        <v>498</v>
      </c>
      <c r="Q8" s="3394"/>
      <c r="R8" s="1566" t="s">
        <v>12</v>
      </c>
      <c r="S8" s="1567">
        <f t="shared" si="0"/>
        <v>100</v>
      </c>
      <c r="T8" s="1566" t="s">
        <v>12</v>
      </c>
      <c r="U8" s="1567">
        <f t="shared" si="1"/>
        <v>100</v>
      </c>
      <c r="V8" s="1566" t="s">
        <v>12</v>
      </c>
      <c r="W8" s="1567">
        <f t="shared" si="2"/>
        <v>100</v>
      </c>
      <c r="X8" s="1568"/>
      <c r="Y8" s="3393" t="s">
        <v>498</v>
      </c>
      <c r="Z8" s="3394"/>
      <c r="AA8" s="1569">
        <f t="shared" ref="AA8:AA46" si="3">D8/F8</f>
        <v>1</v>
      </c>
      <c r="AB8" s="1569">
        <f t="shared" ref="AB8:AB46" si="4">D8/H8</f>
        <v>1</v>
      </c>
      <c r="AC8" s="1569">
        <f t="shared" ref="AC8:AC46" si="5">D8/J8</f>
        <v>1</v>
      </c>
    </row>
    <row r="9" spans="1:29" s="1218" customFormat="1" ht="14.4">
      <c r="A9" s="2913"/>
      <c r="B9" s="2920" t="s">
        <v>2718</v>
      </c>
      <c r="C9" s="3181" t="s">
        <v>2993</v>
      </c>
      <c r="D9" s="253">
        <v>100</v>
      </c>
      <c r="E9" s="857" t="s">
        <v>888</v>
      </c>
      <c r="F9" s="858">
        <f>SUMIF(63:63,E9,64:64)-SUMIF(63:63,C9,64:64)+100</f>
        <v>100</v>
      </c>
      <c r="G9" s="857" t="s">
        <v>888</v>
      </c>
      <c r="H9" s="253">
        <f>SUMIF(63:63,G9,64:64)-SUMIF(63:63,C9,64:64)+100</f>
        <v>100</v>
      </c>
      <c r="I9" s="857" t="s">
        <v>888</v>
      </c>
      <c r="J9" s="253">
        <f>SUMIF(63:63,I9,64:64)-SUMIF(63:63,C9,64:64)+100</f>
        <v>100</v>
      </c>
      <c r="K9" s="854"/>
      <c r="L9" s="2134"/>
      <c r="M9" s="2135"/>
      <c r="N9" s="2135"/>
      <c r="O9" s="2136"/>
      <c r="P9" s="3362" t="s">
        <v>500</v>
      </c>
      <c r="Q9" s="1149" t="str">
        <f t="shared" ref="Q9:Q15" si="6">B9</f>
        <v>用途</v>
      </c>
      <c r="R9" s="1566" t="s">
        <v>8</v>
      </c>
      <c r="S9" s="1567">
        <f t="shared" si="0"/>
        <v>100</v>
      </c>
      <c r="T9" s="1566" t="s">
        <v>8</v>
      </c>
      <c r="U9" s="1567">
        <f t="shared" si="1"/>
        <v>100</v>
      </c>
      <c r="V9" s="1566" t="s">
        <v>8</v>
      </c>
      <c r="W9" s="1567">
        <f t="shared" si="2"/>
        <v>100</v>
      </c>
      <c r="X9" s="1568"/>
      <c r="Y9" s="3308" t="s">
        <v>501</v>
      </c>
      <c r="Z9" s="1148" t="str">
        <f t="shared" ref="Z9:Z15" si="7">Q9</f>
        <v>用途</v>
      </c>
      <c r="AA9" s="1569">
        <f t="shared" si="3"/>
        <v>1</v>
      </c>
      <c r="AB9" s="1569">
        <f t="shared" si="4"/>
        <v>1</v>
      </c>
      <c r="AC9" s="1569">
        <f t="shared" si="5"/>
        <v>1</v>
      </c>
    </row>
    <row r="10" spans="1:29" s="1336" customFormat="1" ht="28.8">
      <c r="A10" s="2914"/>
      <c r="B10" s="2919" t="s">
        <v>2719</v>
      </c>
      <c r="C10" s="860" t="s">
        <v>2994</v>
      </c>
      <c r="D10" s="254">
        <v>100</v>
      </c>
      <c r="E10" s="860" t="s">
        <v>2994</v>
      </c>
      <c r="F10" s="862">
        <f>SUMIF(65:65,E10,66:66)-SUMIF(65:65,C10,66:66)+100</f>
        <v>100</v>
      </c>
      <c r="G10" s="860" t="s">
        <v>2994</v>
      </c>
      <c r="H10" s="254">
        <f>SUMIF(65:65,G10,66:66)-SUMIF(65:65,C10,66:66)+100</f>
        <v>100</v>
      </c>
      <c r="I10" s="860" t="s">
        <v>2994</v>
      </c>
      <c r="J10" s="254">
        <f>SUMIF(65:65,I10,66:66)-SUMIF(65:65,C10,66:66)+100</f>
        <v>100</v>
      </c>
      <c r="K10" s="863">
        <v>1</v>
      </c>
      <c r="L10" s="2137"/>
      <c r="M10" s="2177"/>
      <c r="N10" s="2177"/>
      <c r="O10" s="2138"/>
      <c r="P10" s="3362"/>
      <c r="Q10" s="1149" t="str">
        <f t="shared" si="6"/>
        <v>土地使用年限（年）</v>
      </c>
      <c r="R10" s="1566" t="s">
        <v>8</v>
      </c>
      <c r="S10" s="1567">
        <f t="shared" si="0"/>
        <v>100</v>
      </c>
      <c r="T10" s="1566" t="s">
        <v>8</v>
      </c>
      <c r="U10" s="1567">
        <f t="shared" si="1"/>
        <v>100</v>
      </c>
      <c r="V10" s="1566" t="s">
        <v>8</v>
      </c>
      <c r="W10" s="1567">
        <f t="shared" si="2"/>
        <v>100</v>
      </c>
      <c r="X10" s="1568"/>
      <c r="Y10" s="3308"/>
      <c r="Z10" s="1148" t="str">
        <f t="shared" si="7"/>
        <v>土地使用年限（年）</v>
      </c>
      <c r="AA10" s="1569">
        <f t="shared" si="3"/>
        <v>1</v>
      </c>
      <c r="AB10" s="1569">
        <f t="shared" si="4"/>
        <v>1</v>
      </c>
      <c r="AC10" s="1569">
        <f t="shared" si="5"/>
        <v>1</v>
      </c>
    </row>
    <row r="11" spans="1:29" ht="15">
      <c r="A11" s="2915"/>
      <c r="B11" s="2919" t="s">
        <v>2720</v>
      </c>
      <c r="C11" s="532">
        <f>'数据-汇总表'!I6</f>
        <v>1.19</v>
      </c>
      <c r="D11" s="254">
        <v>100</v>
      </c>
      <c r="E11" s="533">
        <v>3.73</v>
      </c>
      <c r="F11" s="862">
        <f>LOOKUP(E11,68:68,69:69)-LOOKUP(C11,68:68,69:69)+100</f>
        <v>90</v>
      </c>
      <c r="G11" s="532">
        <v>2.2000000000000002</v>
      </c>
      <c r="H11" s="254">
        <f>LOOKUP(G11,68:68,69:69)-LOOKUP(C11,68:68,69:69)+100</f>
        <v>95</v>
      </c>
      <c r="I11" s="532">
        <v>2.3199999999999998</v>
      </c>
      <c r="J11" s="254">
        <f>LOOKUP(I11,68:68,69:69)-LOOKUP(C11,68:68,69:69)+100</f>
        <v>95</v>
      </c>
      <c r="K11" s="863">
        <v>5</v>
      </c>
      <c r="L11" s="2139"/>
      <c r="M11" s="2133"/>
      <c r="N11" s="2133"/>
      <c r="O11" s="2140"/>
      <c r="P11" s="3362"/>
      <c r="Q11" s="1149" t="str">
        <f t="shared" si="6"/>
        <v>容积率</v>
      </c>
      <c r="R11" s="1566" t="s">
        <v>11</v>
      </c>
      <c r="S11" s="1567">
        <f t="shared" si="0"/>
        <v>90</v>
      </c>
      <c r="T11" s="1566" t="s">
        <v>11</v>
      </c>
      <c r="U11" s="1567">
        <f t="shared" si="1"/>
        <v>95</v>
      </c>
      <c r="V11" s="1566" t="s">
        <v>11</v>
      </c>
      <c r="W11" s="1567">
        <f t="shared" si="2"/>
        <v>95</v>
      </c>
      <c r="X11" s="1568"/>
      <c r="Y11" s="3308"/>
      <c r="Z11" s="1148" t="str">
        <f t="shared" si="7"/>
        <v>容积率</v>
      </c>
      <c r="AA11" s="1569">
        <f t="shared" si="3"/>
        <v>1.1111111111111112</v>
      </c>
      <c r="AB11" s="1569">
        <f t="shared" si="4"/>
        <v>1.0526315789473684</v>
      </c>
      <c r="AC11" s="1569">
        <f t="shared" si="5"/>
        <v>1.0526315789473684</v>
      </c>
    </row>
    <row r="12" spans="1:29" s="1218" customFormat="1" ht="15">
      <c r="A12" s="2916"/>
      <c r="B12" s="2922">
        <v>111</v>
      </c>
      <c r="C12" s="527"/>
      <c r="D12" s="537">
        <v>100</v>
      </c>
      <c r="E12" s="527"/>
      <c r="F12" s="862">
        <f>SUMIF(70:70,E12,71:71)-SUMIF(70:70,C12,71:71)+100</f>
        <v>100</v>
      </c>
      <c r="G12" s="527"/>
      <c r="H12" s="254">
        <f>SUMIF(70:70,G12,71:71)-SUMIF(70:70,C12,71:71)+100</f>
        <v>100</v>
      </c>
      <c r="I12" s="527"/>
      <c r="J12" s="254">
        <f>SUMIF(70:70,I12,71:71)-SUMIF(70:70,C12,71:71)+100</f>
        <v>100</v>
      </c>
      <c r="K12" s="864"/>
      <c r="L12" s="2134"/>
      <c r="M12" s="2135"/>
      <c r="N12" s="2135"/>
      <c r="O12" s="2136"/>
      <c r="P12" s="3362"/>
      <c r="Q12" s="1149">
        <f t="shared" si="6"/>
        <v>111</v>
      </c>
      <c r="R12" s="1566" t="s">
        <v>11</v>
      </c>
      <c r="S12" s="1567">
        <f t="shared" si="0"/>
        <v>100</v>
      </c>
      <c r="T12" s="1566" t="s">
        <v>11</v>
      </c>
      <c r="U12" s="1567">
        <f t="shared" si="1"/>
        <v>100</v>
      </c>
      <c r="V12" s="1566" t="s">
        <v>11</v>
      </c>
      <c r="W12" s="1567">
        <f t="shared" si="2"/>
        <v>100</v>
      </c>
      <c r="X12" s="1568"/>
      <c r="Y12" s="3308"/>
      <c r="Z12" s="1148">
        <f t="shared" si="7"/>
        <v>111</v>
      </c>
      <c r="AA12" s="1569">
        <f>D12/F12</f>
        <v>1</v>
      </c>
      <c r="AB12" s="1569">
        <f>D12/H12</f>
        <v>1</v>
      </c>
      <c r="AC12" s="1569">
        <f>D12/J12</f>
        <v>1</v>
      </c>
    </row>
    <row r="13" spans="1:29" ht="15">
      <c r="A13" s="2916"/>
      <c r="B13" s="2922">
        <v>111</v>
      </c>
      <c r="C13" s="538"/>
      <c r="D13" s="539">
        <v>100</v>
      </c>
      <c r="E13" s="538"/>
      <c r="F13" s="862">
        <f>SUMIF(72:72,E13,73:73)-SUMIF(72:72,C13,73:73)+100</f>
        <v>100</v>
      </c>
      <c r="G13" s="538"/>
      <c r="H13" s="539">
        <f>SUMIF(72:72,G13,73:73)-SUMIF(72:72,C13,73:73)+100</f>
        <v>100</v>
      </c>
      <c r="I13" s="538"/>
      <c r="J13" s="539">
        <f>SUMIF(72:72,I13,73:73)-SUMIF(72:72,C13,73:73)+100</f>
        <v>100</v>
      </c>
      <c r="K13" s="864"/>
      <c r="L13" s="2141"/>
      <c r="M13" s="2133"/>
      <c r="N13" s="2133"/>
      <c r="O13" s="2140"/>
      <c r="P13" s="3362"/>
      <c r="Q13" s="1149">
        <f t="shared" si="6"/>
        <v>111</v>
      </c>
      <c r="R13" s="1566" t="s">
        <v>11</v>
      </c>
      <c r="S13" s="1567">
        <f t="shared" si="0"/>
        <v>100</v>
      </c>
      <c r="T13" s="1566" t="s">
        <v>11</v>
      </c>
      <c r="U13" s="1567">
        <f t="shared" si="1"/>
        <v>100</v>
      </c>
      <c r="V13" s="1566" t="s">
        <v>11</v>
      </c>
      <c r="W13" s="1567">
        <f t="shared" si="2"/>
        <v>100</v>
      </c>
      <c r="X13" s="1568"/>
      <c r="Y13" s="3308"/>
      <c r="Z13" s="1148">
        <f t="shared" si="7"/>
        <v>111</v>
      </c>
      <c r="AA13" s="1569">
        <f t="shared" si="3"/>
        <v>1</v>
      </c>
      <c r="AB13" s="1569">
        <f t="shared" si="4"/>
        <v>1</v>
      </c>
      <c r="AC13" s="1569">
        <f t="shared" si="5"/>
        <v>1</v>
      </c>
    </row>
    <row r="14" spans="1:29" ht="15.6" thickBot="1">
      <c r="A14" s="2917"/>
      <c r="B14" s="2923">
        <v>111</v>
      </c>
      <c r="C14" s="544"/>
      <c r="D14" s="545">
        <v>100</v>
      </c>
      <c r="E14" s="544"/>
      <c r="F14" s="865">
        <f>SUMIF(74:74,E14,75:75)-SUMIF(74:74,C14,75:75)+100</f>
        <v>100</v>
      </c>
      <c r="G14" s="544"/>
      <c r="H14" s="545">
        <f>SUMIF(74:74,G14,75:75)-SUMIF(74:74,C14,75:75)+100</f>
        <v>100</v>
      </c>
      <c r="I14" s="544"/>
      <c r="J14" s="545">
        <f>SUMIF(74:74,I14,75:75)-SUMIF(74:74,C14,75:75)+100</f>
        <v>100</v>
      </c>
      <c r="K14" s="864"/>
      <c r="L14" s="2141"/>
      <c r="M14" s="2133"/>
      <c r="N14" s="2133"/>
      <c r="O14" s="2140"/>
      <c r="P14" s="3362"/>
      <c r="Q14" s="1149">
        <f t="shared" si="6"/>
        <v>111</v>
      </c>
      <c r="R14" s="1566" t="s">
        <v>11</v>
      </c>
      <c r="S14" s="1567">
        <f t="shared" si="0"/>
        <v>100</v>
      </c>
      <c r="T14" s="1566" t="s">
        <v>11</v>
      </c>
      <c r="U14" s="1567">
        <f t="shared" si="1"/>
        <v>100</v>
      </c>
      <c r="V14" s="1566" t="s">
        <v>11</v>
      </c>
      <c r="W14" s="1567">
        <f t="shared" si="2"/>
        <v>100</v>
      </c>
      <c r="X14" s="1568"/>
      <c r="Y14" s="3308"/>
      <c r="Z14" s="1148">
        <f t="shared" si="7"/>
        <v>111</v>
      </c>
      <c r="AA14" s="1569">
        <f t="shared" si="3"/>
        <v>1</v>
      </c>
      <c r="AB14" s="1569">
        <f t="shared" si="4"/>
        <v>1</v>
      </c>
      <c r="AC14" s="1569">
        <f t="shared" si="5"/>
        <v>1</v>
      </c>
    </row>
    <row r="15" spans="1:29" ht="82.8">
      <c r="A15" s="2909" t="s">
        <v>2716</v>
      </c>
      <c r="B15" s="165" t="s">
        <v>260</v>
      </c>
      <c r="C15" s="866" t="str">
        <f>估价对象房地状况!C3</f>
        <v>估价对象周边居住用地比例、居住小区规模和社区发展完善程度，综合评价居住社区成熟度一般</v>
      </c>
      <c r="D15" s="548">
        <v>100</v>
      </c>
      <c r="E15" s="549"/>
      <c r="F15" s="550">
        <f>SUMIF(76:76,E16,77:77)-SUMIF(76:76,C16,77:77)+100</f>
        <v>102</v>
      </c>
      <c r="G15" s="551"/>
      <c r="H15" s="548">
        <f>SUMIF(76:76,G16,77:77)-SUMIF(76:76,C16,77:77)+100</f>
        <v>102</v>
      </c>
      <c r="I15" s="549"/>
      <c r="J15" s="548">
        <f>SUMIF(76:76,I16,77:77)-SUMIF(76:76,C16,77:77)+100</f>
        <v>104</v>
      </c>
      <c r="K15" s="867">
        <v>2</v>
      </c>
      <c r="L15" s="2141"/>
      <c r="M15" s="2133"/>
      <c r="N15" s="2133"/>
      <c r="O15" s="2140"/>
      <c r="P15" s="3396" t="s">
        <v>505</v>
      </c>
      <c r="Q15" s="1570" t="str">
        <f t="shared" si="6"/>
        <v>居住社区成熟度</v>
      </c>
      <c r="R15" s="1571" t="s">
        <v>11</v>
      </c>
      <c r="S15" s="1572">
        <f t="shared" si="0"/>
        <v>102</v>
      </c>
      <c r="T15" s="1571" t="s">
        <v>11</v>
      </c>
      <c r="U15" s="1572">
        <f t="shared" si="1"/>
        <v>102</v>
      </c>
      <c r="V15" s="1571" t="s">
        <v>11</v>
      </c>
      <c r="W15" s="1572">
        <f t="shared" si="2"/>
        <v>104</v>
      </c>
      <c r="X15" s="1565"/>
      <c r="Y15" s="3396" t="s">
        <v>505</v>
      </c>
      <c r="Z15" s="1573" t="str">
        <f t="shared" si="7"/>
        <v>居住社区成熟度</v>
      </c>
      <c r="AA15" s="1574">
        <f t="shared" si="3"/>
        <v>0.98039215686274506</v>
      </c>
      <c r="AB15" s="1574">
        <f t="shared" si="4"/>
        <v>0.98039215686274506</v>
      </c>
      <c r="AC15" s="1574">
        <f t="shared" si="5"/>
        <v>0.96153846153846156</v>
      </c>
    </row>
    <row r="16" spans="1:29" ht="15">
      <c r="A16" s="531"/>
      <c r="B16" s="868"/>
      <c r="C16" s="575" t="s">
        <v>2995</v>
      </c>
      <c r="D16" s="554"/>
      <c r="E16" s="555" t="s">
        <v>2949</v>
      </c>
      <c r="F16" s="556"/>
      <c r="G16" s="555" t="s">
        <v>2949</v>
      </c>
      <c r="H16" s="558"/>
      <c r="I16" s="555" t="s">
        <v>3003</v>
      </c>
      <c r="J16" s="554"/>
      <c r="K16" s="869"/>
      <c r="L16" s="2141"/>
      <c r="M16" s="2133"/>
      <c r="N16" s="2133"/>
      <c r="O16" s="2140"/>
      <c r="P16" s="3397"/>
      <c r="Q16" s="1570"/>
      <c r="R16" s="1571"/>
      <c r="S16" s="1572"/>
      <c r="T16" s="1571"/>
      <c r="U16" s="1572"/>
      <c r="V16" s="1571"/>
      <c r="W16" s="1572"/>
      <c r="X16" s="1565"/>
      <c r="Y16" s="3397"/>
      <c r="Z16" s="1573"/>
      <c r="AA16" s="1574">
        <v>1</v>
      </c>
      <c r="AB16" s="1574">
        <v>1</v>
      </c>
      <c r="AC16" s="1574">
        <v>1</v>
      </c>
    </row>
    <row r="17" spans="1:29" ht="69">
      <c r="A17" s="531"/>
      <c r="B17" s="870" t="s">
        <v>261</v>
      </c>
      <c r="C17" s="871" t="str">
        <f>估价对象房地状况!C6</f>
        <v>估价对象周边道路状况、公共交通通达情况、停车便捷程度，综合评价交通便捷度较好</v>
      </c>
      <c r="D17" s="558">
        <v>100</v>
      </c>
      <c r="E17" s="561"/>
      <c r="F17" s="562">
        <f>SUMIF(78:78,E18,79:79)-SUMIF(78:78,C18,79:79)+100</f>
        <v>102</v>
      </c>
      <c r="G17" s="563"/>
      <c r="H17" s="564">
        <f>SUMIF(78:78,G18,79:79)-SUMIF(78:78,C18,79:79)+100</f>
        <v>102</v>
      </c>
      <c r="I17" s="561"/>
      <c r="J17" s="564">
        <f>SUMIF(78:78,I18,79:79)-SUMIF(78:78,C18,79:79)+100</f>
        <v>102</v>
      </c>
      <c r="K17" s="867">
        <v>2</v>
      </c>
      <c r="L17" s="2141"/>
      <c r="M17" s="2133"/>
      <c r="N17" s="2133"/>
      <c r="O17" s="2140"/>
      <c r="P17" s="3397"/>
      <c r="Q17" s="1570" t="str">
        <f>B17</f>
        <v>交通便捷度</v>
      </c>
      <c r="R17" s="1571" t="s">
        <v>11</v>
      </c>
      <c r="S17" s="1572">
        <f>F17</f>
        <v>102</v>
      </c>
      <c r="T17" s="1571" t="s">
        <v>11</v>
      </c>
      <c r="U17" s="1572">
        <f>H17</f>
        <v>102</v>
      </c>
      <c r="V17" s="1571" t="s">
        <v>11</v>
      </c>
      <c r="W17" s="1572">
        <f>J17</f>
        <v>102</v>
      </c>
      <c r="X17" s="1565"/>
      <c r="Y17" s="3397"/>
      <c r="Z17" s="1573" t="str">
        <f>Q17</f>
        <v>交通便捷度</v>
      </c>
      <c r="AA17" s="1574">
        <f t="shared" si="3"/>
        <v>0.98039215686274506</v>
      </c>
      <c r="AB17" s="1574">
        <f t="shared" si="4"/>
        <v>0.98039215686274506</v>
      </c>
      <c r="AC17" s="1574">
        <f t="shared" si="5"/>
        <v>0.98039215686274506</v>
      </c>
    </row>
    <row r="18" spans="1:29" ht="15">
      <c r="A18" s="531"/>
      <c r="B18" s="594"/>
      <c r="C18" s="872" t="s">
        <v>2995</v>
      </c>
      <c r="D18" s="558"/>
      <c r="E18" s="555" t="s">
        <v>2949</v>
      </c>
      <c r="F18" s="562"/>
      <c r="G18" s="555" t="s">
        <v>2949</v>
      </c>
      <c r="H18" s="554"/>
      <c r="I18" s="555" t="s">
        <v>2949</v>
      </c>
      <c r="J18" s="554"/>
      <c r="K18" s="869"/>
      <c r="L18" s="2141"/>
      <c r="M18" s="2133"/>
      <c r="N18" s="2133"/>
      <c r="O18" s="2140"/>
      <c r="P18" s="3397"/>
      <c r="Q18" s="1570"/>
      <c r="R18" s="1571"/>
      <c r="S18" s="1572"/>
      <c r="T18" s="1571"/>
      <c r="U18" s="1572"/>
      <c r="V18" s="1571"/>
      <c r="W18" s="1572"/>
      <c r="X18" s="1565"/>
      <c r="Y18" s="3397"/>
      <c r="Z18" s="1573"/>
      <c r="AA18" s="1574">
        <v>1</v>
      </c>
      <c r="AB18" s="1574">
        <v>1</v>
      </c>
      <c r="AC18" s="1574">
        <v>1</v>
      </c>
    </row>
    <row r="19" spans="1:29" ht="41.4">
      <c r="A19" s="531"/>
      <c r="B19" s="2599" t="s">
        <v>2508</v>
      </c>
      <c r="C19" s="871" t="str">
        <f>估价对象房地状况!C7</f>
        <v>估价对象所在区域公共配套设施齐备情况</v>
      </c>
      <c r="D19" s="564">
        <v>100</v>
      </c>
      <c r="E19" s="569"/>
      <c r="F19" s="570">
        <f>SUMIF(80:80,E20,81:81)-SUMIF(80:80,C20,81:81)+100</f>
        <v>102</v>
      </c>
      <c r="G19" s="571"/>
      <c r="H19" s="558">
        <f>SUMIF(80:80,G20,81:81)-SUMIF(80:80,C20,81:81)+100</f>
        <v>100</v>
      </c>
      <c r="I19" s="569"/>
      <c r="J19" s="558">
        <f>SUMIF(80:80,I20,81:81)-SUMIF(80:80,C20,81:81)+100</f>
        <v>102</v>
      </c>
      <c r="K19" s="867">
        <v>2</v>
      </c>
      <c r="L19" s="2141"/>
      <c r="M19" s="2133"/>
      <c r="N19" s="2133"/>
      <c r="O19" s="2140"/>
      <c r="P19" s="3397"/>
      <c r="Q19" s="1570" t="str">
        <f>B19</f>
        <v>公共配套设施</v>
      </c>
      <c r="R19" s="1571" t="s">
        <v>11</v>
      </c>
      <c r="S19" s="1572">
        <f>F19</f>
        <v>102</v>
      </c>
      <c r="T19" s="1571" t="s">
        <v>11</v>
      </c>
      <c r="U19" s="1572">
        <f>H19</f>
        <v>100</v>
      </c>
      <c r="V19" s="1571" t="s">
        <v>11</v>
      </c>
      <c r="W19" s="1572">
        <f>J19</f>
        <v>102</v>
      </c>
      <c r="X19" s="1565"/>
      <c r="Y19" s="3397"/>
      <c r="Z19" s="1573" t="str">
        <f>Q19</f>
        <v>公共配套设施</v>
      </c>
      <c r="AA19" s="1574">
        <f t="shared" si="3"/>
        <v>0.98039215686274506</v>
      </c>
      <c r="AB19" s="1574">
        <f t="shared" si="4"/>
        <v>1</v>
      </c>
      <c r="AC19" s="1574">
        <f t="shared" si="5"/>
        <v>0.98039215686274506</v>
      </c>
    </row>
    <row r="20" spans="1:29" ht="15">
      <c r="A20" s="531"/>
      <c r="B20" s="594"/>
      <c r="C20" s="575" t="s">
        <v>2995</v>
      </c>
      <c r="D20" s="554"/>
      <c r="E20" s="555" t="s">
        <v>2949</v>
      </c>
      <c r="F20" s="556"/>
      <c r="G20" s="555" t="s">
        <v>2995</v>
      </c>
      <c r="H20" s="554"/>
      <c r="I20" s="555" t="s">
        <v>2949</v>
      </c>
      <c r="J20" s="554"/>
      <c r="K20" s="869"/>
      <c r="L20" s="2141"/>
      <c r="M20" s="2133"/>
      <c r="N20" s="2133"/>
      <c r="O20" s="2140"/>
      <c r="P20" s="3397"/>
      <c r="Q20" s="1570"/>
      <c r="R20" s="1571"/>
      <c r="S20" s="1572"/>
      <c r="T20" s="1571"/>
      <c r="U20" s="1572"/>
      <c r="V20" s="1571"/>
      <c r="W20" s="1572"/>
      <c r="X20" s="1565"/>
      <c r="Y20" s="3397"/>
      <c r="Z20" s="1573"/>
      <c r="AA20" s="1574">
        <v>1</v>
      </c>
      <c r="AB20" s="1574">
        <v>1</v>
      </c>
      <c r="AC20" s="1574">
        <v>1</v>
      </c>
    </row>
    <row r="21" spans="1:29" ht="27.6">
      <c r="A21" s="531"/>
      <c r="B21" s="2592" t="s">
        <v>2520</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1</v>
      </c>
      <c r="L21" s="2141"/>
      <c r="M21" s="2133"/>
      <c r="N21" s="2133"/>
      <c r="O21" s="2140"/>
      <c r="P21" s="3397"/>
      <c r="Q21" s="2578" t="str">
        <f>B21</f>
        <v>基础设施水平</v>
      </c>
      <c r="R21" s="1571" t="s">
        <v>11</v>
      </c>
      <c r="S21" s="1572">
        <f>F21</f>
        <v>100</v>
      </c>
      <c r="T21" s="1571" t="s">
        <v>11</v>
      </c>
      <c r="U21" s="1572">
        <f>H21</f>
        <v>100</v>
      </c>
      <c r="V21" s="1571" t="s">
        <v>11</v>
      </c>
      <c r="W21" s="1572">
        <f>J21</f>
        <v>100</v>
      </c>
      <c r="X21" s="2580"/>
      <c r="Y21" s="3397"/>
      <c r="Z21" s="2579" t="str">
        <f>Q21</f>
        <v>基础设施水平</v>
      </c>
      <c r="AA21" s="1574">
        <f t="shared" ref="AA21" si="8">D21/F21</f>
        <v>1</v>
      </c>
      <c r="AB21" s="1574">
        <f t="shared" ref="AB21" si="9">D21/H21</f>
        <v>1</v>
      </c>
      <c r="AC21" s="1574">
        <f t="shared" ref="AC21" si="10">D21/J21</f>
        <v>1</v>
      </c>
    </row>
    <row r="22" spans="1:29" ht="15">
      <c r="A22" s="531"/>
      <c r="B22" s="920"/>
      <c r="C22" s="872" t="s">
        <v>2950</v>
      </c>
      <c r="D22" s="554"/>
      <c r="E22" s="872" t="s">
        <v>2950</v>
      </c>
      <c r="F22" s="556"/>
      <c r="G22" s="872" t="s">
        <v>2950</v>
      </c>
      <c r="H22" s="554"/>
      <c r="I22" s="872" t="s">
        <v>2950</v>
      </c>
      <c r="J22" s="554"/>
      <c r="K22" s="2598"/>
      <c r="L22" s="2141"/>
      <c r="M22" s="2133"/>
      <c r="N22" s="2133"/>
      <c r="O22" s="2140"/>
      <c r="P22" s="3397"/>
      <c r="Q22" s="2578"/>
      <c r="R22" s="1571"/>
      <c r="S22" s="1572"/>
      <c r="T22" s="1571"/>
      <c r="U22" s="1572"/>
      <c r="V22" s="1571"/>
      <c r="W22" s="1572"/>
      <c r="X22" s="2580"/>
      <c r="Y22" s="3397"/>
      <c r="Z22" s="2579"/>
      <c r="AA22" s="1574">
        <v>1</v>
      </c>
      <c r="AB22" s="1574">
        <v>1</v>
      </c>
      <c r="AC22" s="1574">
        <v>1</v>
      </c>
    </row>
    <row r="23" spans="1:29" ht="41.4">
      <c r="A23" s="531"/>
      <c r="B23" s="870" t="s">
        <v>262</v>
      </c>
      <c r="C23" s="871" t="str">
        <f>估价对象房地状况!C9</f>
        <v>区域自然环境：；人文环境；综合评价环境状况一般</v>
      </c>
      <c r="D23" s="558">
        <v>100</v>
      </c>
      <c r="E23" s="561"/>
      <c r="F23" s="562">
        <f>SUMIF(84:84,E24,85:85)-SUMIF(84:84,C24,85:85)+100</f>
        <v>102</v>
      </c>
      <c r="G23" s="563"/>
      <c r="H23" s="558">
        <f>SUMIF(84:84,G24,85:85)-SUMIF(84:84,C24,85:85)+100</f>
        <v>102</v>
      </c>
      <c r="I23" s="561"/>
      <c r="J23" s="558">
        <f>SUMIF(84:84,I24,85:85)-SUMIF(84:84,C24,85:85)+100</f>
        <v>102</v>
      </c>
      <c r="K23" s="867">
        <v>2</v>
      </c>
      <c r="L23" s="2141"/>
      <c r="M23" s="2133"/>
      <c r="N23" s="2133"/>
      <c r="O23" s="2140"/>
      <c r="P23" s="3397"/>
      <c r="Q23" s="1570" t="str">
        <f>B23</f>
        <v>自然及人文环境</v>
      </c>
      <c r="R23" s="1571" t="s">
        <v>11</v>
      </c>
      <c r="S23" s="1572">
        <f>F23</f>
        <v>102</v>
      </c>
      <c r="T23" s="1571" t="s">
        <v>11</v>
      </c>
      <c r="U23" s="1572">
        <f>H23</f>
        <v>102</v>
      </c>
      <c r="V23" s="1571" t="s">
        <v>11</v>
      </c>
      <c r="W23" s="1572">
        <f>J23</f>
        <v>102</v>
      </c>
      <c r="X23" s="1565"/>
      <c r="Y23" s="3397"/>
      <c r="Z23" s="1573" t="str">
        <f>Q23</f>
        <v>自然及人文环境</v>
      </c>
      <c r="AA23" s="1574">
        <f t="shared" si="3"/>
        <v>0.98039215686274506</v>
      </c>
      <c r="AB23" s="1574">
        <f t="shared" si="4"/>
        <v>0.98039215686274506</v>
      </c>
      <c r="AC23" s="1574">
        <f t="shared" si="5"/>
        <v>0.98039215686274506</v>
      </c>
    </row>
    <row r="24" spans="1:29" ht="15">
      <c r="A24" s="531"/>
      <c r="B24" s="594"/>
      <c r="C24" s="575" t="s">
        <v>2995</v>
      </c>
      <c r="D24" s="554"/>
      <c r="E24" s="555" t="s">
        <v>2949</v>
      </c>
      <c r="F24" s="556"/>
      <c r="G24" s="555" t="s">
        <v>2949</v>
      </c>
      <c r="H24" s="554"/>
      <c r="I24" s="555" t="s">
        <v>2949</v>
      </c>
      <c r="J24" s="554"/>
      <c r="K24" s="869"/>
      <c r="L24" s="2141"/>
      <c r="M24" s="2133"/>
      <c r="N24" s="2133"/>
      <c r="O24" s="2140"/>
      <c r="P24" s="3397"/>
      <c r="Q24" s="1570"/>
      <c r="R24" s="1571"/>
      <c r="S24" s="1572"/>
      <c r="T24" s="1571"/>
      <c r="U24" s="1572"/>
      <c r="V24" s="1571"/>
      <c r="W24" s="1572"/>
      <c r="X24" s="1565"/>
      <c r="Y24" s="3397"/>
      <c r="Z24" s="1573"/>
      <c r="AA24" s="1574">
        <v>1</v>
      </c>
      <c r="AB24" s="1574">
        <v>1</v>
      </c>
      <c r="AC24" s="1574">
        <v>1</v>
      </c>
    </row>
    <row r="25" spans="1:29" ht="15">
      <c r="A25" s="531"/>
      <c r="B25" s="1894" t="s">
        <v>2218</v>
      </c>
      <c r="C25" s="573"/>
      <c r="D25" s="539">
        <v>100</v>
      </c>
      <c r="E25" s="873"/>
      <c r="F25" s="574">
        <f>SUMIF(86:86,E25,87:87)-SUMIF(86:86,C25,87:87)+100</f>
        <v>100</v>
      </c>
      <c r="G25" s="598"/>
      <c r="H25" s="539">
        <f>SUMIF(86:86,G25,87:87)-SUMIF(86:86,C25,87:87)+100</f>
        <v>100</v>
      </c>
      <c r="I25" s="873"/>
      <c r="J25" s="539">
        <f>SUMIF(86:86,I25,87:87)-SUMIF(86:86,C25,87:87)+100</f>
        <v>100</v>
      </c>
      <c r="K25" s="863"/>
      <c r="L25" s="2141"/>
      <c r="M25" s="2133"/>
      <c r="N25" s="2133"/>
      <c r="O25" s="2140"/>
      <c r="P25" s="3397"/>
      <c r="Q25" s="1570" t="str">
        <f t="shared" ref="Q25:Q46" si="11">B25</f>
        <v>楼层-1</v>
      </c>
      <c r="R25" s="1571" t="s">
        <v>11</v>
      </c>
      <c r="S25" s="1572">
        <f>F25</f>
        <v>100</v>
      </c>
      <c r="T25" s="1571" t="s">
        <v>11</v>
      </c>
      <c r="U25" s="1572">
        <f>H25</f>
        <v>100</v>
      </c>
      <c r="V25" s="1571" t="s">
        <v>11</v>
      </c>
      <c r="W25" s="1572">
        <f>J25</f>
        <v>100</v>
      </c>
      <c r="X25" s="1565"/>
      <c r="Y25" s="3397"/>
      <c r="Z25" s="1573" t="str">
        <f>Q25</f>
        <v>楼层-1</v>
      </c>
      <c r="AA25" s="1574">
        <f t="shared" si="3"/>
        <v>1</v>
      </c>
      <c r="AB25" s="1574">
        <f t="shared" si="4"/>
        <v>1</v>
      </c>
      <c r="AC25" s="1574">
        <f t="shared" si="5"/>
        <v>1</v>
      </c>
    </row>
    <row r="26" spans="1:29" ht="15">
      <c r="A26" s="531"/>
      <c r="B26" s="526" t="s">
        <v>688</v>
      </c>
      <c r="C26" s="573"/>
      <c r="D26" s="539">
        <v>100</v>
      </c>
      <c r="E26" s="873"/>
      <c r="F26" s="574">
        <f>SUMIF(88:88,E26,89:89)-SUMIF(88:88,C26,89:89)+100</f>
        <v>100</v>
      </c>
      <c r="G26" s="598"/>
      <c r="H26" s="539">
        <f>SUMIF(88:88,G26,89:89)-SUMIF(88:88,C26,89:89)+100</f>
        <v>100</v>
      </c>
      <c r="I26" s="873"/>
      <c r="J26" s="539">
        <f>SUMIF(88:88,I26,89:89)-SUMIF(88:88,C26,89:89)+100</f>
        <v>100</v>
      </c>
      <c r="K26" s="863"/>
      <c r="L26" s="2141"/>
      <c r="M26" s="2133"/>
      <c r="N26" s="2133"/>
      <c r="O26" s="2140"/>
      <c r="P26" s="3397"/>
      <c r="Q26" s="1570" t="str">
        <f t="shared" si="11"/>
        <v>朝向</v>
      </c>
      <c r="R26" s="1571" t="s">
        <v>11</v>
      </c>
      <c r="S26" s="1572">
        <f>F26</f>
        <v>100</v>
      </c>
      <c r="T26" s="1571" t="s">
        <v>11</v>
      </c>
      <c r="U26" s="1572">
        <f>H26</f>
        <v>100</v>
      </c>
      <c r="V26" s="1571" t="s">
        <v>11</v>
      </c>
      <c r="W26" s="1572">
        <f>J26</f>
        <v>100</v>
      </c>
      <c r="X26" s="1565"/>
      <c r="Y26" s="3397"/>
      <c r="Z26" s="1573" t="str">
        <f>Q26</f>
        <v>朝向</v>
      </c>
      <c r="AA26" s="1574">
        <f t="shared" si="3"/>
        <v>1</v>
      </c>
      <c r="AB26" s="1574">
        <f t="shared" si="4"/>
        <v>1</v>
      </c>
      <c r="AC26" s="1574">
        <f t="shared" si="5"/>
        <v>1</v>
      </c>
    </row>
    <row r="27" spans="1:29" s="1218" customFormat="1" ht="15">
      <c r="A27" s="535"/>
      <c r="B27" s="536" t="s">
        <v>689</v>
      </c>
      <c r="C27" s="527"/>
      <c r="D27" s="874">
        <v>100</v>
      </c>
      <c r="E27" s="529"/>
      <c r="F27" s="875">
        <f>SUMIF(90:90,E27,91:91)-SUMIF(90:90,C27,91:91)+100</f>
        <v>100</v>
      </c>
      <c r="G27" s="528"/>
      <c r="H27" s="874">
        <f>SUMIF(90:90,G27,91:91)-SUMIF(90:90,C27,91:91)+100</f>
        <v>100</v>
      </c>
      <c r="I27" s="529"/>
      <c r="J27" s="874">
        <f>SUMIF(90:90,I27,91:91)-SUMIF(90:90,C27,91:91)+100</f>
        <v>100</v>
      </c>
      <c r="K27" s="864"/>
      <c r="L27" s="2134"/>
      <c r="M27" s="2135"/>
      <c r="N27" s="2135"/>
      <c r="O27" s="2136"/>
      <c r="P27" s="3397"/>
      <c r="Q27" s="1149" t="str">
        <f t="shared" si="11"/>
        <v>道路级别</v>
      </c>
      <c r="R27" s="1566" t="s">
        <v>11</v>
      </c>
      <c r="S27" s="1567">
        <f>F27</f>
        <v>100</v>
      </c>
      <c r="T27" s="1566" t="s">
        <v>11</v>
      </c>
      <c r="U27" s="1567">
        <f>H27</f>
        <v>100</v>
      </c>
      <c r="V27" s="1566" t="s">
        <v>11</v>
      </c>
      <c r="W27" s="1567">
        <f>J27</f>
        <v>100</v>
      </c>
      <c r="X27" s="1568"/>
      <c r="Y27" s="3397"/>
      <c r="Z27" s="1148" t="str">
        <f>Q27</f>
        <v>道路级别</v>
      </c>
      <c r="AA27" s="1574">
        <f>D27/F27</f>
        <v>1</v>
      </c>
      <c r="AB27" s="1574">
        <f>D27/H27</f>
        <v>1</v>
      </c>
      <c r="AC27" s="1574">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1"/>
      <c r="M28" s="2133"/>
      <c r="N28" s="2133"/>
      <c r="O28" s="2140"/>
      <c r="P28" s="3397"/>
      <c r="Q28" s="1570">
        <f t="shared" si="11"/>
        <v>111</v>
      </c>
      <c r="R28" s="1571" t="s">
        <v>11</v>
      </c>
      <c r="S28" s="1572">
        <f t="shared" ref="S28:S46" si="12">F28</f>
        <v>100</v>
      </c>
      <c r="T28" s="1571" t="s">
        <v>11</v>
      </c>
      <c r="U28" s="1572">
        <f t="shared" ref="U28:U46" si="13">H28</f>
        <v>100</v>
      </c>
      <c r="V28" s="1571" t="s">
        <v>11</v>
      </c>
      <c r="W28" s="1572">
        <f t="shared" ref="W28:W46" si="14">J28</f>
        <v>100</v>
      </c>
      <c r="X28" s="1565"/>
      <c r="Y28" s="3397"/>
      <c r="Z28" s="1573">
        <f t="shared" ref="Z28:Z46" si="15">Q28</f>
        <v>111</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1"/>
      <c r="M29" s="2133"/>
      <c r="N29" s="2133"/>
      <c r="O29" s="2140"/>
      <c r="P29" s="3397"/>
      <c r="Q29" s="1570">
        <f t="shared" si="11"/>
        <v>111</v>
      </c>
      <c r="R29" s="1571" t="s">
        <v>11</v>
      </c>
      <c r="S29" s="1572">
        <f t="shared" si="12"/>
        <v>100</v>
      </c>
      <c r="T29" s="1571" t="s">
        <v>11</v>
      </c>
      <c r="U29" s="1572">
        <f t="shared" si="13"/>
        <v>100</v>
      </c>
      <c r="V29" s="1571" t="s">
        <v>11</v>
      </c>
      <c r="W29" s="1572">
        <f t="shared" si="14"/>
        <v>100</v>
      </c>
      <c r="X29" s="1565"/>
      <c r="Y29" s="3397"/>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1"/>
      <c r="M30" s="2133"/>
      <c r="N30" s="2133"/>
      <c r="O30" s="2140"/>
      <c r="P30" s="3397"/>
      <c r="Q30" s="1570">
        <f t="shared" si="11"/>
        <v>111</v>
      </c>
      <c r="R30" s="1571" t="s">
        <v>11</v>
      </c>
      <c r="S30" s="1572">
        <f t="shared" si="12"/>
        <v>100</v>
      </c>
      <c r="T30" s="1571" t="s">
        <v>11</v>
      </c>
      <c r="U30" s="1572">
        <f t="shared" si="13"/>
        <v>100</v>
      </c>
      <c r="V30" s="1571" t="s">
        <v>11</v>
      </c>
      <c r="W30" s="1572">
        <f t="shared" si="14"/>
        <v>100</v>
      </c>
      <c r="X30" s="1565"/>
      <c r="Y30" s="3397"/>
      <c r="Z30" s="1573">
        <f t="shared" si="15"/>
        <v>111</v>
      </c>
      <c r="AA30" s="1574">
        <f t="shared" si="3"/>
        <v>1</v>
      </c>
      <c r="AB30" s="1574">
        <f t="shared" si="4"/>
        <v>1</v>
      </c>
      <c r="AC30" s="1574">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1"/>
      <c r="M31" s="2133"/>
      <c r="N31" s="2133"/>
      <c r="O31" s="2140"/>
      <c r="P31" s="3397"/>
      <c r="Q31" s="1570">
        <f t="shared" si="11"/>
        <v>111</v>
      </c>
      <c r="R31" s="1571" t="s">
        <v>11</v>
      </c>
      <c r="S31" s="1572">
        <f t="shared" si="12"/>
        <v>100</v>
      </c>
      <c r="T31" s="1571" t="s">
        <v>11</v>
      </c>
      <c r="U31" s="1572">
        <f t="shared" si="13"/>
        <v>100</v>
      </c>
      <c r="V31" s="1571" t="s">
        <v>11</v>
      </c>
      <c r="W31" s="1572">
        <f t="shared" si="14"/>
        <v>100</v>
      </c>
      <c r="X31" s="1565"/>
      <c r="Y31" s="3397"/>
      <c r="Z31" s="1573">
        <f t="shared" si="15"/>
        <v>111</v>
      </c>
      <c r="AA31" s="1574">
        <f t="shared" si="3"/>
        <v>1</v>
      </c>
      <c r="AB31" s="1574">
        <f t="shared" si="4"/>
        <v>1</v>
      </c>
      <c r="AC31" s="1574">
        <f t="shared" si="5"/>
        <v>1</v>
      </c>
    </row>
    <row r="32" spans="1:29" ht="15">
      <c r="A32" s="2906" t="s">
        <v>2717</v>
      </c>
      <c r="B32" s="171" t="s">
        <v>690</v>
      </c>
      <c r="C32" s="877" t="s">
        <v>3011</v>
      </c>
      <c r="D32" s="596">
        <v>100</v>
      </c>
      <c r="E32" s="877" t="s">
        <v>3011</v>
      </c>
      <c r="F32" s="574">
        <f>SUMIF(100:100,E32,101:101)-SUMIF(100:100,C32,101:101)+100</f>
        <v>100</v>
      </c>
      <c r="G32" s="877" t="s">
        <v>3011</v>
      </c>
      <c r="H32" s="596">
        <f>SUMIF(100:100,G32,101:101)-SUMIF(100:100,C32,101:101)+100</f>
        <v>100</v>
      </c>
      <c r="I32" s="877" t="s">
        <v>3011</v>
      </c>
      <c r="J32" s="539">
        <f>SUMIF(100:100,I32,101:101)-SUMIF(100:100,C32,101:101)+100</f>
        <v>100</v>
      </c>
      <c r="K32" s="863">
        <v>2</v>
      </c>
      <c r="L32" s="2141"/>
      <c r="M32" s="2133"/>
      <c r="N32" s="2133"/>
      <c r="O32" s="2140"/>
      <c r="P32" s="3398" t="s">
        <v>515</v>
      </c>
      <c r="Q32" s="1570" t="str">
        <f t="shared" si="11"/>
        <v>建筑类型</v>
      </c>
      <c r="R32" s="1571" t="s">
        <v>11</v>
      </c>
      <c r="S32" s="1572">
        <f t="shared" si="12"/>
        <v>100</v>
      </c>
      <c r="T32" s="1571" t="s">
        <v>11</v>
      </c>
      <c r="U32" s="1572">
        <f t="shared" si="13"/>
        <v>100</v>
      </c>
      <c r="V32" s="1571" t="s">
        <v>11</v>
      </c>
      <c r="W32" s="1572">
        <f t="shared" si="14"/>
        <v>100</v>
      </c>
      <c r="X32" s="1565"/>
      <c r="Y32" s="3399" t="s">
        <v>515</v>
      </c>
      <c r="Z32" s="1573" t="str">
        <f t="shared" si="15"/>
        <v>建筑类型</v>
      </c>
      <c r="AA32" s="1574">
        <f t="shared" si="3"/>
        <v>1</v>
      </c>
      <c r="AB32" s="1574">
        <f t="shared" si="4"/>
        <v>1</v>
      </c>
      <c r="AC32" s="1574">
        <f t="shared" si="5"/>
        <v>1</v>
      </c>
    </row>
    <row r="33" spans="1:29" s="1337" customFormat="1" ht="15">
      <c r="A33" s="602"/>
      <c r="B33" s="526" t="s">
        <v>691</v>
      </c>
      <c r="C33" s="878">
        <f>'数据-汇总表'!E3</f>
        <v>21457.599999999999</v>
      </c>
      <c r="D33" s="254">
        <v>100</v>
      </c>
      <c r="E33" s="533">
        <v>232125</v>
      </c>
      <c r="F33" s="862">
        <f>LOOKUP(E33,103:103,104:104)-LOOKUP(C33,103:103,104:104)+100</f>
        <v>101</v>
      </c>
      <c r="G33" s="532">
        <v>500000</v>
      </c>
      <c r="H33" s="254">
        <f>LOOKUP(G33,103:103,104:104)-LOOKUP(C33,103:103,104:104)+100</f>
        <v>104</v>
      </c>
      <c r="I33" s="533">
        <v>473510.2</v>
      </c>
      <c r="J33" s="254">
        <f>LOOKUP(I33,103:103,104:104)-LOOKUP(C33,103:103,104:104)+100</f>
        <v>104</v>
      </c>
      <c r="K33" s="864"/>
      <c r="L33" s="2139"/>
      <c r="M33" s="2170"/>
      <c r="N33" s="2170"/>
      <c r="O33" s="2142"/>
      <c r="P33" s="3399"/>
      <c r="Q33" s="1603" t="str">
        <f t="shared" si="11"/>
        <v>项目建筑规模</v>
      </c>
      <c r="R33" s="1575" t="s">
        <v>11</v>
      </c>
      <c r="S33" s="1576">
        <f t="shared" si="12"/>
        <v>101</v>
      </c>
      <c r="T33" s="1575" t="s">
        <v>11</v>
      </c>
      <c r="U33" s="1576">
        <f t="shared" si="13"/>
        <v>104</v>
      </c>
      <c r="V33" s="1575" t="s">
        <v>11</v>
      </c>
      <c r="W33" s="1576">
        <f t="shared" si="14"/>
        <v>104</v>
      </c>
      <c r="X33" s="1577"/>
      <c r="Y33" s="3399"/>
      <c r="Z33" s="1578" t="str">
        <f t="shared" si="15"/>
        <v>项目建筑规模</v>
      </c>
      <c r="AA33" s="1574">
        <f t="shared" si="3"/>
        <v>0.99009900990099009</v>
      </c>
      <c r="AB33" s="1574">
        <f t="shared" si="4"/>
        <v>0.96153846153846156</v>
      </c>
      <c r="AC33" s="1574">
        <f t="shared" si="5"/>
        <v>0.96153846153846156</v>
      </c>
    </row>
    <row r="34" spans="1:29" ht="15">
      <c r="A34" s="593"/>
      <c r="B34" s="526" t="s">
        <v>692</v>
      </c>
      <c r="C34" s="879" t="s">
        <v>2983</v>
      </c>
      <c r="D34" s="539">
        <v>100</v>
      </c>
      <c r="E34" s="879" t="s">
        <v>2983</v>
      </c>
      <c r="F34" s="574">
        <f>SUMIF(105:105,E34,106:106)-SUMIF(105:105,C34,106:106)+100</f>
        <v>100</v>
      </c>
      <c r="G34" s="879" t="s">
        <v>2983</v>
      </c>
      <c r="H34" s="539">
        <f>SUMIF(105:105,G34,106:106)-SUMIF(105:105,C34,106:106)+100</f>
        <v>100</v>
      </c>
      <c r="I34" s="879" t="s">
        <v>2983</v>
      </c>
      <c r="J34" s="539">
        <f>SUMIF(105:105,I34,106:106)-SUMIF(105:105,C34,106:106)+100</f>
        <v>100</v>
      </c>
      <c r="K34" s="863">
        <v>1</v>
      </c>
      <c r="L34" s="2141"/>
      <c r="M34" s="2133"/>
      <c r="N34" s="2133"/>
      <c r="O34" s="2140"/>
      <c r="P34" s="3399"/>
      <c r="Q34" s="1570" t="str">
        <f t="shared" si="11"/>
        <v>建筑结构</v>
      </c>
      <c r="R34" s="1571" t="s">
        <v>11</v>
      </c>
      <c r="S34" s="1572">
        <f t="shared" si="12"/>
        <v>100</v>
      </c>
      <c r="T34" s="1571" t="s">
        <v>11</v>
      </c>
      <c r="U34" s="1572">
        <f t="shared" si="13"/>
        <v>100</v>
      </c>
      <c r="V34" s="1571" t="s">
        <v>11</v>
      </c>
      <c r="W34" s="1572">
        <f t="shared" si="14"/>
        <v>100</v>
      </c>
      <c r="X34" s="1565"/>
      <c r="Y34" s="3399"/>
      <c r="Z34" s="1573" t="str">
        <f t="shared" si="15"/>
        <v>建筑结构</v>
      </c>
      <c r="AA34" s="1574">
        <f t="shared" si="3"/>
        <v>1</v>
      </c>
      <c r="AB34" s="1574">
        <f t="shared" si="4"/>
        <v>1</v>
      </c>
      <c r="AC34" s="1574">
        <f t="shared" si="5"/>
        <v>1</v>
      </c>
    </row>
    <row r="35" spans="1:29" ht="15">
      <c r="A35" s="593"/>
      <c r="B35" s="526" t="s">
        <v>693</v>
      </c>
      <c r="C35" s="598" t="s">
        <v>2949</v>
      </c>
      <c r="D35" s="539">
        <v>100</v>
      </c>
      <c r="E35" s="598" t="s">
        <v>2949</v>
      </c>
      <c r="F35" s="574">
        <f>SUMIF(107:107,E35,108:108)-SUMIF(107:107,C35,108:108)+100</f>
        <v>100</v>
      </c>
      <c r="G35" s="598" t="s">
        <v>2949</v>
      </c>
      <c r="H35" s="539">
        <f>SUMIF(107:107,G35,108:108)-SUMIF(107:107,C35,108:108)+100</f>
        <v>100</v>
      </c>
      <c r="I35" s="598" t="s">
        <v>2949</v>
      </c>
      <c r="J35" s="539">
        <f>SUMIF(107:107,I35,108:108)-SUMIF(107:107,C35,108:108)+100</f>
        <v>100</v>
      </c>
      <c r="K35" s="863">
        <v>1</v>
      </c>
      <c r="L35" s="2141"/>
      <c r="M35" s="2133"/>
      <c r="N35" s="2133"/>
      <c r="O35" s="2140"/>
      <c r="P35" s="3399"/>
      <c r="Q35" s="1570" t="str">
        <f t="shared" si="11"/>
        <v>建筑品质</v>
      </c>
      <c r="R35" s="1571" t="s">
        <v>11</v>
      </c>
      <c r="S35" s="1572">
        <f t="shared" si="12"/>
        <v>100</v>
      </c>
      <c r="T35" s="1571" t="s">
        <v>11</v>
      </c>
      <c r="U35" s="1572">
        <f t="shared" si="13"/>
        <v>100</v>
      </c>
      <c r="V35" s="1571" t="s">
        <v>11</v>
      </c>
      <c r="W35" s="1572">
        <f t="shared" si="14"/>
        <v>100</v>
      </c>
      <c r="X35" s="1565"/>
      <c r="Y35" s="3399"/>
      <c r="Z35" s="1573" t="str">
        <f t="shared" si="15"/>
        <v>建筑品质</v>
      </c>
      <c r="AA35" s="1574">
        <f t="shared" si="3"/>
        <v>1</v>
      </c>
      <c r="AB35" s="1574">
        <f t="shared" si="4"/>
        <v>1</v>
      </c>
      <c r="AC35" s="1574">
        <f t="shared" si="5"/>
        <v>1</v>
      </c>
    </row>
    <row r="36" spans="1:29" ht="15">
      <c r="A36" s="593"/>
      <c r="B36" s="526" t="s">
        <v>694</v>
      </c>
      <c r="C36" s="598" t="s">
        <v>2996</v>
      </c>
      <c r="D36" s="539">
        <v>100</v>
      </c>
      <c r="E36" s="598" t="s">
        <v>2996</v>
      </c>
      <c r="F36" s="574">
        <f>SUMIF(109:109,E36,110:110)-SUMIF(109:109,C36,110:110)+100</f>
        <v>100</v>
      </c>
      <c r="G36" s="598" t="s">
        <v>2996</v>
      </c>
      <c r="H36" s="539">
        <f>SUMIF(109:109,G36,110:110)-SUMIF(109:109,C36,110:110)+100</f>
        <v>100</v>
      </c>
      <c r="I36" s="598" t="s">
        <v>2996</v>
      </c>
      <c r="J36" s="539">
        <f>SUMIF(109:109,I36,110:110)-SUMIF(109:109,C36,110:110)+100</f>
        <v>100</v>
      </c>
      <c r="K36" s="863">
        <v>2</v>
      </c>
      <c r="L36" s="2141"/>
      <c r="M36" s="2133"/>
      <c r="N36" s="2133"/>
      <c r="O36" s="2140"/>
      <c r="P36" s="3399"/>
      <c r="Q36" s="1570" t="str">
        <f t="shared" si="11"/>
        <v>公共部分装修</v>
      </c>
      <c r="R36" s="1571" t="s">
        <v>11</v>
      </c>
      <c r="S36" s="1572">
        <f t="shared" si="12"/>
        <v>100</v>
      </c>
      <c r="T36" s="1571" t="s">
        <v>11</v>
      </c>
      <c r="U36" s="1572">
        <f t="shared" si="13"/>
        <v>100</v>
      </c>
      <c r="V36" s="1571" t="s">
        <v>11</v>
      </c>
      <c r="W36" s="1572">
        <f t="shared" si="14"/>
        <v>100</v>
      </c>
      <c r="X36" s="1565"/>
      <c r="Y36" s="3399"/>
      <c r="Z36" s="1573" t="str">
        <f t="shared" si="15"/>
        <v>公共部分装修</v>
      </c>
      <c r="AA36" s="1574">
        <f t="shared" si="3"/>
        <v>1</v>
      </c>
      <c r="AB36" s="1574">
        <f t="shared" si="4"/>
        <v>1</v>
      </c>
      <c r="AC36" s="1574">
        <f t="shared" si="5"/>
        <v>1</v>
      </c>
    </row>
    <row r="37" spans="1:29" s="1218" customFormat="1" ht="15">
      <c r="A37" s="599"/>
      <c r="B37" s="526" t="s">
        <v>695</v>
      </c>
      <c r="C37" s="881">
        <v>1</v>
      </c>
      <c r="D37" s="254">
        <v>100</v>
      </c>
      <c r="E37" s="881">
        <v>1</v>
      </c>
      <c r="F37" s="862">
        <f>LOOKUP(E37,112:112,113:113)-LOOKUP(C37,112:112,113:113)+100</f>
        <v>100</v>
      </c>
      <c r="G37" s="881">
        <v>1</v>
      </c>
      <c r="H37" s="254">
        <f>LOOKUP(G37,112:112,113:113)-LOOKUP(C37,112:112,113:113)+100</f>
        <v>100</v>
      </c>
      <c r="I37" s="881">
        <v>1</v>
      </c>
      <c r="J37" s="254">
        <f>LOOKUP(I37,112:112,113:113)-LOOKUP(C37,112:112,113:113)+100</f>
        <v>100</v>
      </c>
      <c r="K37" s="863">
        <v>1</v>
      </c>
      <c r="L37" s="2134"/>
      <c r="M37" s="2135"/>
      <c r="N37" s="2135"/>
      <c r="O37" s="2136"/>
      <c r="P37" s="3399"/>
      <c r="Q37" s="1149" t="str">
        <f t="shared" si="11"/>
        <v>成新度</v>
      </c>
      <c r="R37" s="1566" t="s">
        <v>11</v>
      </c>
      <c r="S37" s="1567">
        <f t="shared" si="12"/>
        <v>100</v>
      </c>
      <c r="T37" s="1566" t="s">
        <v>11</v>
      </c>
      <c r="U37" s="1567">
        <f t="shared" si="13"/>
        <v>100</v>
      </c>
      <c r="V37" s="1566" t="s">
        <v>11</v>
      </c>
      <c r="W37" s="1567">
        <f t="shared" si="14"/>
        <v>100</v>
      </c>
      <c r="X37" s="1568"/>
      <c r="Y37" s="3399"/>
      <c r="Z37" s="1148" t="str">
        <f t="shared" si="15"/>
        <v>成新度</v>
      </c>
      <c r="AA37" s="1569">
        <f t="shared" si="3"/>
        <v>1</v>
      </c>
      <c r="AB37" s="1569">
        <f t="shared" si="4"/>
        <v>1</v>
      </c>
      <c r="AC37" s="1569">
        <f t="shared" si="5"/>
        <v>1</v>
      </c>
    </row>
    <row r="38" spans="1:29" ht="15">
      <c r="A38" s="593"/>
      <c r="B38" s="526" t="s">
        <v>696</v>
      </c>
      <c r="C38" s="598" t="s">
        <v>2949</v>
      </c>
      <c r="D38" s="539">
        <v>100</v>
      </c>
      <c r="E38" s="598" t="s">
        <v>2949</v>
      </c>
      <c r="F38" s="574">
        <f>SUMIF(114:114,E38,115:115)-SUMIF(114:114,C38,115:115)+100</f>
        <v>100</v>
      </c>
      <c r="G38" s="598" t="s">
        <v>2949</v>
      </c>
      <c r="H38" s="539">
        <f>SUMIF(114:114,G38,115:115)-SUMIF(114:114,C38,115:115)+100</f>
        <v>100</v>
      </c>
      <c r="I38" s="598" t="s">
        <v>2949</v>
      </c>
      <c r="J38" s="539">
        <f>SUMIF(114:114,I38,115:115)-SUMIF(114:114,C38,115:115)+100</f>
        <v>100</v>
      </c>
      <c r="K38" s="863">
        <v>1</v>
      </c>
      <c r="L38" s="2141"/>
      <c r="M38" s="2133"/>
      <c r="N38" s="2133"/>
      <c r="O38" s="2140"/>
      <c r="P38" s="3399" t="s">
        <v>515</v>
      </c>
      <c r="Q38" s="1570" t="str">
        <f t="shared" si="11"/>
        <v>物业管理</v>
      </c>
      <c r="R38" s="1571" t="s">
        <v>11</v>
      </c>
      <c r="S38" s="1572">
        <f t="shared" si="12"/>
        <v>100</v>
      </c>
      <c r="T38" s="1571" t="s">
        <v>11</v>
      </c>
      <c r="U38" s="1572">
        <f t="shared" si="13"/>
        <v>100</v>
      </c>
      <c r="V38" s="1571" t="s">
        <v>11</v>
      </c>
      <c r="W38" s="1572">
        <f t="shared" si="14"/>
        <v>100</v>
      </c>
      <c r="X38" s="1565"/>
      <c r="Y38" s="3399" t="s">
        <v>515</v>
      </c>
      <c r="Z38" s="1573" t="str">
        <f t="shared" si="15"/>
        <v>物业管理</v>
      </c>
      <c r="AA38" s="1574">
        <f t="shared" si="3"/>
        <v>1</v>
      </c>
      <c r="AB38" s="1574">
        <f t="shared" si="4"/>
        <v>1</v>
      </c>
      <c r="AC38" s="1574">
        <f t="shared" si="5"/>
        <v>1</v>
      </c>
    </row>
    <row r="39" spans="1:29" ht="15">
      <c r="A39" s="593"/>
      <c r="B39" s="1894" t="s">
        <v>2526</v>
      </c>
      <c r="C39" s="598" t="s">
        <v>2950</v>
      </c>
      <c r="D39" s="539">
        <v>100</v>
      </c>
      <c r="E39" s="598" t="s">
        <v>2950</v>
      </c>
      <c r="F39" s="574">
        <f>SUMIF(116:116,E39,117:117)-SUMIF(116:116,C39,117:117)+100</f>
        <v>100</v>
      </c>
      <c r="G39" s="598" t="s">
        <v>2950</v>
      </c>
      <c r="H39" s="539">
        <f>SUMIF(116:116,G39,117:117)-SUMIF(116:116,C39,117:117)+100</f>
        <v>100</v>
      </c>
      <c r="I39" s="598" t="s">
        <v>2950</v>
      </c>
      <c r="J39" s="539">
        <f>SUMIF(116:116,I39,117:117)-SUMIF(116:116,C39,117:117)+100</f>
        <v>100</v>
      </c>
      <c r="K39" s="863">
        <v>1</v>
      </c>
      <c r="L39" s="2141"/>
      <c r="M39" s="2133"/>
      <c r="N39" s="2133"/>
      <c r="O39" s="2140"/>
      <c r="P39" s="3399"/>
      <c r="Q39" s="1570" t="str">
        <f t="shared" si="11"/>
        <v>市政基础设施</v>
      </c>
      <c r="R39" s="1571" t="s">
        <v>11</v>
      </c>
      <c r="S39" s="1572">
        <f t="shared" si="12"/>
        <v>100</v>
      </c>
      <c r="T39" s="1571" t="s">
        <v>11</v>
      </c>
      <c r="U39" s="1572">
        <f t="shared" si="13"/>
        <v>100</v>
      </c>
      <c r="V39" s="1571" t="s">
        <v>11</v>
      </c>
      <c r="W39" s="1572">
        <f t="shared" si="14"/>
        <v>100</v>
      </c>
      <c r="X39" s="1565"/>
      <c r="Y39" s="3399"/>
      <c r="Z39" s="1573" t="str">
        <f t="shared" si="15"/>
        <v>市政基础设施</v>
      </c>
      <c r="AA39" s="1574">
        <f t="shared" si="3"/>
        <v>1</v>
      </c>
      <c r="AB39" s="1574">
        <f t="shared" si="4"/>
        <v>1</v>
      </c>
      <c r="AC39" s="1574">
        <f t="shared" si="5"/>
        <v>1</v>
      </c>
    </row>
    <row r="40" spans="1:29" ht="15">
      <c r="A40" s="593"/>
      <c r="B40" s="526" t="s">
        <v>697</v>
      </c>
      <c r="C40" s="598" t="s">
        <v>3009</v>
      </c>
      <c r="D40" s="539">
        <v>100</v>
      </c>
      <c r="E40" s="598" t="s">
        <v>3009</v>
      </c>
      <c r="F40" s="574">
        <f>SUMIF(118:118,E40,119:119)-SUMIF(118:118,C40,119:119)+100</f>
        <v>100</v>
      </c>
      <c r="G40" s="598" t="s">
        <v>3009</v>
      </c>
      <c r="H40" s="539">
        <f>SUMIF(118:118,G40,119:119)-SUMIF(118:118,C40,119:119)+100</f>
        <v>100</v>
      </c>
      <c r="I40" s="598" t="s">
        <v>3009</v>
      </c>
      <c r="J40" s="539">
        <f>SUMIF(118:118,I40,119:119)-SUMIF(118:118,C40,119:119)+100</f>
        <v>100</v>
      </c>
      <c r="K40" s="863">
        <v>2</v>
      </c>
      <c r="L40" s="2141"/>
      <c r="M40" s="2133"/>
      <c r="N40" s="2133"/>
      <c r="O40" s="2140"/>
      <c r="P40" s="3399"/>
      <c r="Q40" s="1570" t="str">
        <f t="shared" si="11"/>
        <v>房型</v>
      </c>
      <c r="R40" s="1571" t="s">
        <v>11</v>
      </c>
      <c r="S40" s="1572">
        <f t="shared" si="12"/>
        <v>100</v>
      </c>
      <c r="T40" s="1571" t="s">
        <v>11</v>
      </c>
      <c r="U40" s="1572">
        <f t="shared" si="13"/>
        <v>100</v>
      </c>
      <c r="V40" s="1571" t="s">
        <v>11</v>
      </c>
      <c r="W40" s="1572">
        <f t="shared" si="14"/>
        <v>100</v>
      </c>
      <c r="X40" s="1565"/>
      <c r="Y40" s="3399"/>
      <c r="Z40" s="1573" t="str">
        <f t="shared" si="15"/>
        <v>房型</v>
      </c>
      <c r="AA40" s="1574">
        <f t="shared" si="3"/>
        <v>1</v>
      </c>
      <c r="AB40" s="1574">
        <f t="shared" si="4"/>
        <v>1</v>
      </c>
      <c r="AC40" s="1574">
        <f t="shared" si="5"/>
        <v>1</v>
      </c>
    </row>
    <row r="41" spans="1:29" s="1337" customFormat="1" ht="28.8">
      <c r="A41" s="602"/>
      <c r="B41" s="526" t="s">
        <v>698</v>
      </c>
      <c r="C41" s="878"/>
      <c r="D41" s="254">
        <v>100</v>
      </c>
      <c r="E41" s="533"/>
      <c r="F41" s="862">
        <f>SUMIF(120:120,E41,121:121)-SUMIF(120:120,C41,121:121)+100</f>
        <v>100</v>
      </c>
      <c r="G41" s="532"/>
      <c r="H41" s="254">
        <f>SUMIF(120:120,G41,121:121)-SUMIF(120:120,C41,121:121)+100</f>
        <v>100</v>
      </c>
      <c r="I41" s="585"/>
      <c r="J41" s="539">
        <f>SUMIF(120:120,I41,121:121)-SUMIF(120:120,C41,121:121)+100</f>
        <v>100</v>
      </c>
      <c r="K41" s="864"/>
      <c r="L41" s="2139"/>
      <c r="M41" s="2170"/>
      <c r="N41" s="2170"/>
      <c r="O41" s="2142"/>
      <c r="P41" s="3399"/>
      <c r="Q41" s="1603" t="str">
        <f t="shared" si="11"/>
        <v>单套/主力户型建筑面积</v>
      </c>
      <c r="R41" s="1575" t="s">
        <v>11</v>
      </c>
      <c r="S41" s="1576">
        <f t="shared" si="12"/>
        <v>100</v>
      </c>
      <c r="T41" s="1575" t="s">
        <v>11</v>
      </c>
      <c r="U41" s="1576">
        <f t="shared" si="13"/>
        <v>100</v>
      </c>
      <c r="V41" s="1575" t="s">
        <v>11</v>
      </c>
      <c r="W41" s="1576">
        <f t="shared" si="14"/>
        <v>100</v>
      </c>
      <c r="X41" s="1577"/>
      <c r="Y41" s="3399"/>
      <c r="Z41" s="1578" t="str">
        <f t="shared" si="15"/>
        <v>单套/主力户型建筑面积</v>
      </c>
      <c r="AA41" s="1574">
        <f t="shared" si="3"/>
        <v>1</v>
      </c>
      <c r="AB41" s="1574">
        <f t="shared" si="4"/>
        <v>1</v>
      </c>
      <c r="AC41" s="1574">
        <f t="shared" si="5"/>
        <v>1</v>
      </c>
    </row>
    <row r="42" spans="1:29" ht="15">
      <c r="A42" s="593"/>
      <c r="B42" s="526" t="s">
        <v>699</v>
      </c>
      <c r="C42" s="598" t="s">
        <v>3000</v>
      </c>
      <c r="D42" s="539">
        <v>100</v>
      </c>
      <c r="E42" s="598" t="s">
        <v>3000</v>
      </c>
      <c r="F42" s="574">
        <f>SUMIF(122:122,E42,123:123)-SUMIF(122:122,C42,123:123)+100</f>
        <v>100</v>
      </c>
      <c r="G42" s="598" t="s">
        <v>3000</v>
      </c>
      <c r="H42" s="539">
        <f>SUMIF(122:122,G42,123:123)-SUMIF(122:122,C42,123:123)+100</f>
        <v>100</v>
      </c>
      <c r="I42" s="598" t="s">
        <v>3000</v>
      </c>
      <c r="J42" s="539">
        <f>SUMIF(122:122,I42,123:123)-SUMIF(122:122,C42,123:123)+100</f>
        <v>100</v>
      </c>
      <c r="K42" s="863">
        <v>2</v>
      </c>
      <c r="L42" s="2141"/>
      <c r="M42" s="2133"/>
      <c r="N42" s="2133"/>
      <c r="O42" s="2140"/>
      <c r="P42" s="3399"/>
      <c r="Q42" s="1570" t="str">
        <f t="shared" si="11"/>
        <v>内部装修</v>
      </c>
      <c r="R42" s="1571" t="s">
        <v>11</v>
      </c>
      <c r="S42" s="1572">
        <f t="shared" si="12"/>
        <v>100</v>
      </c>
      <c r="T42" s="1571" t="s">
        <v>11</v>
      </c>
      <c r="U42" s="1572">
        <f t="shared" si="13"/>
        <v>100</v>
      </c>
      <c r="V42" s="1571" t="s">
        <v>11</v>
      </c>
      <c r="W42" s="1572">
        <f t="shared" si="14"/>
        <v>100</v>
      </c>
      <c r="X42" s="1565"/>
      <c r="Y42" s="3399"/>
      <c r="Z42" s="1573" t="str">
        <f t="shared" si="15"/>
        <v>内部装修</v>
      </c>
      <c r="AA42" s="1574">
        <f t="shared" si="3"/>
        <v>1</v>
      </c>
      <c r="AB42" s="1574">
        <f t="shared" si="4"/>
        <v>1</v>
      </c>
      <c r="AC42" s="1574">
        <f t="shared" si="5"/>
        <v>1</v>
      </c>
    </row>
    <row r="43" spans="1:29" ht="28.8">
      <c r="A43" s="593"/>
      <c r="B43" s="526" t="s">
        <v>700</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1"/>
      <c r="M43" s="2133"/>
      <c r="N43" s="2133"/>
      <c r="O43" s="2140"/>
      <c r="P43" s="3399"/>
      <c r="Q43" s="1570" t="str">
        <f t="shared" si="11"/>
        <v>内部装修维护情况</v>
      </c>
      <c r="R43" s="1571" t="s">
        <v>11</v>
      </c>
      <c r="S43" s="1572">
        <f t="shared" si="12"/>
        <v>100</v>
      </c>
      <c r="T43" s="1571" t="s">
        <v>11</v>
      </c>
      <c r="U43" s="1572">
        <f t="shared" si="13"/>
        <v>100</v>
      </c>
      <c r="V43" s="1571" t="s">
        <v>11</v>
      </c>
      <c r="W43" s="1572">
        <f t="shared" si="14"/>
        <v>100</v>
      </c>
      <c r="X43" s="1565"/>
      <c r="Y43" s="3399"/>
      <c r="Z43" s="1573" t="str">
        <f t="shared" si="15"/>
        <v>内部装修维护情况</v>
      </c>
      <c r="AA43" s="1574">
        <f t="shared" si="3"/>
        <v>1</v>
      </c>
      <c r="AB43" s="1574">
        <f t="shared" si="4"/>
        <v>1</v>
      </c>
      <c r="AC43" s="1574">
        <f t="shared" si="5"/>
        <v>1</v>
      </c>
    </row>
    <row r="44" spans="1:29" s="1218" customFormat="1" ht="15">
      <c r="A44" s="599"/>
      <c r="B44" s="876">
        <v>111</v>
      </c>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4"/>
      <c r="M44" s="2135"/>
      <c r="N44" s="2135"/>
      <c r="O44" s="2136"/>
      <c r="P44" s="3399"/>
      <c r="Q44" s="1149">
        <f t="shared" si="11"/>
        <v>111</v>
      </c>
      <c r="R44" s="1566" t="s">
        <v>11</v>
      </c>
      <c r="S44" s="1567">
        <f t="shared" si="12"/>
        <v>100</v>
      </c>
      <c r="T44" s="1566" t="s">
        <v>11</v>
      </c>
      <c r="U44" s="1567">
        <f t="shared" si="13"/>
        <v>100</v>
      </c>
      <c r="V44" s="1566" t="s">
        <v>11</v>
      </c>
      <c r="W44" s="1567">
        <f t="shared" si="14"/>
        <v>100</v>
      </c>
      <c r="X44" s="1568"/>
      <c r="Y44" s="3399"/>
      <c r="Z44" s="1148">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1"/>
      <c r="M45" s="2133"/>
      <c r="N45" s="2133"/>
      <c r="O45" s="2140"/>
      <c r="P45" s="3399"/>
      <c r="Q45" s="1570">
        <f t="shared" si="11"/>
        <v>111</v>
      </c>
      <c r="R45" s="1571" t="s">
        <v>11</v>
      </c>
      <c r="S45" s="1572">
        <f t="shared" si="12"/>
        <v>100</v>
      </c>
      <c r="T45" s="1571" t="s">
        <v>11</v>
      </c>
      <c r="U45" s="1572">
        <f t="shared" si="13"/>
        <v>100</v>
      </c>
      <c r="V45" s="1571" t="s">
        <v>11</v>
      </c>
      <c r="W45" s="1572">
        <f t="shared" si="14"/>
        <v>100</v>
      </c>
      <c r="X45" s="1565"/>
      <c r="Y45" s="3399"/>
      <c r="Z45" s="1573">
        <f t="shared" si="15"/>
        <v>111</v>
      </c>
      <c r="AA45" s="1574">
        <f t="shared" si="3"/>
        <v>1</v>
      </c>
      <c r="AB45" s="1574">
        <f t="shared" si="4"/>
        <v>1</v>
      </c>
      <c r="AC45" s="1574">
        <f t="shared" si="5"/>
        <v>1</v>
      </c>
    </row>
    <row r="46" spans="1:29" ht="15.6"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1"/>
      <c r="M46" s="2133"/>
      <c r="N46" s="2133"/>
      <c r="O46" s="2140"/>
      <c r="P46" s="3478"/>
      <c r="Q46" s="1570">
        <f t="shared" si="11"/>
        <v>111</v>
      </c>
      <c r="R46" s="1571" t="s">
        <v>10</v>
      </c>
      <c r="S46" s="1572">
        <f t="shared" si="12"/>
        <v>100</v>
      </c>
      <c r="T46" s="1571" t="s">
        <v>10</v>
      </c>
      <c r="U46" s="1572">
        <f t="shared" si="13"/>
        <v>100</v>
      </c>
      <c r="V46" s="1571" t="s">
        <v>10</v>
      </c>
      <c r="W46" s="1572">
        <f t="shared" si="14"/>
        <v>100</v>
      </c>
      <c r="X46" s="1565"/>
      <c r="Y46" s="3478"/>
      <c r="Z46" s="1573">
        <f t="shared" si="15"/>
        <v>111</v>
      </c>
      <c r="AA46" s="1574">
        <f t="shared" si="3"/>
        <v>1</v>
      </c>
      <c r="AB46" s="1574">
        <f t="shared" si="4"/>
        <v>1</v>
      </c>
      <c r="AC46" s="1574">
        <f t="shared" si="5"/>
        <v>1</v>
      </c>
    </row>
    <row r="47" spans="1:29" ht="14.4">
      <c r="A47" s="606" t="s">
        <v>701</v>
      </c>
      <c r="B47" s="885"/>
      <c r="C47" s="2626" t="s">
        <v>9</v>
      </c>
      <c r="D47" s="2627"/>
      <c r="E47" s="2628">
        <v>9000</v>
      </c>
      <c r="F47" s="2629"/>
      <c r="G47" s="2630">
        <v>9000</v>
      </c>
      <c r="H47" s="2631"/>
      <c r="I47" s="2628">
        <v>10000</v>
      </c>
      <c r="J47" s="2631"/>
      <c r="K47" s="1604"/>
      <c r="L47" s="2143"/>
      <c r="M47" s="2144"/>
      <c r="N47" s="2133"/>
      <c r="O47" s="2144"/>
      <c r="P47" s="3362" t="str">
        <f>A47</f>
        <v>成交单价（元/平方米）</v>
      </c>
      <c r="Q47" s="3362"/>
      <c r="R47" s="3477">
        <f>E47</f>
        <v>9000</v>
      </c>
      <c r="S47" s="3477"/>
      <c r="T47" s="3477">
        <f>G47</f>
        <v>9000</v>
      </c>
      <c r="U47" s="3477"/>
      <c r="V47" s="3477">
        <f>I47</f>
        <v>10000</v>
      </c>
      <c r="W47" s="3477"/>
      <c r="X47" s="1557"/>
      <c r="Y47" s="1579"/>
      <c r="Z47" s="1557"/>
      <c r="AA47" s="1557"/>
      <c r="AB47" s="1557"/>
      <c r="AC47" s="1557"/>
    </row>
    <row r="48" spans="1:29" ht="15" thickBot="1">
      <c r="A48" s="614" t="s">
        <v>2722</v>
      </c>
      <c r="B48" s="886"/>
      <c r="C48" s="2632" t="e">
        <f>R49</f>
        <v>#DIV/0!</v>
      </c>
      <c r="D48" s="2633"/>
      <c r="E48" s="2634" t="e">
        <f>R48</f>
        <v>#DIV/0!</v>
      </c>
      <c r="F48" s="2634"/>
      <c r="G48" s="2632" t="e">
        <f>T48</f>
        <v>#DIV/0!</v>
      </c>
      <c r="H48" s="2633"/>
      <c r="I48" s="2634" t="e">
        <f>V48</f>
        <v>#DIV/0!</v>
      </c>
      <c r="J48" s="2633"/>
      <c r="K48" s="1605"/>
      <c r="L48" s="2143"/>
      <c r="M48" s="2144"/>
      <c r="N48" s="2144"/>
      <c r="O48" s="2144"/>
      <c r="P48" s="3362" t="str">
        <f>A48</f>
        <v>比较价格（元/平方米）</v>
      </c>
      <c r="Q48" s="3362"/>
      <c r="R48" s="3477" t="e">
        <f>IF(F1="售价",ROUND(PRODUCT(R47,AA7:AA46),0),ROUND(PRODUCT(R47,AA7:AA46),1))</f>
        <v>#DIV/0!</v>
      </c>
      <c r="S48" s="3477"/>
      <c r="T48" s="3477" t="e">
        <f>IF(F1="售价",ROUND(PRODUCT(T47,AB7:AB46),0),ROUND(PRODUCT(T47,AB7:AB46),1))</f>
        <v>#DIV/0!</v>
      </c>
      <c r="U48" s="3477"/>
      <c r="V48" s="3477" t="e">
        <f>IF(F1="售价",ROUND(PRODUCT(V47,AC7:AC46),0),ROUND(PRODUCT(V47,AC7:AC46),1))</f>
        <v>#DIV/0!</v>
      </c>
      <c r="W48" s="3477"/>
      <c r="X48" s="1557"/>
      <c r="Y48" s="1557"/>
      <c r="Z48" s="1557"/>
      <c r="AA48" s="1557"/>
      <c r="AB48" s="1557"/>
      <c r="AC48" s="1557"/>
    </row>
    <row r="49" spans="1:29" ht="15" thickBot="1">
      <c r="A49" s="620" t="s">
        <v>2895</v>
      </c>
      <c r="B49" s="621"/>
      <c r="C49" s="2635" t="e">
        <f>R49</f>
        <v>#DIV/0!</v>
      </c>
      <c r="D49" s="2635"/>
      <c r="E49" s="2635"/>
      <c r="F49" s="2635"/>
      <c r="G49" s="2635"/>
      <c r="H49" s="2635"/>
      <c r="I49" s="2635"/>
      <c r="J49" s="2635"/>
      <c r="K49" s="1606"/>
      <c r="L49" s="2143"/>
      <c r="M49" s="2144"/>
      <c r="N49" s="2144"/>
      <c r="O49" s="2144"/>
      <c r="P49" s="3359" t="str">
        <f>A49</f>
        <v>估价对象XX用房的比较价格（楼面单价，元/平方米）</v>
      </c>
      <c r="Q49" s="3360"/>
      <c r="R49" s="3476" t="e">
        <f>IF(F1="售价",ROUND(AVERAGE(R48:V48),0),ROUND(AVERAGE(R48:V48),1))</f>
        <v>#DIV/0!</v>
      </c>
      <c r="S49" s="3476"/>
      <c r="T49" s="3476"/>
      <c r="U49" s="3476"/>
      <c r="V49" s="3476"/>
      <c r="W49" s="3476"/>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3" t="s">
        <v>522</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3" t="s">
        <v>523</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3" customFormat="1" ht="13.5" customHeight="1">
      <c r="A54" s="2145"/>
      <c r="B54" s="2145"/>
      <c r="C54" s="623" t="s">
        <v>524</v>
      </c>
      <c r="D54" s="627"/>
      <c r="E54" s="625">
        <f>IF(E47&lt;G47,G47/E47-1,E47/G47-1)</f>
        <v>0</v>
      </c>
      <c r="F54" s="626" t="str">
        <f>IF(OR(E54&gt;=0.3,E54&lt;=-0.3),"超过30%","")</f>
        <v/>
      </c>
      <c r="G54" s="625">
        <f>IF(G47&lt;I47,I47/G47-1,G47/I47-1)</f>
        <v>0.11111111111111116</v>
      </c>
      <c r="H54" s="626" t="str">
        <f>IF(OR(G54&gt;=0.3,G54&lt;=-0.3),"超过30%","")</f>
        <v/>
      </c>
      <c r="I54" s="625">
        <f>IF(I47&lt;E47,E47/I47-1,I47/E47-1)</f>
        <v>0.11111111111111116</v>
      </c>
      <c r="J54" s="626"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3"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2.2" thickBot="1">
      <c r="A57" s="1582" t="s">
        <v>539</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5" customFormat="1" ht="14.4">
      <c r="A58" s="644" t="s">
        <v>494</v>
      </c>
      <c r="B58" s="645"/>
      <c r="C58" s="2803" t="str">
        <f>YEAR(C7)&amp;"-"&amp;MONTH(C7)</f>
        <v>2018-12</v>
      </c>
      <c r="D58" s="2803">
        <f>EDATE(C58,-1)</f>
        <v>43405</v>
      </c>
      <c r="E58" s="2803">
        <f t="shared" ref="E58:O58" si="16">EDATE(D58,-1)</f>
        <v>43374</v>
      </c>
      <c r="F58" s="2803">
        <f t="shared" si="16"/>
        <v>43344</v>
      </c>
      <c r="G58" s="2803">
        <f t="shared" si="16"/>
        <v>43313</v>
      </c>
      <c r="H58" s="2803">
        <f t="shared" si="16"/>
        <v>43282</v>
      </c>
      <c r="I58" s="2803">
        <f t="shared" si="16"/>
        <v>43252</v>
      </c>
      <c r="J58" s="2803">
        <f t="shared" si="16"/>
        <v>43221</v>
      </c>
      <c r="K58" s="2803">
        <f t="shared" si="16"/>
        <v>43191</v>
      </c>
      <c r="L58" s="2803">
        <f t="shared" si="16"/>
        <v>43160</v>
      </c>
      <c r="M58" s="2803">
        <f t="shared" si="16"/>
        <v>43132</v>
      </c>
      <c r="N58" s="2803">
        <f t="shared" si="16"/>
        <v>43101</v>
      </c>
      <c r="O58" s="2803">
        <f t="shared" si="16"/>
        <v>43070</v>
      </c>
      <c r="P58" s="2159"/>
      <c r="Q58" s="2160"/>
      <c r="R58" s="2160"/>
      <c r="S58" s="2160"/>
      <c r="T58" s="2160"/>
      <c r="U58" s="2160"/>
      <c r="V58" s="2160"/>
      <c r="W58" s="2160"/>
      <c r="X58" s="2160"/>
      <c r="Y58" s="2160"/>
      <c r="Z58" s="2160"/>
      <c r="AA58" s="2160"/>
      <c r="AB58" s="2160"/>
      <c r="AC58" s="2160"/>
    </row>
    <row r="59" spans="1:29" s="1218" customFormat="1">
      <c r="A59" s="646"/>
      <c r="B59" s="647"/>
      <c r="C59" s="648">
        <v>100</v>
      </c>
      <c r="D59" s="649"/>
      <c r="E59" s="649"/>
      <c r="F59" s="649"/>
      <c r="G59" s="649"/>
      <c r="H59" s="649"/>
      <c r="I59" s="649"/>
      <c r="J59" s="649"/>
      <c r="K59" s="649"/>
      <c r="L59" s="649"/>
      <c r="M59" s="649"/>
      <c r="N59" s="649"/>
      <c r="O59" s="649"/>
      <c r="P59" s="2157"/>
      <c r="Q59" s="1992"/>
      <c r="R59" s="1992"/>
      <c r="S59" s="1992"/>
      <c r="T59" s="1992"/>
      <c r="U59" s="1992"/>
      <c r="V59" s="1992"/>
      <c r="W59" s="1992"/>
      <c r="X59" s="1992"/>
      <c r="Y59" s="1992"/>
      <c r="Z59" s="1992"/>
      <c r="AA59" s="1992"/>
      <c r="AB59" s="1992"/>
      <c r="AC59" s="1992"/>
    </row>
    <row r="60" spans="1:29" s="1218" customFormat="1" ht="15" thickBot="1">
      <c r="A60" s="652" t="s">
        <v>540</v>
      </c>
      <c r="B60" s="653"/>
      <c r="C60" s="654"/>
      <c r="D60" s="655"/>
      <c r="E60" s="655"/>
      <c r="F60" s="655"/>
      <c r="G60" s="655"/>
      <c r="H60" s="655"/>
      <c r="I60" s="655"/>
      <c r="J60" s="655"/>
      <c r="K60" s="655"/>
      <c r="L60" s="655"/>
      <c r="M60" s="656"/>
      <c r="N60" s="655"/>
      <c r="O60" s="657"/>
      <c r="P60" s="2157"/>
      <c r="Q60" s="2157"/>
      <c r="R60" s="1992"/>
      <c r="S60" s="1992"/>
      <c r="T60" s="1992"/>
      <c r="U60" s="1992"/>
      <c r="V60" s="1992"/>
      <c r="W60" s="1992"/>
      <c r="X60" s="1992"/>
      <c r="Y60" s="1992"/>
      <c r="Z60" s="1992"/>
      <c r="AA60" s="1992"/>
      <c r="AB60" s="1992"/>
      <c r="AC60" s="1992"/>
    </row>
    <row r="61" spans="1:29" s="1218" customFormat="1" ht="14.4">
      <c r="A61" s="658" t="s">
        <v>496</v>
      </c>
      <c r="B61" s="647"/>
      <c r="C61" s="659" t="s">
        <v>541</v>
      </c>
      <c r="D61" s="660"/>
      <c r="E61" s="660"/>
      <c r="F61" s="660"/>
      <c r="G61" s="660"/>
      <c r="H61" s="660"/>
      <c r="I61" s="660"/>
      <c r="J61" s="660"/>
      <c r="K61" s="660"/>
      <c r="L61" s="661"/>
      <c r="M61" s="662"/>
      <c r="N61" s="2161"/>
      <c r="O61" s="2161"/>
      <c r="P61" s="2162"/>
      <c r="Q61" s="2157"/>
      <c r="R61" s="1992"/>
      <c r="S61" s="1992"/>
      <c r="T61" s="1992"/>
      <c r="U61" s="1992"/>
      <c r="V61" s="1992"/>
      <c r="W61" s="1992"/>
      <c r="X61" s="1992"/>
      <c r="Y61" s="1992"/>
      <c r="Z61" s="1992"/>
      <c r="AA61" s="1992"/>
      <c r="AB61" s="1992"/>
      <c r="AC61" s="1992"/>
    </row>
    <row r="62" spans="1:29" s="1218" customFormat="1" ht="14.4" thickBot="1">
      <c r="A62" s="658"/>
      <c r="B62" s="647"/>
      <c r="C62" s="887">
        <v>100</v>
      </c>
      <c r="D62" s="649"/>
      <c r="E62" s="649"/>
      <c r="F62" s="649"/>
      <c r="G62" s="649"/>
      <c r="H62" s="649"/>
      <c r="I62" s="649"/>
      <c r="J62" s="649"/>
      <c r="K62" s="649"/>
      <c r="L62" s="649"/>
      <c r="M62" s="651"/>
      <c r="N62" s="2161"/>
      <c r="O62" s="2161"/>
      <c r="P62" s="2157"/>
      <c r="Q62" s="2157"/>
      <c r="R62" s="1992"/>
      <c r="S62" s="1992"/>
      <c r="T62" s="1992"/>
      <c r="U62" s="1992"/>
      <c r="V62" s="1992"/>
      <c r="W62" s="1992"/>
      <c r="X62" s="1992"/>
      <c r="Y62" s="1992"/>
      <c r="Z62" s="1992"/>
      <c r="AA62" s="1992"/>
      <c r="AB62" s="1992"/>
      <c r="AC62" s="1992"/>
    </row>
    <row r="63" spans="1:29" ht="14.4">
      <c r="A63" s="663" t="s">
        <v>542</v>
      </c>
      <c r="B63" s="664" t="s">
        <v>499</v>
      </c>
      <c r="C63" s="703" t="str">
        <f>C9</f>
        <v>住宅</v>
      </c>
      <c r="D63" s="597"/>
      <c r="E63" s="597"/>
      <c r="F63" s="597"/>
      <c r="G63" s="597"/>
      <c r="H63" s="597"/>
      <c r="I63" s="597"/>
      <c r="J63" s="597"/>
      <c r="K63" s="665"/>
      <c r="L63" s="666"/>
      <c r="M63" s="667"/>
      <c r="N63" s="2163"/>
      <c r="O63" s="2163"/>
      <c r="P63" s="2164"/>
      <c r="Q63" s="2157"/>
      <c r="R63" s="2144"/>
      <c r="S63" s="2144"/>
      <c r="T63" s="2144"/>
      <c r="U63" s="2144"/>
      <c r="V63" s="2144"/>
      <c r="W63" s="2144"/>
      <c r="X63" s="2144"/>
      <c r="Y63" s="2144"/>
      <c r="Z63" s="2144"/>
      <c r="AA63" s="2144"/>
      <c r="AB63" s="2144"/>
      <c r="AC63" s="2144"/>
    </row>
    <row r="64" spans="1:29" ht="14.4" thickBot="1">
      <c r="A64" s="668"/>
      <c r="B64" s="669"/>
      <c r="C64" s="670"/>
      <c r="D64" s="670"/>
      <c r="E64" s="1607"/>
      <c r="F64" s="1607"/>
      <c r="G64" s="1607"/>
      <c r="H64" s="1607"/>
      <c r="I64" s="1607"/>
      <c r="J64" s="1607"/>
      <c r="K64" s="1607"/>
      <c r="L64" s="1607"/>
      <c r="M64" s="1608"/>
      <c r="N64" s="2165"/>
      <c r="O64" s="2165"/>
      <c r="P64" s="2164"/>
      <c r="Q64" s="2157"/>
      <c r="R64" s="2144"/>
      <c r="S64" s="2144"/>
      <c r="T64" s="2144"/>
      <c r="U64" s="2144"/>
      <c r="V64" s="2144"/>
      <c r="W64" s="2144"/>
      <c r="X64" s="2144"/>
      <c r="Y64" s="2144"/>
      <c r="Z64" s="2144"/>
      <c r="AA64" s="2144"/>
      <c r="AB64" s="2144"/>
      <c r="AC64" s="2144"/>
    </row>
    <row r="65" spans="1:29" ht="29.4" thickTop="1">
      <c r="A65" s="668"/>
      <c r="B65" s="672" t="s">
        <v>502</v>
      </c>
      <c r="C65" s="673" t="s">
        <v>702</v>
      </c>
      <c r="D65" s="673" t="s">
        <v>703</v>
      </c>
      <c r="E65" s="673" t="s">
        <v>704</v>
      </c>
      <c r="F65" s="673" t="s">
        <v>705</v>
      </c>
      <c r="G65" s="673" t="s">
        <v>706</v>
      </c>
      <c r="H65" s="673" t="s">
        <v>707</v>
      </c>
      <c r="I65" s="673" t="s">
        <v>708</v>
      </c>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4.4"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 thickTop="1">
      <c r="A67" s="668"/>
      <c r="B67" s="680" t="s">
        <v>503</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65"/>
      <c r="O67" s="2165"/>
      <c r="P67" s="2164"/>
      <c r="Q67" s="2157"/>
      <c r="R67" s="2144"/>
      <c r="S67" s="2144"/>
      <c r="T67" s="2144"/>
      <c r="U67" s="2144"/>
      <c r="V67" s="2144"/>
      <c r="W67" s="2144"/>
      <c r="X67" s="2144"/>
      <c r="Y67" s="2144"/>
      <c r="Z67" s="2144"/>
      <c r="AA67" s="2144"/>
      <c r="AB67" s="2144"/>
      <c r="AC67" s="2144"/>
    </row>
    <row r="68" spans="1:29">
      <c r="A68" s="668"/>
      <c r="B68" s="682"/>
      <c r="C68" s="540">
        <v>0</v>
      </c>
      <c r="D68" s="540">
        <v>1</v>
      </c>
      <c r="E68" s="540">
        <v>2</v>
      </c>
      <c r="F68" s="540">
        <v>3</v>
      </c>
      <c r="G68" s="540">
        <v>4</v>
      </c>
      <c r="H68" s="540">
        <v>5</v>
      </c>
      <c r="I68" s="540"/>
      <c r="J68" s="540"/>
      <c r="K68" s="683"/>
      <c r="L68" s="684"/>
      <c r="M68" s="685"/>
      <c r="N68" s="2163"/>
      <c r="O68" s="2163"/>
      <c r="P68" s="2164"/>
      <c r="Q68" s="2157"/>
      <c r="R68" s="2144"/>
      <c r="S68" s="2144"/>
      <c r="T68" s="2144"/>
      <c r="U68" s="2144"/>
      <c r="V68" s="2144"/>
      <c r="W68" s="2144"/>
      <c r="X68" s="2144"/>
      <c r="Y68" s="2144"/>
      <c r="Z68" s="2144"/>
      <c r="AA68" s="2144"/>
      <c r="AB68" s="2144"/>
      <c r="AC68" s="2144"/>
    </row>
    <row r="69" spans="1:29" ht="14.4" thickBot="1">
      <c r="A69" s="668"/>
      <c r="B69" s="669"/>
      <c r="C69" s="678">
        <v>100</v>
      </c>
      <c r="D69" s="678">
        <f t="shared" ref="D69:M69" si="19">C69-$K11</f>
        <v>95</v>
      </c>
      <c r="E69" s="678">
        <f t="shared" si="19"/>
        <v>90</v>
      </c>
      <c r="F69" s="678">
        <f t="shared" si="19"/>
        <v>85</v>
      </c>
      <c r="G69" s="678">
        <f t="shared" si="19"/>
        <v>80</v>
      </c>
      <c r="H69" s="678">
        <f t="shared" si="19"/>
        <v>75</v>
      </c>
      <c r="I69" s="678">
        <f t="shared" si="19"/>
        <v>70</v>
      </c>
      <c r="J69" s="678">
        <f t="shared" si="19"/>
        <v>65</v>
      </c>
      <c r="K69" s="678">
        <f t="shared" si="19"/>
        <v>60</v>
      </c>
      <c r="L69" s="678">
        <f t="shared" si="19"/>
        <v>55</v>
      </c>
      <c r="M69" s="679">
        <f t="shared" si="19"/>
        <v>50</v>
      </c>
      <c r="N69" s="2165"/>
      <c r="O69" s="2165"/>
      <c r="P69" s="2164"/>
      <c r="Q69" s="2157"/>
      <c r="R69" s="2144"/>
      <c r="S69" s="2144"/>
      <c r="T69" s="2144"/>
      <c r="U69" s="2144"/>
      <c r="V69" s="2144"/>
      <c r="W69" s="2144"/>
      <c r="X69" s="2144"/>
      <c r="Y69" s="2144"/>
      <c r="Z69" s="2144"/>
      <c r="AA69" s="2144"/>
      <c r="AB69" s="2144"/>
      <c r="AC69" s="2144"/>
    </row>
    <row r="70" spans="1:29" s="1337" customFormat="1" ht="14.4" thickTop="1">
      <c r="A70" s="686"/>
      <c r="B70" s="672">
        <f>B12</f>
        <v>111</v>
      </c>
      <c r="C70" s="687"/>
      <c r="D70" s="687"/>
      <c r="E70" s="687"/>
      <c r="F70" s="687"/>
      <c r="G70" s="687"/>
      <c r="H70" s="688"/>
      <c r="I70" s="688"/>
      <c r="J70" s="688"/>
      <c r="K70" s="688"/>
      <c r="L70" s="689"/>
      <c r="M70" s="690"/>
      <c r="N70" s="2166"/>
      <c r="O70" s="2166"/>
      <c r="P70" s="2167"/>
      <c r="Q70" s="2168"/>
      <c r="R70" s="2169"/>
      <c r="S70" s="2169"/>
      <c r="T70" s="2169"/>
      <c r="U70" s="2169"/>
      <c r="V70" s="2169"/>
      <c r="W70" s="2169"/>
      <c r="X70" s="2169"/>
      <c r="Y70" s="2169"/>
      <c r="Z70" s="2169"/>
      <c r="AA70" s="2169"/>
      <c r="AB70" s="2169"/>
      <c r="AC70" s="2169"/>
    </row>
    <row r="71" spans="1:29" s="1337" customFormat="1" ht="14.4" thickBot="1">
      <c r="A71" s="686"/>
      <c r="B71" s="677"/>
      <c r="C71" s="691"/>
      <c r="D71" s="670"/>
      <c r="E71" s="670"/>
      <c r="F71" s="670"/>
      <c r="G71" s="670"/>
      <c r="H71" s="670"/>
      <c r="I71" s="670"/>
      <c r="J71" s="670"/>
      <c r="K71" s="670"/>
      <c r="L71" s="670"/>
      <c r="M71" s="671"/>
      <c r="N71" s="2165"/>
      <c r="O71" s="2165"/>
      <c r="P71" s="2167"/>
      <c r="Q71" s="2168"/>
      <c r="R71" s="2169"/>
      <c r="S71" s="2169"/>
      <c r="T71" s="2169"/>
      <c r="U71" s="2169"/>
      <c r="V71" s="2169"/>
      <c r="W71" s="2169"/>
      <c r="X71" s="2169"/>
      <c r="Y71" s="2169"/>
      <c r="Z71" s="2169"/>
      <c r="AA71" s="2169"/>
      <c r="AB71" s="2169"/>
      <c r="AC71" s="2169"/>
    </row>
    <row r="72" spans="1:29" s="1337" customFormat="1" ht="14.4" thickTop="1">
      <c r="A72" s="686"/>
      <c r="B72" s="672">
        <f>B13</f>
        <v>111</v>
      </c>
      <c r="C72" s="687"/>
      <c r="D72" s="687"/>
      <c r="E72" s="687"/>
      <c r="F72" s="687"/>
      <c r="G72" s="687"/>
      <c r="H72" s="688"/>
      <c r="I72" s="688"/>
      <c r="J72" s="688"/>
      <c r="K72" s="688"/>
      <c r="L72" s="689"/>
      <c r="M72" s="690"/>
      <c r="N72" s="2166"/>
      <c r="O72" s="2166"/>
      <c r="P72" s="2170"/>
      <c r="Q72" s="2171"/>
      <c r="R72" s="2169"/>
      <c r="S72" s="2169"/>
      <c r="T72" s="2169"/>
      <c r="U72" s="2169"/>
      <c r="V72" s="2169"/>
      <c r="W72" s="2169"/>
      <c r="X72" s="2169"/>
      <c r="Y72" s="2169"/>
      <c r="Z72" s="2169"/>
      <c r="AA72" s="2169"/>
      <c r="AB72" s="2169"/>
      <c r="AC72" s="2169"/>
    </row>
    <row r="73" spans="1:29" s="1337" customFormat="1" ht="14.4" thickBot="1">
      <c r="A73" s="686"/>
      <c r="B73" s="677"/>
      <c r="C73" s="691"/>
      <c r="D73" s="691"/>
      <c r="E73" s="691"/>
      <c r="F73" s="691"/>
      <c r="G73" s="691"/>
      <c r="H73" s="692"/>
      <c r="I73" s="692"/>
      <c r="J73" s="692"/>
      <c r="K73" s="692"/>
      <c r="L73" s="692"/>
      <c r="M73" s="693"/>
      <c r="N73" s="2166"/>
      <c r="O73" s="2166"/>
      <c r="P73" s="2167"/>
      <c r="Q73" s="2168"/>
      <c r="R73" s="2169"/>
      <c r="S73" s="2169"/>
      <c r="T73" s="2169"/>
      <c r="U73" s="2169"/>
      <c r="V73" s="2169"/>
      <c r="W73" s="2169"/>
      <c r="X73" s="2169"/>
      <c r="Y73" s="2169"/>
      <c r="Z73" s="2169"/>
      <c r="AA73" s="2169"/>
      <c r="AB73" s="2169"/>
      <c r="AC73" s="2169"/>
    </row>
    <row r="74" spans="1:29" s="1337" customFormat="1" ht="14.4" thickTop="1">
      <c r="A74" s="686"/>
      <c r="B74" s="680">
        <f>B14</f>
        <v>111</v>
      </c>
      <c r="C74" s="687"/>
      <c r="D74" s="687"/>
      <c r="E74" s="687"/>
      <c r="F74" s="687"/>
      <c r="G74" s="660"/>
      <c r="H74" s="694"/>
      <c r="I74" s="694"/>
      <c r="J74" s="694"/>
      <c r="K74" s="694"/>
      <c r="L74" s="695"/>
      <c r="M74" s="696"/>
      <c r="N74" s="2166"/>
      <c r="O74" s="2166"/>
      <c r="P74" s="2172"/>
      <c r="Q74" s="2168"/>
      <c r="R74" s="2169"/>
      <c r="S74" s="2169"/>
      <c r="T74" s="2169"/>
      <c r="U74" s="2169"/>
      <c r="V74" s="2169"/>
      <c r="W74" s="2169"/>
      <c r="X74" s="2169"/>
      <c r="Y74" s="2169"/>
      <c r="Z74" s="2169"/>
      <c r="AA74" s="2169"/>
      <c r="AB74" s="2169"/>
      <c r="AC74" s="2169"/>
    </row>
    <row r="75" spans="1:29" s="1337" customFormat="1" ht="14.4" thickBot="1">
      <c r="A75" s="697"/>
      <c r="B75" s="698"/>
      <c r="C75" s="699"/>
      <c r="D75" s="699"/>
      <c r="E75" s="699"/>
      <c r="F75" s="699"/>
      <c r="G75" s="699"/>
      <c r="H75" s="700"/>
      <c r="I75" s="700"/>
      <c r="J75" s="700"/>
      <c r="K75" s="700"/>
      <c r="L75" s="700"/>
      <c r="M75" s="701"/>
      <c r="N75" s="2166"/>
      <c r="O75" s="2166"/>
      <c r="P75" s="2167"/>
      <c r="Q75" s="2168"/>
      <c r="R75" s="2169"/>
      <c r="S75" s="2169"/>
      <c r="T75" s="2169"/>
      <c r="U75" s="2169"/>
      <c r="V75" s="2169"/>
      <c r="W75" s="2169"/>
      <c r="X75" s="2169"/>
      <c r="Y75" s="2169"/>
      <c r="Z75" s="2169"/>
      <c r="AA75" s="2169"/>
      <c r="AB75" s="2169"/>
      <c r="AC75" s="2169"/>
    </row>
    <row r="76" spans="1:29" ht="14.4">
      <c r="A76" s="663" t="s">
        <v>504</v>
      </c>
      <c r="B76" s="664" t="s">
        <v>543</v>
      </c>
      <c r="C76" s="702" t="s">
        <v>544</v>
      </c>
      <c r="D76" s="702" t="s">
        <v>545</v>
      </c>
      <c r="E76" s="702" t="s">
        <v>546</v>
      </c>
      <c r="F76" s="702" t="s">
        <v>547</v>
      </c>
      <c r="G76" s="702" t="s">
        <v>548</v>
      </c>
      <c r="H76" s="703"/>
      <c r="I76" s="703"/>
      <c r="J76" s="703"/>
      <c r="K76" s="704"/>
      <c r="L76" s="705"/>
      <c r="M76" s="706"/>
      <c r="N76" s="2163"/>
      <c r="O76" s="2163"/>
      <c r="P76" s="2173"/>
      <c r="Q76" s="2157"/>
      <c r="R76" s="2144"/>
      <c r="S76" s="2144"/>
      <c r="T76" s="2144"/>
      <c r="U76" s="2144"/>
      <c r="V76" s="2144"/>
      <c r="W76" s="2144"/>
      <c r="X76" s="2144"/>
      <c r="Y76" s="2144"/>
      <c r="Z76" s="2144"/>
      <c r="AA76" s="2144"/>
      <c r="AB76" s="2144"/>
      <c r="AC76" s="2144"/>
    </row>
    <row r="77" spans="1:29" ht="14.4" thickBot="1">
      <c r="A77" s="668"/>
      <c r="B77" s="677"/>
      <c r="C77" s="678">
        <v>100</v>
      </c>
      <c r="D77" s="678">
        <f>C77-$K15</f>
        <v>98</v>
      </c>
      <c r="E77" s="678">
        <f>D77-$K15</f>
        <v>96</v>
      </c>
      <c r="F77" s="678">
        <f>E77-$K15</f>
        <v>94</v>
      </c>
      <c r="G77" s="678">
        <f>F77-$K15</f>
        <v>92</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 thickTop="1">
      <c r="A78" s="668"/>
      <c r="B78" s="672" t="s">
        <v>551</v>
      </c>
      <c r="C78" s="707" t="s">
        <v>544</v>
      </c>
      <c r="D78" s="707" t="s">
        <v>545</v>
      </c>
      <c r="E78" s="707" t="s">
        <v>546</v>
      </c>
      <c r="F78" s="707" t="s">
        <v>547</v>
      </c>
      <c r="G78" s="707" t="s">
        <v>548</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4.4" thickBot="1">
      <c r="A79" s="668"/>
      <c r="B79" s="677"/>
      <c r="C79" s="678">
        <v>100</v>
      </c>
      <c r="D79" s="678">
        <f>C79-$K17</f>
        <v>98</v>
      </c>
      <c r="E79" s="678">
        <f>D79-$K17</f>
        <v>96</v>
      </c>
      <c r="F79" s="678">
        <f>E79-$K17</f>
        <v>94</v>
      </c>
      <c r="G79" s="678">
        <f>F79-$K17</f>
        <v>92</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ht="15" thickTop="1">
      <c r="A80" s="668"/>
      <c r="B80" s="1895" t="s">
        <v>2519</v>
      </c>
      <c r="C80" s="707" t="s">
        <v>544</v>
      </c>
      <c r="D80" s="707" t="s">
        <v>545</v>
      </c>
      <c r="E80" s="707" t="s">
        <v>546</v>
      </c>
      <c r="F80" s="707" t="s">
        <v>547</v>
      </c>
      <c r="G80" s="707" t="s">
        <v>548</v>
      </c>
      <c r="H80" s="673"/>
      <c r="I80" s="673"/>
      <c r="J80" s="673"/>
      <c r="K80" s="674"/>
      <c r="L80" s="675"/>
      <c r="M80" s="676"/>
      <c r="N80" s="2163"/>
      <c r="O80" s="2163"/>
      <c r="P80" s="2164"/>
      <c r="Q80" s="2157"/>
      <c r="R80" s="2144"/>
      <c r="S80" s="2144"/>
      <c r="T80" s="2144"/>
      <c r="U80" s="2144"/>
      <c r="V80" s="2144"/>
      <c r="W80" s="2144"/>
      <c r="X80" s="2144"/>
      <c r="Y80" s="2144"/>
      <c r="Z80" s="2144"/>
      <c r="AA80" s="2144"/>
      <c r="AB80" s="2144"/>
      <c r="AC80" s="2144"/>
    </row>
    <row r="81" spans="1:29" ht="14.4" thickBot="1">
      <c r="A81" s="668"/>
      <c r="B81" s="677"/>
      <c r="C81" s="678">
        <v>100</v>
      </c>
      <c r="D81" s="678">
        <f>C81-$K19</f>
        <v>98</v>
      </c>
      <c r="E81" s="678">
        <f>D81-$K19</f>
        <v>96</v>
      </c>
      <c r="F81" s="678">
        <f>E81-$K19</f>
        <v>94</v>
      </c>
      <c r="G81" s="678">
        <f>F81-$K19</f>
        <v>92</v>
      </c>
      <c r="H81" s="678"/>
      <c r="I81" s="678"/>
      <c r="J81" s="678"/>
      <c r="K81" s="678"/>
      <c r="L81" s="678"/>
      <c r="M81" s="679"/>
      <c r="N81" s="2165"/>
      <c r="O81" s="2165"/>
      <c r="P81" s="2164"/>
      <c r="Q81" s="2157"/>
      <c r="R81" s="2144"/>
      <c r="S81" s="2144"/>
      <c r="T81" s="2144"/>
      <c r="U81" s="2144"/>
      <c r="V81" s="2144"/>
      <c r="W81" s="2144"/>
      <c r="X81" s="2144"/>
      <c r="Y81" s="2144"/>
      <c r="Z81" s="2144"/>
      <c r="AA81" s="2144"/>
      <c r="AB81" s="2144"/>
      <c r="AC81" s="2144"/>
    </row>
    <row r="82" spans="1:29" ht="15" thickTop="1">
      <c r="A82" s="668"/>
      <c r="B82" s="2596" t="s">
        <v>2520</v>
      </c>
      <c r="C82" s="2597" t="s">
        <v>2521</v>
      </c>
      <c r="D82" s="2597" t="s">
        <v>2522</v>
      </c>
      <c r="E82" s="2597" t="s">
        <v>2523</v>
      </c>
      <c r="F82" s="2597" t="s">
        <v>2524</v>
      </c>
      <c r="G82" s="2597" t="s">
        <v>2525</v>
      </c>
      <c r="H82" s="673"/>
      <c r="I82" s="673"/>
      <c r="J82" s="673"/>
      <c r="K82" s="673"/>
      <c r="L82" s="673"/>
      <c r="M82" s="2600"/>
      <c r="N82" s="2165"/>
      <c r="O82" s="2165"/>
      <c r="P82" s="2164"/>
      <c r="Q82" s="2157"/>
      <c r="R82" s="2144"/>
      <c r="S82" s="2144"/>
      <c r="T82" s="2144"/>
      <c r="U82" s="2144"/>
      <c r="V82" s="2144"/>
      <c r="W82" s="2144"/>
      <c r="X82" s="2144"/>
      <c r="Y82" s="2144"/>
      <c r="Z82" s="2144"/>
      <c r="AA82" s="2144"/>
      <c r="AB82" s="2144"/>
      <c r="AC82" s="2144"/>
    </row>
    <row r="83" spans="1:29" ht="14.4" thickBot="1">
      <c r="A83" s="668"/>
      <c r="B83" s="680"/>
      <c r="C83" s="678">
        <v>100</v>
      </c>
      <c r="D83" s="678">
        <f>C83-$K21</f>
        <v>99</v>
      </c>
      <c r="E83" s="678">
        <f>D83-$K21</f>
        <v>98</v>
      </c>
      <c r="F83" s="678">
        <f>E83-$K21</f>
        <v>97</v>
      </c>
      <c r="G83" s="678">
        <f>F83-$K21</f>
        <v>96</v>
      </c>
      <c r="H83" s="933"/>
      <c r="I83" s="933"/>
      <c r="J83" s="933"/>
      <c r="K83" s="933"/>
      <c r="L83" s="933"/>
      <c r="M83" s="558"/>
      <c r="N83" s="2165"/>
      <c r="O83" s="2165"/>
      <c r="P83" s="2164"/>
      <c r="Q83" s="2157"/>
      <c r="R83" s="2144"/>
      <c r="S83" s="2144"/>
      <c r="T83" s="2144"/>
      <c r="U83" s="2144"/>
      <c r="V83" s="2144"/>
      <c r="W83" s="2144"/>
      <c r="X83" s="2144"/>
      <c r="Y83" s="2144"/>
      <c r="Z83" s="2144"/>
      <c r="AA83" s="2144"/>
      <c r="AB83" s="2144"/>
      <c r="AC83" s="2144"/>
    </row>
    <row r="84" spans="1:29" ht="15" thickTop="1">
      <c r="A84" s="668"/>
      <c r="B84" s="672" t="s">
        <v>709</v>
      </c>
      <c r="C84" s="707" t="s">
        <v>544</v>
      </c>
      <c r="D84" s="707" t="s">
        <v>545</v>
      </c>
      <c r="E84" s="707" t="s">
        <v>546</v>
      </c>
      <c r="F84" s="707" t="s">
        <v>547</v>
      </c>
      <c r="G84" s="707" t="s">
        <v>548</v>
      </c>
      <c r="H84" s="673"/>
      <c r="I84" s="673"/>
      <c r="J84" s="673"/>
      <c r="K84" s="674"/>
      <c r="L84" s="675"/>
      <c r="M84" s="676"/>
      <c r="N84" s="2163"/>
      <c r="O84" s="2163"/>
      <c r="P84" s="2164"/>
      <c r="Q84" s="2157"/>
      <c r="R84" s="2144"/>
      <c r="S84" s="2144"/>
      <c r="T84" s="2144"/>
      <c r="U84" s="2144"/>
      <c r="V84" s="2144"/>
      <c r="W84" s="2144"/>
      <c r="X84" s="2144"/>
      <c r="Y84" s="2144"/>
      <c r="Z84" s="2144"/>
      <c r="AA84" s="2144"/>
      <c r="AB84" s="2144"/>
      <c r="AC84" s="2144"/>
    </row>
    <row r="85" spans="1:29" ht="14.4" thickBot="1">
      <c r="A85" s="668"/>
      <c r="B85" s="677"/>
      <c r="C85" s="678">
        <v>100</v>
      </c>
      <c r="D85" s="678">
        <f>C85-$K23</f>
        <v>98</v>
      </c>
      <c r="E85" s="678">
        <f>D85-$K23</f>
        <v>96</v>
      </c>
      <c r="F85" s="678">
        <f>E85-$K23</f>
        <v>94</v>
      </c>
      <c r="G85" s="678">
        <f>F85-$K23</f>
        <v>92</v>
      </c>
      <c r="H85" s="678"/>
      <c r="I85" s="678"/>
      <c r="J85" s="678"/>
      <c r="K85" s="678"/>
      <c r="L85" s="678"/>
      <c r="M85" s="679"/>
      <c r="N85" s="2165"/>
      <c r="O85" s="2165"/>
      <c r="P85" s="2164"/>
      <c r="Q85" s="2157"/>
      <c r="R85" s="2144"/>
      <c r="S85" s="2144"/>
      <c r="T85" s="2144"/>
      <c r="U85" s="2144"/>
      <c r="V85" s="2144"/>
      <c r="W85" s="2144"/>
      <c r="X85" s="2144"/>
      <c r="Y85" s="2144"/>
      <c r="Z85" s="2144"/>
      <c r="AA85" s="2144"/>
      <c r="AB85" s="2144"/>
      <c r="AC85" s="2144"/>
    </row>
    <row r="86" spans="1:29" s="1218" customFormat="1" ht="15" thickTop="1">
      <c r="A86" s="708"/>
      <c r="B86" s="1895" t="s">
        <v>2219</v>
      </c>
      <c r="C86" s="687"/>
      <c r="D86" s="687"/>
      <c r="E86" s="687"/>
      <c r="F86" s="687"/>
      <c r="G86" s="687"/>
      <c r="H86" s="687"/>
      <c r="I86" s="687"/>
      <c r="J86" s="687"/>
      <c r="K86" s="687"/>
      <c r="L86" s="888"/>
      <c r="M86" s="889"/>
      <c r="N86" s="2161"/>
      <c r="O86" s="2161"/>
      <c r="P86" s="2164"/>
      <c r="Q86" s="2157"/>
      <c r="R86" s="1992"/>
      <c r="S86" s="1992"/>
      <c r="T86" s="1992"/>
      <c r="U86" s="1992"/>
      <c r="V86" s="1992"/>
      <c r="W86" s="1992"/>
      <c r="X86" s="1992"/>
      <c r="Y86" s="1992"/>
      <c r="Z86" s="1992"/>
      <c r="AA86" s="1992"/>
      <c r="AB86" s="1992"/>
      <c r="AC86" s="1992"/>
    </row>
    <row r="87" spans="1:29" s="1218"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5"/>
      <c r="O87" s="2165"/>
      <c r="P87" s="2164"/>
      <c r="Q87" s="2157"/>
      <c r="R87" s="1992"/>
      <c r="S87" s="1992"/>
      <c r="T87" s="1992"/>
      <c r="U87" s="1992"/>
      <c r="V87" s="1992"/>
      <c r="W87" s="1992"/>
      <c r="X87" s="1992"/>
      <c r="Y87" s="1992"/>
      <c r="Z87" s="1992"/>
      <c r="AA87" s="1992"/>
      <c r="AB87" s="1992"/>
      <c r="AC87" s="1992"/>
    </row>
    <row r="88" spans="1:29" s="1218" customFormat="1" ht="15" thickTop="1">
      <c r="A88" s="708"/>
      <c r="B88" s="672" t="s">
        <v>711</v>
      </c>
      <c r="C88" s="687"/>
      <c r="D88" s="687"/>
      <c r="E88" s="687"/>
      <c r="F88" s="890"/>
      <c r="G88" s="687"/>
      <c r="H88" s="687"/>
      <c r="I88" s="687"/>
      <c r="J88" s="687"/>
      <c r="K88" s="687"/>
      <c r="L88" s="687"/>
      <c r="M88" s="889"/>
      <c r="N88" s="2161"/>
      <c r="O88" s="2161"/>
      <c r="P88" s="2164"/>
      <c r="Q88" s="2157"/>
      <c r="R88" s="1992"/>
      <c r="S88" s="1992"/>
      <c r="T88" s="1992"/>
      <c r="U88" s="1992"/>
      <c r="V88" s="1992"/>
      <c r="W88" s="1992"/>
      <c r="X88" s="1992"/>
      <c r="Y88" s="1992"/>
      <c r="Z88" s="1992"/>
      <c r="AA88" s="1992"/>
      <c r="AB88" s="1992"/>
      <c r="AC88" s="1992"/>
    </row>
    <row r="89" spans="1:29" s="1218"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5"/>
      <c r="O89" s="2165"/>
      <c r="P89" s="2164"/>
      <c r="Q89" s="2157"/>
      <c r="R89" s="1992"/>
      <c r="S89" s="1992"/>
      <c r="T89" s="1992"/>
      <c r="U89" s="1992"/>
      <c r="V89" s="1992"/>
      <c r="W89" s="1992"/>
      <c r="X89" s="1992"/>
      <c r="Y89" s="1992"/>
      <c r="Z89" s="1992"/>
      <c r="AA89" s="1992"/>
      <c r="AB89" s="1992"/>
      <c r="AC89" s="1992"/>
    </row>
    <row r="90" spans="1:29" s="1337" customFormat="1" ht="14.4" thickTop="1">
      <c r="A90" s="686"/>
      <c r="B90" s="672" t="str">
        <f>B27</f>
        <v>道路级别</v>
      </c>
      <c r="C90" s="687"/>
      <c r="D90" s="687"/>
      <c r="E90" s="687"/>
      <c r="F90" s="687"/>
      <c r="G90" s="687"/>
      <c r="H90" s="688"/>
      <c r="I90" s="688"/>
      <c r="J90" s="688"/>
      <c r="K90" s="688"/>
      <c r="L90" s="689"/>
      <c r="M90" s="690"/>
      <c r="N90" s="2166"/>
      <c r="O90" s="2166"/>
      <c r="P90" s="2167"/>
      <c r="Q90" s="2168"/>
      <c r="R90" s="2169"/>
      <c r="S90" s="2169"/>
      <c r="T90" s="2169"/>
      <c r="U90" s="2169"/>
      <c r="V90" s="2169"/>
      <c r="W90" s="2169"/>
      <c r="X90" s="2169"/>
      <c r="Y90" s="2169"/>
      <c r="Z90" s="2169"/>
      <c r="AA90" s="2169"/>
      <c r="AB90" s="2169"/>
      <c r="AC90" s="2169"/>
    </row>
    <row r="91" spans="1:29" s="1337" customFormat="1" ht="14.4" thickBot="1">
      <c r="A91" s="686"/>
      <c r="B91" s="677"/>
      <c r="C91" s="691"/>
      <c r="D91" s="691"/>
      <c r="E91" s="691"/>
      <c r="F91" s="691"/>
      <c r="G91" s="691"/>
      <c r="H91" s="692"/>
      <c r="I91" s="692"/>
      <c r="J91" s="692"/>
      <c r="K91" s="692"/>
      <c r="L91" s="692"/>
      <c r="M91" s="693"/>
      <c r="N91" s="2166"/>
      <c r="O91" s="2166"/>
      <c r="P91" s="2167"/>
      <c r="Q91" s="2168"/>
      <c r="R91" s="2169"/>
      <c r="S91" s="2169"/>
      <c r="T91" s="2169"/>
      <c r="U91" s="2169"/>
      <c r="V91" s="2169"/>
      <c r="W91" s="2169"/>
      <c r="X91" s="2169"/>
      <c r="Y91" s="2169"/>
      <c r="Z91" s="2169"/>
      <c r="AA91" s="2169"/>
      <c r="AB91" s="2169"/>
      <c r="AC91" s="2169"/>
    </row>
    <row r="92" spans="1:29" ht="14.4" thickTop="1">
      <c r="A92" s="668"/>
      <c r="B92" s="672">
        <f>B28</f>
        <v>111</v>
      </c>
      <c r="C92" s="687"/>
      <c r="D92" s="687"/>
      <c r="E92" s="687"/>
      <c r="F92" s="687"/>
      <c r="G92" s="717"/>
      <c r="H92" s="717"/>
      <c r="I92" s="717"/>
      <c r="J92" s="717"/>
      <c r="K92" s="718"/>
      <c r="L92" s="719"/>
      <c r="M92" s="720"/>
      <c r="N92" s="2163"/>
      <c r="O92" s="2163"/>
      <c r="P92" s="2164"/>
      <c r="Q92" s="2157"/>
      <c r="R92" s="2144"/>
      <c r="S92" s="2144"/>
      <c r="T92" s="2144"/>
      <c r="U92" s="2144"/>
      <c r="V92" s="2144"/>
      <c r="W92" s="2144"/>
      <c r="X92" s="2144"/>
      <c r="Y92" s="2144"/>
      <c r="Z92" s="2144"/>
      <c r="AA92" s="2144"/>
      <c r="AB92" s="2144"/>
      <c r="AC92" s="2144"/>
    </row>
    <row r="93" spans="1:29" ht="14.4" thickBot="1">
      <c r="A93" s="668"/>
      <c r="B93" s="677"/>
      <c r="C93" s="691"/>
      <c r="D93" s="670"/>
      <c r="E93" s="670"/>
      <c r="F93" s="670"/>
      <c r="G93" s="670"/>
      <c r="H93" s="670"/>
      <c r="I93" s="670"/>
      <c r="J93" s="670"/>
      <c r="K93" s="670"/>
      <c r="L93" s="670"/>
      <c r="M93" s="671"/>
      <c r="N93" s="2165"/>
      <c r="O93" s="2165"/>
      <c r="P93" s="2164"/>
      <c r="Q93" s="2157"/>
      <c r="R93" s="2144"/>
      <c r="S93" s="2144"/>
      <c r="T93" s="2144"/>
      <c r="U93" s="2144"/>
      <c r="V93" s="2144"/>
      <c r="W93" s="2144"/>
      <c r="X93" s="2144"/>
      <c r="Y93" s="2144"/>
      <c r="Z93" s="2144"/>
      <c r="AA93" s="2144"/>
      <c r="AB93" s="2144"/>
      <c r="AC93" s="2144"/>
    </row>
    <row r="94" spans="1:29" ht="14.4" thickTop="1">
      <c r="A94" s="668"/>
      <c r="B94" s="672">
        <f>B29</f>
        <v>111</v>
      </c>
      <c r="C94" s="687"/>
      <c r="D94" s="687"/>
      <c r="E94" s="687"/>
      <c r="F94" s="687"/>
      <c r="G94" s="717"/>
      <c r="H94" s="717"/>
      <c r="I94" s="717"/>
      <c r="J94" s="717"/>
      <c r="K94" s="718"/>
      <c r="L94" s="719"/>
      <c r="M94" s="720"/>
      <c r="N94" s="2163"/>
      <c r="O94" s="2163"/>
      <c r="P94" s="2164"/>
      <c r="Q94" s="2157"/>
      <c r="R94" s="2144"/>
      <c r="S94" s="2144"/>
      <c r="T94" s="2144"/>
      <c r="U94" s="2144"/>
      <c r="V94" s="2144"/>
      <c r="W94" s="2144"/>
      <c r="X94" s="2144"/>
      <c r="Y94" s="2144"/>
      <c r="Z94" s="2144"/>
      <c r="AA94" s="2144"/>
      <c r="AB94" s="2144"/>
      <c r="AC94" s="2144"/>
    </row>
    <row r="95" spans="1:29" ht="14.4" thickBot="1">
      <c r="A95" s="668"/>
      <c r="B95" s="677"/>
      <c r="C95" s="691"/>
      <c r="D95" s="691"/>
      <c r="E95" s="691"/>
      <c r="F95" s="691"/>
      <c r="G95" s="670"/>
      <c r="H95" s="670"/>
      <c r="I95" s="670"/>
      <c r="J95" s="670"/>
      <c r="K95" s="670"/>
      <c r="L95" s="670"/>
      <c r="M95" s="671"/>
      <c r="N95" s="2165"/>
      <c r="O95" s="2165"/>
      <c r="P95" s="2164"/>
      <c r="Q95" s="2157"/>
      <c r="R95" s="2144"/>
      <c r="S95" s="2144"/>
      <c r="T95" s="2144"/>
      <c r="U95" s="2144"/>
      <c r="V95" s="2144"/>
      <c r="W95" s="2144"/>
      <c r="X95" s="2144"/>
      <c r="Y95" s="2144"/>
      <c r="Z95" s="2144"/>
      <c r="AA95" s="2144"/>
      <c r="AB95" s="2144"/>
      <c r="AC95" s="2144"/>
    </row>
    <row r="96" spans="1:29" ht="14.4" thickTop="1">
      <c r="A96" s="668"/>
      <c r="B96" s="672">
        <f>B30</f>
        <v>111</v>
      </c>
      <c r="C96" s="687"/>
      <c r="D96" s="687"/>
      <c r="E96" s="687"/>
      <c r="F96" s="687"/>
      <c r="G96" s="717"/>
      <c r="H96" s="717"/>
      <c r="I96" s="717"/>
      <c r="J96" s="717"/>
      <c r="K96" s="718"/>
      <c r="L96" s="719"/>
      <c r="M96" s="720"/>
      <c r="N96" s="2163"/>
      <c r="O96" s="2163"/>
      <c r="P96" s="2164"/>
      <c r="Q96" s="2157"/>
      <c r="R96" s="2144"/>
      <c r="S96" s="2144"/>
      <c r="T96" s="2144"/>
      <c r="U96" s="2144"/>
      <c r="V96" s="2144"/>
      <c r="W96" s="2144"/>
      <c r="X96" s="2144"/>
      <c r="Y96" s="2144"/>
      <c r="Z96" s="2144"/>
      <c r="AA96" s="2144"/>
      <c r="AB96" s="2144"/>
      <c r="AC96" s="2144"/>
    </row>
    <row r="97" spans="1:29" ht="14.4" thickBot="1">
      <c r="A97" s="668"/>
      <c r="B97" s="677"/>
      <c r="C97" s="699"/>
      <c r="D97" s="699"/>
      <c r="E97" s="699"/>
      <c r="F97" s="699"/>
      <c r="G97" s="670"/>
      <c r="H97" s="670"/>
      <c r="I97" s="670"/>
      <c r="J97" s="670"/>
      <c r="K97" s="670"/>
      <c r="L97" s="670"/>
      <c r="M97" s="671"/>
      <c r="N97" s="2165"/>
      <c r="O97" s="2165"/>
      <c r="P97" s="2164"/>
      <c r="Q97" s="2157"/>
      <c r="R97" s="2144"/>
      <c r="S97" s="2144"/>
      <c r="T97" s="2144"/>
      <c r="U97" s="2144"/>
      <c r="V97" s="2144"/>
      <c r="W97" s="2144"/>
      <c r="X97" s="2144"/>
      <c r="Y97" s="2144"/>
      <c r="Z97" s="2144"/>
      <c r="AA97" s="2144"/>
      <c r="AB97" s="2144"/>
      <c r="AC97" s="2144"/>
    </row>
    <row r="98" spans="1:29" ht="14.4" thickTop="1">
      <c r="A98" s="668"/>
      <c r="B98" s="680">
        <f>B31</f>
        <v>111</v>
      </c>
      <c r="C98" s="721"/>
      <c r="D98" s="721"/>
      <c r="E98" s="721"/>
      <c r="F98" s="721"/>
      <c r="G98" s="721"/>
      <c r="H98" s="721"/>
      <c r="I98" s="721"/>
      <c r="J98" s="721"/>
      <c r="K98" s="722"/>
      <c r="L98" s="723"/>
      <c r="M98" s="724"/>
      <c r="N98" s="2163"/>
      <c r="O98" s="2163"/>
      <c r="P98" s="2164"/>
      <c r="Q98" s="2157"/>
      <c r="R98" s="2144"/>
      <c r="S98" s="2144"/>
      <c r="T98" s="2144"/>
      <c r="U98" s="2144"/>
      <c r="V98" s="2144"/>
      <c r="W98" s="2144"/>
      <c r="X98" s="2144"/>
      <c r="Y98" s="2144"/>
      <c r="Z98" s="2144"/>
      <c r="AA98" s="2144"/>
      <c r="AB98" s="2144"/>
      <c r="AC98" s="2144"/>
    </row>
    <row r="99" spans="1:29" ht="14.4" thickBot="1">
      <c r="A99" s="891"/>
      <c r="B99" s="698"/>
      <c r="C99" s="725"/>
      <c r="D99" s="725"/>
      <c r="E99" s="725"/>
      <c r="F99" s="725"/>
      <c r="G99" s="725"/>
      <c r="H99" s="725"/>
      <c r="I99" s="725"/>
      <c r="J99" s="725"/>
      <c r="K99" s="725"/>
      <c r="L99" s="725"/>
      <c r="M99" s="726"/>
      <c r="N99" s="2165"/>
      <c r="O99" s="2165"/>
      <c r="P99" s="2164"/>
      <c r="Q99" s="2157"/>
      <c r="R99" s="2144"/>
      <c r="S99" s="2144"/>
      <c r="T99" s="2144"/>
      <c r="U99" s="2144"/>
      <c r="V99" s="2144"/>
      <c r="W99" s="2144"/>
      <c r="X99" s="2144"/>
      <c r="Y99" s="2144"/>
      <c r="Z99" s="2144"/>
      <c r="AA99" s="2144"/>
      <c r="AB99" s="2144"/>
      <c r="AC99" s="2144"/>
    </row>
    <row r="100" spans="1:29" ht="14.4">
      <c r="A100" s="663" t="s">
        <v>516</v>
      </c>
      <c r="B100" s="664" t="s">
        <v>712</v>
      </c>
      <c r="C100" s="3178" t="s">
        <v>3012</v>
      </c>
      <c r="D100" s="597"/>
      <c r="E100" s="597"/>
      <c r="F100" s="597"/>
      <c r="G100" s="597"/>
      <c r="H100" s="597"/>
      <c r="I100" s="597"/>
      <c r="J100" s="597"/>
      <c r="K100" s="665"/>
      <c r="L100" s="666"/>
      <c r="M100" s="667"/>
      <c r="N100" s="2163"/>
      <c r="O100" s="2163"/>
      <c r="P100" s="2164"/>
      <c r="Q100" s="2157"/>
      <c r="R100" s="2144"/>
      <c r="S100" s="2144"/>
      <c r="T100" s="2144"/>
      <c r="U100" s="2144"/>
      <c r="V100" s="2144"/>
      <c r="W100" s="2144"/>
      <c r="X100" s="2144"/>
      <c r="Y100" s="2144"/>
      <c r="Z100" s="2144"/>
      <c r="AA100" s="2144"/>
      <c r="AB100" s="2144"/>
      <c r="AC100" s="2144"/>
    </row>
    <row r="101" spans="1:29" ht="14.4"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65"/>
      <c r="O101" s="2165"/>
      <c r="P101" s="2164"/>
      <c r="Q101" s="2157"/>
      <c r="R101" s="2144"/>
      <c r="S101" s="2144"/>
      <c r="T101" s="2144"/>
      <c r="U101" s="2144"/>
      <c r="V101" s="2144"/>
      <c r="W101" s="2144"/>
      <c r="X101" s="2144"/>
      <c r="Y101" s="2144"/>
      <c r="Z101" s="2144"/>
      <c r="AA101" s="2144"/>
      <c r="AB101" s="2144"/>
      <c r="AC101" s="2144"/>
    </row>
    <row r="102" spans="1:29" ht="28.2" thickTop="1">
      <c r="A102" s="668"/>
      <c r="B102" s="672" t="s">
        <v>713</v>
      </c>
      <c r="C102" s="707" t="str">
        <f>C103&amp;"(含)"&amp;"-"&amp;D103</f>
        <v>0(含)-150000</v>
      </c>
      <c r="D102" s="707" t="str">
        <f t="shared" ref="D102:L102" si="23">D103&amp;"(含)"&amp;"-"&amp;E103</f>
        <v>150000(含)-250000</v>
      </c>
      <c r="E102" s="707" t="str">
        <f t="shared" si="23"/>
        <v>250000(含)-350000</v>
      </c>
      <c r="F102" s="707" t="str">
        <f t="shared" si="23"/>
        <v>350000(含)-450000</v>
      </c>
      <c r="G102" s="707" t="str">
        <f t="shared" si="23"/>
        <v>450000(含)-550000</v>
      </c>
      <c r="H102" s="707" t="str">
        <f t="shared" si="23"/>
        <v>550000(含)-</v>
      </c>
      <c r="I102" s="707" t="str">
        <f t="shared" si="23"/>
        <v>(含)-</v>
      </c>
      <c r="J102" s="707" t="str">
        <f t="shared" si="23"/>
        <v>(含)-</v>
      </c>
      <c r="K102" s="707" t="str">
        <f t="shared" si="23"/>
        <v>(含)-</v>
      </c>
      <c r="L102" s="707" t="str">
        <f t="shared" si="23"/>
        <v>(含)-</v>
      </c>
      <c r="M102" s="707"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7" customFormat="1">
      <c r="A103" s="727"/>
      <c r="B103" s="728"/>
      <c r="C103" s="729">
        <v>0</v>
      </c>
      <c r="D103" s="729">
        <v>150000</v>
      </c>
      <c r="E103" s="729">
        <v>250000</v>
      </c>
      <c r="F103" s="729">
        <v>350000</v>
      </c>
      <c r="G103" s="729">
        <v>450000</v>
      </c>
      <c r="H103" s="729">
        <v>550000</v>
      </c>
      <c r="I103" s="729"/>
      <c r="J103" s="730"/>
      <c r="K103" s="730"/>
      <c r="L103" s="731"/>
      <c r="M103" s="732"/>
      <c r="N103" s="2166"/>
      <c r="O103" s="2166"/>
      <c r="P103" s="2167"/>
      <c r="Q103" s="2168"/>
      <c r="R103" s="2169"/>
      <c r="S103" s="2169"/>
      <c r="T103" s="2169"/>
      <c r="U103" s="2169"/>
      <c r="V103" s="2169"/>
      <c r="W103" s="2169"/>
      <c r="X103" s="2169"/>
      <c r="Y103" s="2169"/>
      <c r="Z103" s="2169"/>
      <c r="AA103" s="2169"/>
      <c r="AB103" s="2169"/>
      <c r="AC103" s="2169"/>
    </row>
    <row r="104" spans="1:29" s="1337" customFormat="1" ht="14.4" thickBot="1">
      <c r="A104" s="686"/>
      <c r="B104" s="677"/>
      <c r="C104" s="691">
        <v>100</v>
      </c>
      <c r="D104" s="670">
        <f>C104+1</f>
        <v>101</v>
      </c>
      <c r="E104" s="670">
        <f t="shared" ref="E104:H104" si="24">D104+1</f>
        <v>102</v>
      </c>
      <c r="F104" s="670">
        <f t="shared" si="24"/>
        <v>103</v>
      </c>
      <c r="G104" s="670">
        <f t="shared" si="24"/>
        <v>104</v>
      </c>
      <c r="H104" s="670">
        <f t="shared" si="24"/>
        <v>105</v>
      </c>
      <c r="I104" s="670"/>
      <c r="J104" s="670"/>
      <c r="K104" s="670"/>
      <c r="L104" s="670"/>
      <c r="M104" s="670"/>
      <c r="N104" s="2165"/>
      <c r="O104" s="2165"/>
      <c r="P104" s="2167"/>
      <c r="Q104" s="2168"/>
      <c r="R104" s="2169"/>
      <c r="S104" s="2169"/>
      <c r="T104" s="2169"/>
      <c r="U104" s="2169"/>
      <c r="V104" s="2169"/>
      <c r="W104" s="2169"/>
      <c r="X104" s="2169"/>
      <c r="Y104" s="2169"/>
      <c r="Z104" s="2169"/>
      <c r="AA104" s="2169"/>
      <c r="AB104" s="2169"/>
      <c r="AC104" s="2169"/>
    </row>
    <row r="105" spans="1:29" ht="15" thickTop="1">
      <c r="A105" s="734"/>
      <c r="B105" s="672" t="s">
        <v>714</v>
      </c>
      <c r="C105" s="3182" t="s">
        <v>3002</v>
      </c>
      <c r="D105" s="687"/>
      <c r="E105" s="717"/>
      <c r="F105" s="71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4.4" thickBot="1">
      <c r="A106" s="668"/>
      <c r="B106" s="677"/>
      <c r="C106" s="678">
        <v>100</v>
      </c>
      <c r="D106" s="678">
        <f t="shared" ref="D106:M106" si="25">C106-$K34</f>
        <v>99</v>
      </c>
      <c r="E106" s="678">
        <f t="shared" si="25"/>
        <v>98</v>
      </c>
      <c r="F106" s="678">
        <f t="shared" si="25"/>
        <v>97</v>
      </c>
      <c r="G106" s="678">
        <f t="shared" si="25"/>
        <v>96</v>
      </c>
      <c r="H106" s="678">
        <f t="shared" si="25"/>
        <v>95</v>
      </c>
      <c r="I106" s="678">
        <f t="shared" si="25"/>
        <v>94</v>
      </c>
      <c r="J106" s="678">
        <f t="shared" si="25"/>
        <v>93</v>
      </c>
      <c r="K106" s="678">
        <f t="shared" si="25"/>
        <v>92</v>
      </c>
      <c r="L106" s="678">
        <f t="shared" si="25"/>
        <v>91</v>
      </c>
      <c r="M106" s="678">
        <f t="shared" si="25"/>
        <v>90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4"/>
      <c r="B107" s="672" t="s">
        <v>715</v>
      </c>
      <c r="C107" s="3183" t="s">
        <v>3004</v>
      </c>
      <c r="D107" s="3183" t="s">
        <v>3005</v>
      </c>
      <c r="E107" s="3183" t="s">
        <v>3006</v>
      </c>
      <c r="F107" s="3183" t="s">
        <v>3007</v>
      </c>
      <c r="G107" s="3183" t="s">
        <v>3008</v>
      </c>
      <c r="H107" s="717"/>
      <c r="I107" s="717"/>
      <c r="J107" s="717"/>
      <c r="K107" s="718"/>
      <c r="L107" s="719"/>
      <c r="M107" s="720"/>
      <c r="N107" s="2163"/>
      <c r="O107" s="2163"/>
      <c r="P107" s="2164"/>
      <c r="Q107" s="2157"/>
      <c r="R107" s="2144"/>
      <c r="S107" s="2144"/>
      <c r="T107" s="2144"/>
      <c r="U107" s="2144"/>
      <c r="V107" s="2144"/>
      <c r="W107" s="2144"/>
      <c r="X107" s="2144"/>
      <c r="Y107" s="2144"/>
      <c r="Z107" s="2144"/>
      <c r="AA107" s="2144"/>
      <c r="AB107" s="2144"/>
      <c r="AC107" s="2144"/>
    </row>
    <row r="108" spans="1:29" ht="14.4" thickBot="1">
      <c r="A108" s="668"/>
      <c r="B108" s="677"/>
      <c r="C108" s="678">
        <v>100</v>
      </c>
      <c r="D108" s="678">
        <f t="shared" ref="D108:M108" si="26">C108-$K35</f>
        <v>99</v>
      </c>
      <c r="E108" s="678">
        <f t="shared" si="26"/>
        <v>98</v>
      </c>
      <c r="F108" s="678">
        <f t="shared" si="26"/>
        <v>97</v>
      </c>
      <c r="G108" s="678">
        <f t="shared" si="26"/>
        <v>96</v>
      </c>
      <c r="H108" s="678">
        <f t="shared" si="26"/>
        <v>95</v>
      </c>
      <c r="I108" s="678">
        <f t="shared" si="26"/>
        <v>94</v>
      </c>
      <c r="J108" s="678">
        <f t="shared" si="26"/>
        <v>93</v>
      </c>
      <c r="K108" s="678">
        <f t="shared" si="26"/>
        <v>92</v>
      </c>
      <c r="L108" s="678">
        <f t="shared" si="26"/>
        <v>91</v>
      </c>
      <c r="M108" s="678">
        <f t="shared" si="26"/>
        <v>90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4"/>
      <c r="B109" s="672" t="s">
        <v>716</v>
      </c>
      <c r="C109" s="3182" t="s">
        <v>2997</v>
      </c>
      <c r="D109" s="3182" t="s">
        <v>2998</v>
      </c>
      <c r="E109" s="3182" t="s">
        <v>2999</v>
      </c>
      <c r="F109" s="3183" t="s">
        <v>3001</v>
      </c>
      <c r="G109" s="717"/>
      <c r="H109" s="717"/>
      <c r="I109" s="717"/>
      <c r="J109" s="717"/>
      <c r="K109" s="718"/>
      <c r="L109" s="719"/>
      <c r="M109" s="720"/>
      <c r="N109" s="2163"/>
      <c r="O109" s="2163"/>
      <c r="P109" s="2164"/>
      <c r="Q109" s="2157"/>
      <c r="R109" s="2144"/>
      <c r="S109" s="2144"/>
      <c r="T109" s="2144"/>
      <c r="U109" s="2144"/>
      <c r="V109" s="2144"/>
      <c r="W109" s="2144"/>
      <c r="X109" s="2144"/>
      <c r="Y109" s="2144"/>
      <c r="Z109" s="2144"/>
      <c r="AA109" s="2144"/>
      <c r="AB109" s="2144"/>
      <c r="AC109" s="2144"/>
    </row>
    <row r="110" spans="1:29" ht="14.4" thickBot="1">
      <c r="A110" s="668"/>
      <c r="B110" s="677"/>
      <c r="C110" s="678">
        <v>100</v>
      </c>
      <c r="D110" s="678">
        <f t="shared" ref="D110:M110" si="27">C110-$K36</f>
        <v>98</v>
      </c>
      <c r="E110" s="678">
        <f t="shared" si="27"/>
        <v>96</v>
      </c>
      <c r="F110" s="678">
        <f t="shared" si="27"/>
        <v>94</v>
      </c>
      <c r="G110" s="678">
        <f t="shared" si="27"/>
        <v>92</v>
      </c>
      <c r="H110" s="678">
        <f t="shared" si="27"/>
        <v>90</v>
      </c>
      <c r="I110" s="678">
        <f t="shared" si="27"/>
        <v>88</v>
      </c>
      <c r="J110" s="678">
        <f t="shared" si="27"/>
        <v>86</v>
      </c>
      <c r="K110" s="678">
        <f t="shared" si="27"/>
        <v>84</v>
      </c>
      <c r="L110" s="678">
        <f t="shared" si="27"/>
        <v>82</v>
      </c>
      <c r="M110" s="678">
        <f t="shared" si="27"/>
        <v>80</v>
      </c>
      <c r="N110" s="2165"/>
      <c r="O110" s="2165"/>
      <c r="P110" s="2164"/>
      <c r="Q110" s="2157"/>
      <c r="R110" s="2144"/>
      <c r="S110" s="2144"/>
      <c r="T110" s="2144"/>
      <c r="U110" s="2144"/>
      <c r="V110" s="2144"/>
      <c r="W110" s="2144"/>
      <c r="X110" s="2144"/>
      <c r="Y110" s="2144"/>
      <c r="Z110" s="2144"/>
      <c r="AA110" s="2144"/>
      <c r="AB110" s="2144"/>
      <c r="AC110" s="2144"/>
    </row>
    <row r="111" spans="1:29" s="1337" customFormat="1" ht="15" thickTop="1">
      <c r="A111" s="727"/>
      <c r="B111" s="672" t="s">
        <v>717</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6"/>
      <c r="O111" s="2166"/>
      <c r="P111" s="2167"/>
      <c r="Q111" s="2168"/>
      <c r="R111" s="2169"/>
      <c r="S111" s="2169"/>
      <c r="T111" s="2169"/>
      <c r="U111" s="2169"/>
      <c r="V111" s="2169"/>
      <c r="W111" s="2169"/>
      <c r="X111" s="2169"/>
      <c r="Y111" s="2169"/>
      <c r="Z111" s="2169"/>
      <c r="AA111" s="2169"/>
      <c r="AB111" s="2169"/>
      <c r="AC111" s="2169"/>
    </row>
    <row r="112" spans="1:29" s="1337" customFormat="1">
      <c r="A112" s="727"/>
      <c r="B112" s="680"/>
      <c r="C112" s="892">
        <v>0.5</v>
      </c>
      <c r="D112" s="892">
        <v>0.6</v>
      </c>
      <c r="E112" s="892">
        <v>0.7</v>
      </c>
      <c r="F112" s="892">
        <v>0.8</v>
      </c>
      <c r="G112" s="892">
        <v>0.9</v>
      </c>
      <c r="H112" s="892">
        <v>1.0001</v>
      </c>
      <c r="I112" s="892"/>
      <c r="J112" s="893"/>
      <c r="K112" s="893"/>
      <c r="L112" s="894"/>
      <c r="M112" s="895"/>
      <c r="N112" s="2166"/>
      <c r="O112" s="2166"/>
      <c r="P112" s="2167"/>
      <c r="Q112" s="2168"/>
      <c r="R112" s="2169"/>
      <c r="S112" s="2169"/>
      <c r="T112" s="2169"/>
      <c r="U112" s="2169"/>
      <c r="V112" s="2169"/>
      <c r="W112" s="2169"/>
      <c r="X112" s="2169"/>
      <c r="Y112" s="2169"/>
      <c r="Z112" s="2169"/>
      <c r="AA112" s="2169"/>
      <c r="AB112" s="2169"/>
      <c r="AC112" s="2169"/>
    </row>
    <row r="113" spans="1:29" s="1337" customFormat="1" ht="14.4"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6"/>
      <c r="O113" s="2166"/>
      <c r="P113" s="2167"/>
      <c r="Q113" s="2168"/>
      <c r="R113" s="2169"/>
      <c r="S113" s="2169"/>
      <c r="T113" s="2169"/>
      <c r="U113" s="2169"/>
      <c r="V113" s="2169"/>
      <c r="W113" s="2169"/>
      <c r="X113" s="2169"/>
      <c r="Y113" s="2169"/>
      <c r="Z113" s="2169"/>
      <c r="AA113" s="2169"/>
      <c r="AB113" s="2169"/>
      <c r="AC113" s="2169"/>
    </row>
    <row r="114" spans="1:29" ht="15" thickTop="1">
      <c r="A114" s="734"/>
      <c r="B114" s="672" t="s">
        <v>718</v>
      </c>
      <c r="C114" s="3183" t="s">
        <v>3004</v>
      </c>
      <c r="D114" s="3183" t="s">
        <v>3005</v>
      </c>
      <c r="E114" s="3183" t="s">
        <v>3006</v>
      </c>
      <c r="F114" s="3183" t="s">
        <v>3007</v>
      </c>
      <c r="G114" s="3183" t="s">
        <v>3008</v>
      </c>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4.4" thickBot="1">
      <c r="A115" s="668"/>
      <c r="B115" s="677"/>
      <c r="C115" s="678">
        <v>100</v>
      </c>
      <c r="D115" s="678">
        <f t="shared" ref="D115:M115" si="28">C115-$K38</f>
        <v>99</v>
      </c>
      <c r="E115" s="678">
        <f t="shared" si="28"/>
        <v>98</v>
      </c>
      <c r="F115" s="678">
        <f t="shared" si="28"/>
        <v>97</v>
      </c>
      <c r="G115" s="678">
        <f t="shared" si="28"/>
        <v>96</v>
      </c>
      <c r="H115" s="678">
        <f t="shared" si="28"/>
        <v>95</v>
      </c>
      <c r="I115" s="678">
        <f t="shared" si="28"/>
        <v>94</v>
      </c>
      <c r="J115" s="678">
        <f t="shared" si="28"/>
        <v>93</v>
      </c>
      <c r="K115" s="678">
        <f t="shared" si="28"/>
        <v>92</v>
      </c>
      <c r="L115" s="678">
        <f t="shared" si="28"/>
        <v>91</v>
      </c>
      <c r="M115" s="678">
        <f t="shared" si="28"/>
        <v>90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4"/>
      <c r="B116" s="1895" t="s">
        <v>2518</v>
      </c>
      <c r="C116" s="3182" t="s">
        <v>3013</v>
      </c>
      <c r="D116" s="3182" t="s">
        <v>3014</v>
      </c>
      <c r="E116" s="3182" t="s">
        <v>3015</v>
      </c>
      <c r="F116" s="3182" t="s">
        <v>3016</v>
      </c>
      <c r="G116" s="68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4.4" thickBot="1">
      <c r="A117" s="668"/>
      <c r="B117" s="677"/>
      <c r="C117" s="678">
        <v>100</v>
      </c>
      <c r="D117" s="678">
        <f>C117-$K39</f>
        <v>99</v>
      </c>
      <c r="E117" s="678">
        <f>D117-$K39</f>
        <v>98</v>
      </c>
      <c r="F117" s="678">
        <f>E117-$K39</f>
        <v>97</v>
      </c>
      <c r="G117" s="678">
        <f>F117-$K39</f>
        <v>96</v>
      </c>
      <c r="H117" s="678"/>
      <c r="I117" s="678"/>
      <c r="J117" s="678"/>
      <c r="K117" s="678"/>
      <c r="L117" s="678"/>
      <c r="M117" s="679"/>
      <c r="N117" s="2165"/>
      <c r="O117" s="2165"/>
      <c r="P117" s="2164"/>
      <c r="Q117" s="2157"/>
      <c r="R117" s="2144"/>
      <c r="S117" s="2144"/>
      <c r="T117" s="2144"/>
      <c r="U117" s="2144"/>
      <c r="V117" s="2144"/>
      <c r="W117" s="2144"/>
      <c r="X117" s="2144"/>
      <c r="Y117" s="2144"/>
      <c r="Z117" s="2144"/>
      <c r="AA117" s="2144"/>
      <c r="AB117" s="2144"/>
      <c r="AC117" s="2144"/>
    </row>
    <row r="118" spans="1:29" ht="15" thickTop="1">
      <c r="A118" s="734"/>
      <c r="B118" s="672" t="s">
        <v>719</v>
      </c>
      <c r="C118" s="3183" t="s">
        <v>3010</v>
      </c>
      <c r="D118" s="717"/>
      <c r="E118" s="717"/>
      <c r="F118" s="717"/>
      <c r="G118" s="717"/>
      <c r="H118" s="717"/>
      <c r="I118" s="717"/>
      <c r="J118" s="717"/>
      <c r="K118" s="718"/>
      <c r="L118" s="719"/>
      <c r="M118" s="720"/>
      <c r="N118" s="2163"/>
      <c r="O118" s="2163"/>
      <c r="P118" s="2164"/>
      <c r="Q118" s="2157"/>
      <c r="R118" s="2144"/>
      <c r="S118" s="2144"/>
      <c r="T118" s="2144"/>
      <c r="U118" s="2144"/>
      <c r="V118" s="2144"/>
      <c r="W118" s="2144"/>
      <c r="X118" s="2144"/>
      <c r="Y118" s="2144"/>
      <c r="Z118" s="2144"/>
      <c r="AA118" s="2144"/>
      <c r="AB118" s="2144"/>
      <c r="AC118" s="2144"/>
    </row>
    <row r="119" spans="1:29" ht="14.4" thickBot="1">
      <c r="A119" s="668"/>
      <c r="B119" s="677"/>
      <c r="C119" s="678">
        <v>100</v>
      </c>
      <c r="D119" s="678">
        <f t="shared" ref="D119:M119" si="29">C119-$K40</f>
        <v>98</v>
      </c>
      <c r="E119" s="678">
        <f t="shared" si="29"/>
        <v>96</v>
      </c>
      <c r="F119" s="678">
        <f t="shared" si="29"/>
        <v>94</v>
      </c>
      <c r="G119" s="678">
        <f t="shared" si="29"/>
        <v>92</v>
      </c>
      <c r="H119" s="678">
        <f t="shared" si="29"/>
        <v>90</v>
      </c>
      <c r="I119" s="678">
        <f t="shared" si="29"/>
        <v>88</v>
      </c>
      <c r="J119" s="678">
        <f t="shared" si="29"/>
        <v>86</v>
      </c>
      <c r="K119" s="678">
        <f t="shared" si="29"/>
        <v>84</v>
      </c>
      <c r="L119" s="678">
        <f t="shared" si="29"/>
        <v>82</v>
      </c>
      <c r="M119" s="678">
        <f t="shared" si="29"/>
        <v>80</v>
      </c>
      <c r="N119" s="2165"/>
      <c r="O119" s="2165"/>
      <c r="P119" s="2164"/>
      <c r="Q119" s="2157"/>
      <c r="R119" s="2144"/>
      <c r="S119" s="2144"/>
      <c r="T119" s="2144"/>
      <c r="U119" s="2144"/>
      <c r="V119" s="2144"/>
      <c r="W119" s="2144"/>
      <c r="X119" s="2144"/>
      <c r="Y119" s="2144"/>
      <c r="Z119" s="2144"/>
      <c r="AA119" s="2144"/>
      <c r="AB119" s="2144"/>
      <c r="AC119" s="2144"/>
    </row>
    <row r="120" spans="1:29" s="1337" customFormat="1" ht="29.4" thickTop="1">
      <c r="A120" s="727"/>
      <c r="B120" s="672" t="s">
        <v>698</v>
      </c>
      <c r="C120" s="687"/>
      <c r="D120" s="687"/>
      <c r="E120" s="687"/>
      <c r="F120" s="687"/>
      <c r="G120" s="687"/>
      <c r="H120" s="687"/>
      <c r="I120" s="687"/>
      <c r="J120" s="687"/>
      <c r="K120" s="687"/>
      <c r="L120" s="888"/>
      <c r="M120" s="889"/>
      <c r="N120" s="2166"/>
      <c r="O120" s="2166"/>
      <c r="P120" s="2167"/>
      <c r="Q120" s="2168"/>
      <c r="R120" s="2169"/>
      <c r="S120" s="2169"/>
      <c r="T120" s="2169"/>
      <c r="U120" s="2169"/>
      <c r="V120" s="2169"/>
      <c r="W120" s="2169"/>
      <c r="X120" s="2169"/>
      <c r="Y120" s="2169"/>
      <c r="Z120" s="2169"/>
      <c r="AA120" s="2169"/>
      <c r="AB120" s="2169"/>
      <c r="AC120" s="2169"/>
    </row>
    <row r="121" spans="1:29" s="1337" customFormat="1" ht="14.4" thickBot="1">
      <c r="A121" s="686"/>
      <c r="B121" s="669"/>
      <c r="C121" s="691"/>
      <c r="D121" s="670"/>
      <c r="E121" s="670"/>
      <c r="F121" s="670"/>
      <c r="G121" s="670"/>
      <c r="H121" s="670"/>
      <c r="I121" s="670"/>
      <c r="J121" s="670"/>
      <c r="K121" s="670"/>
      <c r="L121" s="670"/>
      <c r="M121" s="670"/>
      <c r="N121" s="2166"/>
      <c r="O121" s="2166"/>
      <c r="P121" s="2167"/>
      <c r="Q121" s="2168"/>
      <c r="R121" s="2169"/>
      <c r="S121" s="2169"/>
      <c r="T121" s="2169"/>
      <c r="U121" s="2169"/>
      <c r="V121" s="2169"/>
      <c r="W121" s="2169"/>
      <c r="X121" s="2169"/>
      <c r="Y121" s="2169"/>
      <c r="Z121" s="2169"/>
      <c r="AA121" s="2169"/>
      <c r="AB121" s="2169"/>
      <c r="AC121" s="2169"/>
    </row>
    <row r="122" spans="1:29" ht="15" thickTop="1">
      <c r="A122" s="734"/>
      <c r="B122" s="672" t="s">
        <v>720</v>
      </c>
      <c r="C122" s="3182" t="s">
        <v>2997</v>
      </c>
      <c r="D122" s="3182" t="s">
        <v>2998</v>
      </c>
      <c r="E122" s="3182" t="s">
        <v>2999</v>
      </c>
      <c r="F122" s="3183" t="s">
        <v>3001</v>
      </c>
      <c r="G122" s="717"/>
      <c r="H122" s="717"/>
      <c r="I122" s="717"/>
      <c r="J122" s="717"/>
      <c r="K122" s="718"/>
      <c r="L122" s="719"/>
      <c r="M122" s="720"/>
      <c r="N122" s="2163"/>
      <c r="O122" s="2163"/>
      <c r="P122" s="2164"/>
      <c r="Q122" s="2157"/>
      <c r="R122" s="2144"/>
      <c r="S122" s="2144"/>
      <c r="T122" s="2144"/>
      <c r="U122" s="2144"/>
      <c r="V122" s="2144"/>
      <c r="W122" s="2144"/>
      <c r="X122" s="2144"/>
      <c r="Y122" s="2144"/>
      <c r="Z122" s="2144"/>
      <c r="AA122" s="2144"/>
      <c r="AB122" s="2144"/>
      <c r="AC122" s="2144"/>
    </row>
    <row r="123" spans="1:29" ht="14.4" thickBot="1">
      <c r="A123" s="668"/>
      <c r="B123" s="677"/>
      <c r="C123" s="678">
        <v>100</v>
      </c>
      <c r="D123" s="678">
        <f t="shared" ref="D123:M123" si="30">C123-$K42</f>
        <v>98</v>
      </c>
      <c r="E123" s="678">
        <f t="shared" si="30"/>
        <v>96</v>
      </c>
      <c r="F123" s="678">
        <f t="shared" si="30"/>
        <v>94</v>
      </c>
      <c r="G123" s="678">
        <f t="shared" si="30"/>
        <v>92</v>
      </c>
      <c r="H123" s="678">
        <f t="shared" si="30"/>
        <v>90</v>
      </c>
      <c r="I123" s="678">
        <f t="shared" si="30"/>
        <v>88</v>
      </c>
      <c r="J123" s="678">
        <f t="shared" si="30"/>
        <v>86</v>
      </c>
      <c r="K123" s="678">
        <f t="shared" si="30"/>
        <v>84</v>
      </c>
      <c r="L123" s="678">
        <f t="shared" si="30"/>
        <v>82</v>
      </c>
      <c r="M123" s="678">
        <f t="shared" si="30"/>
        <v>80</v>
      </c>
      <c r="N123" s="2165"/>
      <c r="O123" s="2165"/>
      <c r="P123" s="2164"/>
      <c r="Q123" s="2157"/>
      <c r="R123" s="2144"/>
      <c r="S123" s="2144"/>
      <c r="T123" s="2144"/>
      <c r="U123" s="2144"/>
      <c r="V123" s="2144"/>
      <c r="W123" s="2144"/>
      <c r="X123" s="2144"/>
      <c r="Y123" s="2144"/>
      <c r="Z123" s="2144"/>
      <c r="AA123" s="2144"/>
      <c r="AB123" s="2144"/>
      <c r="AC123" s="2144"/>
    </row>
    <row r="124" spans="1:29" ht="29.4" thickTop="1">
      <c r="A124" s="734"/>
      <c r="B124" s="672" t="s">
        <v>721</v>
      </c>
      <c r="C124" s="707" t="s">
        <v>544</v>
      </c>
      <c r="D124" s="707" t="s">
        <v>545</v>
      </c>
      <c r="E124" s="707" t="s">
        <v>546</v>
      </c>
      <c r="F124" s="707" t="s">
        <v>547</v>
      </c>
      <c r="G124" s="707" t="s">
        <v>548</v>
      </c>
      <c r="H124" s="673"/>
      <c r="I124" s="673"/>
      <c r="J124" s="673"/>
      <c r="K124" s="674"/>
      <c r="L124" s="675"/>
      <c r="M124" s="676"/>
      <c r="N124" s="2163"/>
      <c r="O124" s="2163"/>
      <c r="P124" s="2167"/>
      <c r="Q124" s="2157"/>
      <c r="R124" s="2144"/>
      <c r="S124" s="2144"/>
      <c r="T124" s="2144"/>
      <c r="U124" s="2144"/>
      <c r="V124" s="2144"/>
      <c r="W124" s="2144"/>
      <c r="X124" s="2144"/>
      <c r="Y124" s="2144"/>
      <c r="Z124" s="2144"/>
      <c r="AA124" s="2144"/>
      <c r="AB124" s="2144"/>
      <c r="AC124" s="2144"/>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5"/>
      <c r="O125" s="2165"/>
      <c r="P125" s="2164"/>
      <c r="Q125" s="2157"/>
      <c r="R125" s="2144"/>
      <c r="S125" s="2144"/>
      <c r="T125" s="2144"/>
      <c r="U125" s="2144"/>
      <c r="V125" s="2144"/>
      <c r="W125" s="2144"/>
      <c r="X125" s="2144"/>
      <c r="Y125" s="2144"/>
      <c r="Z125" s="2144"/>
      <c r="AA125" s="2144"/>
      <c r="AB125" s="2144"/>
      <c r="AC125" s="2144"/>
    </row>
    <row r="126" spans="1:29" s="1337" customFormat="1" ht="14.4" thickTop="1">
      <c r="A126" s="727"/>
      <c r="B126" s="672">
        <f>B44</f>
        <v>111</v>
      </c>
      <c r="C126" s="687"/>
      <c r="D126" s="687"/>
      <c r="E126" s="687"/>
      <c r="F126" s="687"/>
      <c r="G126" s="687"/>
      <c r="H126" s="688"/>
      <c r="I126" s="688"/>
      <c r="J126" s="688"/>
      <c r="K126" s="688"/>
      <c r="L126" s="689"/>
      <c r="M126" s="690"/>
      <c r="N126" s="2166"/>
      <c r="O126" s="2166"/>
      <c r="P126" s="2167"/>
      <c r="Q126" s="2168"/>
      <c r="R126" s="2169"/>
      <c r="S126" s="2169"/>
      <c r="T126" s="2169"/>
      <c r="U126" s="2169"/>
      <c r="V126" s="2169"/>
      <c r="W126" s="2169"/>
      <c r="X126" s="2169"/>
      <c r="Y126" s="2169"/>
      <c r="Z126" s="2169"/>
      <c r="AA126" s="2169"/>
      <c r="AB126" s="2169"/>
      <c r="AC126" s="2169"/>
    </row>
    <row r="127" spans="1:29" s="1337" customFormat="1" ht="14.4" thickBot="1">
      <c r="A127" s="686"/>
      <c r="B127" s="677"/>
      <c r="C127" s="691"/>
      <c r="D127" s="670"/>
      <c r="E127" s="670"/>
      <c r="F127" s="670"/>
      <c r="G127" s="691"/>
      <c r="H127" s="692"/>
      <c r="I127" s="692"/>
      <c r="J127" s="692"/>
      <c r="K127" s="692"/>
      <c r="L127" s="692"/>
      <c r="M127" s="693"/>
      <c r="N127" s="2166"/>
      <c r="O127" s="2166"/>
      <c r="P127" s="2167"/>
      <c r="Q127" s="2168"/>
      <c r="R127" s="2169"/>
      <c r="S127" s="2169"/>
      <c r="T127" s="2169"/>
      <c r="U127" s="2169"/>
      <c r="V127" s="2169"/>
      <c r="W127" s="2169"/>
      <c r="X127" s="2169"/>
      <c r="Y127" s="2169"/>
      <c r="Z127" s="2169"/>
      <c r="AA127" s="2169"/>
      <c r="AB127" s="2169"/>
      <c r="AC127" s="2169"/>
    </row>
    <row r="128" spans="1:29" ht="14.4" thickTop="1">
      <c r="A128" s="734"/>
      <c r="B128" s="672">
        <f>B45</f>
        <v>111</v>
      </c>
      <c r="C128" s="687"/>
      <c r="D128" s="687"/>
      <c r="E128" s="687"/>
      <c r="F128" s="687"/>
      <c r="G128" s="717"/>
      <c r="H128" s="717"/>
      <c r="I128" s="717"/>
      <c r="J128" s="717"/>
      <c r="K128" s="718"/>
      <c r="L128" s="719"/>
      <c r="M128" s="720"/>
      <c r="N128" s="2163"/>
      <c r="O128" s="2163"/>
      <c r="P128" s="2164"/>
      <c r="Q128" s="2157"/>
      <c r="R128" s="2144"/>
      <c r="S128" s="2144"/>
      <c r="T128" s="2144"/>
      <c r="U128" s="2144"/>
      <c r="V128" s="2144"/>
      <c r="W128" s="2144"/>
      <c r="X128" s="2144"/>
      <c r="Y128" s="2144"/>
      <c r="Z128" s="2144"/>
      <c r="AA128" s="2144"/>
      <c r="AB128" s="2144"/>
      <c r="AC128" s="2144"/>
    </row>
    <row r="129" spans="1:29" ht="14.4" thickBot="1">
      <c r="A129" s="668"/>
      <c r="B129" s="677"/>
      <c r="C129" s="691"/>
      <c r="D129" s="691"/>
      <c r="E129" s="691"/>
      <c r="F129" s="691"/>
      <c r="G129" s="670"/>
      <c r="H129" s="670"/>
      <c r="I129" s="670"/>
      <c r="J129" s="670"/>
      <c r="K129" s="670"/>
      <c r="L129" s="670"/>
      <c r="M129" s="671"/>
      <c r="N129" s="2165"/>
      <c r="O129" s="2165"/>
      <c r="P129" s="2164"/>
      <c r="Q129" s="2157"/>
      <c r="R129" s="2144"/>
      <c r="S129" s="2144"/>
      <c r="T129" s="2144"/>
      <c r="U129" s="2144"/>
      <c r="V129" s="2144"/>
      <c r="W129" s="2144"/>
      <c r="X129" s="2144"/>
      <c r="Y129" s="2144"/>
      <c r="Z129" s="2144"/>
      <c r="AA129" s="2144"/>
      <c r="AB129" s="2144"/>
      <c r="AC129" s="2144"/>
    </row>
    <row r="130" spans="1:29" ht="14.4" thickTop="1">
      <c r="A130" s="734"/>
      <c r="B130" s="680">
        <f>B46</f>
        <v>111</v>
      </c>
      <c r="C130" s="687"/>
      <c r="D130" s="687"/>
      <c r="E130" s="687"/>
      <c r="F130" s="687"/>
      <c r="G130" s="721"/>
      <c r="H130" s="721"/>
      <c r="I130" s="721"/>
      <c r="J130" s="721"/>
      <c r="K130" s="660"/>
      <c r="L130" s="661"/>
      <c r="M130" s="724"/>
      <c r="N130" s="2163"/>
      <c r="O130" s="2163"/>
      <c r="P130" s="2164"/>
      <c r="Q130" s="2157"/>
      <c r="R130" s="2144"/>
      <c r="S130" s="2144"/>
      <c r="T130" s="2144"/>
      <c r="U130" s="2144"/>
      <c r="V130" s="2144"/>
      <c r="W130" s="2144"/>
      <c r="X130" s="2144"/>
      <c r="Y130" s="2144"/>
      <c r="Z130" s="2144"/>
      <c r="AA130" s="2144"/>
      <c r="AB130" s="2144"/>
      <c r="AC130" s="2144"/>
    </row>
    <row r="131" spans="1:29" ht="14.4" thickBot="1">
      <c r="A131" s="891"/>
      <c r="B131" s="698"/>
      <c r="C131" s="699"/>
      <c r="D131" s="699"/>
      <c r="E131" s="699"/>
      <c r="F131" s="699"/>
      <c r="G131" s="725"/>
      <c r="H131" s="725"/>
      <c r="I131" s="725"/>
      <c r="J131" s="725"/>
      <c r="K131" s="725"/>
      <c r="L131" s="725"/>
      <c r="M131" s="726"/>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2220</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ht="15.6">
      <c r="A137" s="2178"/>
      <c r="B137" s="1917" t="s">
        <v>2221</v>
      </c>
      <c r="C137" s="1918"/>
      <c r="D137" s="1918"/>
      <c r="E137" s="1918"/>
      <c r="F137" s="1918"/>
      <c r="G137" s="1919"/>
      <c r="H137" s="1920"/>
      <c r="I137" s="1921" t="s">
        <v>2222</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ht="15.6">
      <c r="A138" s="2178"/>
      <c r="B138" s="1923"/>
      <c r="C138" s="1924" t="s">
        <v>2223</v>
      </c>
      <c r="D138" s="1924" t="s">
        <v>2224</v>
      </c>
      <c r="E138" s="1925" t="s">
        <v>2225</v>
      </c>
      <c r="F138" s="1926" t="s">
        <v>2226</v>
      </c>
      <c r="G138" s="1924" t="s">
        <v>2227</v>
      </c>
      <c r="H138" s="1927" t="s">
        <v>2228</v>
      </c>
      <c r="I138" s="1928"/>
      <c r="J138" s="1924" t="s">
        <v>2229</v>
      </c>
      <c r="K138" s="1927" t="s">
        <v>2230</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2231</v>
      </c>
      <c r="E139" s="1898">
        <v>100</v>
      </c>
      <c r="F139" s="1899">
        <v>102.5</v>
      </c>
      <c r="G139" s="1929" t="s">
        <v>2232</v>
      </c>
      <c r="H139" s="1900">
        <v>105</v>
      </c>
      <c r="I139" s="1930" t="s">
        <v>2233</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6">
      <c r="A140" s="2178"/>
      <c r="B140" s="1902">
        <v>5</v>
      </c>
      <c r="C140" s="1903">
        <v>100</v>
      </c>
      <c r="D140" s="1931"/>
      <c r="E140" s="1904"/>
      <c r="F140" s="1905">
        <v>102</v>
      </c>
      <c r="G140" s="1931"/>
      <c r="H140" s="1906"/>
      <c r="I140" s="1932" t="s">
        <v>2234</v>
      </c>
      <c r="J140" s="845">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6">
      <c r="A141" s="2178"/>
      <c r="B141" s="1902">
        <v>4</v>
      </c>
      <c r="C141" s="1903">
        <v>102</v>
      </c>
      <c r="D141" s="1931"/>
      <c r="E141" s="1904"/>
      <c r="F141" s="1905">
        <v>101.5</v>
      </c>
      <c r="G141" s="1931"/>
      <c r="H141" s="1906"/>
      <c r="I141" s="1932" t="s">
        <v>2235</v>
      </c>
      <c r="J141" s="845">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6">
      <c r="A142" s="2178"/>
      <c r="B142" s="1902">
        <v>3</v>
      </c>
      <c r="C142" s="1903">
        <v>103</v>
      </c>
      <c r="D142" s="1931"/>
      <c r="E142" s="1904"/>
      <c r="F142" s="1905">
        <v>101</v>
      </c>
      <c r="G142" s="1931"/>
      <c r="H142" s="1906"/>
      <c r="I142" s="1932" t="s">
        <v>2236</v>
      </c>
      <c r="J142" s="845">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6">
      <c r="A143" s="2178"/>
      <c r="B143" s="1902">
        <v>2</v>
      </c>
      <c r="C143" s="1903">
        <v>100</v>
      </c>
      <c r="D143" s="1931"/>
      <c r="E143" s="1904"/>
      <c r="F143" s="1905">
        <v>100.5</v>
      </c>
      <c r="G143" s="1931"/>
      <c r="H143" s="1906"/>
      <c r="I143" s="1932" t="s">
        <v>2237</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2238</v>
      </c>
      <c r="E144" s="1904">
        <v>102</v>
      </c>
      <c r="F144" s="1910">
        <v>100</v>
      </c>
      <c r="G144" s="1933" t="s">
        <v>2238</v>
      </c>
      <c r="H144" s="1906">
        <v>105</v>
      </c>
      <c r="I144" s="1932" t="s">
        <v>2237</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6.2" thickBot="1">
      <c r="A145" s="2178"/>
      <c r="B145" s="1934" t="s">
        <v>2239</v>
      </c>
      <c r="C145" s="1911">
        <f>ROUND(MAX(C139:C144)/MIN(C139:C144)-1,3)</f>
        <v>7.2999999999999995E-2</v>
      </c>
      <c r="D145" s="1935"/>
      <c r="E145" s="1935"/>
      <c r="F145" s="1936" t="s">
        <v>2240</v>
      </c>
      <c r="G145" s="1937"/>
      <c r="H145" s="1938"/>
      <c r="I145" s="1939" t="s">
        <v>2237</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ht="14.4">
      <c r="A147" s="2178"/>
      <c r="B147" s="1958" t="s">
        <v>2249</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ht="14.4">
      <c r="A148" s="2178"/>
      <c r="B148" s="1958" t="s">
        <v>2250</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683</v>
      </c>
      <c r="B1" s="502" t="s">
        <v>722</v>
      </c>
      <c r="C1" s="503" t="s">
        <v>685</v>
      </c>
      <c r="D1" s="2369"/>
      <c r="E1" s="505"/>
      <c r="F1" s="2806"/>
      <c r="G1" s="1599" t="s">
        <v>686</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2" t="s">
        <v>432</v>
      </c>
      <c r="B2" s="849" t="e">
        <f>ROUND(B3*D3/10000,0)</f>
        <v>#DIV/0!</v>
      </c>
      <c r="C2" s="2126"/>
      <c r="D2" s="2126"/>
      <c r="E2" s="2060"/>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thickBot="1">
      <c r="A3" s="508" t="s">
        <v>484</v>
      </c>
      <c r="B3" s="509" t="e">
        <f>C49</f>
        <v>#DIV/0!</v>
      </c>
      <c r="C3" s="851" t="s">
        <v>687</v>
      </c>
      <c r="D3" s="850">
        <f>SUMIF('数据-汇总表'!$C19:$C33,D1,'数据-汇总表'!$E19:$E33)</f>
        <v>0</v>
      </c>
      <c r="E3" s="2060"/>
      <c r="F3" s="2128"/>
      <c r="G3" s="2127"/>
      <c r="H3" s="2127"/>
      <c r="I3" s="2127"/>
      <c r="J3" s="2127"/>
      <c r="K3" s="2129"/>
      <c r="L3" s="2130"/>
      <c r="M3" s="2131"/>
      <c r="N3" s="2131"/>
      <c r="O3" s="2131"/>
      <c r="P3" s="1562"/>
      <c r="Q3" s="1562"/>
      <c r="R3" s="1562"/>
      <c r="S3" s="1562"/>
      <c r="T3" s="1562"/>
      <c r="U3" s="1562"/>
      <c r="V3" s="1562"/>
      <c r="W3" s="1562"/>
      <c r="X3" s="1562"/>
      <c r="Y3" s="1562"/>
      <c r="Z3" s="1562"/>
      <c r="AA3" s="1562"/>
      <c r="AB3" s="1562"/>
      <c r="AC3" s="427"/>
    </row>
    <row r="4" spans="1:29" ht="14.4">
      <c r="A4" s="511" t="s">
        <v>486</v>
      </c>
      <c r="B4" s="512"/>
      <c r="C4" s="3368" t="s">
        <v>487</v>
      </c>
      <c r="D4" s="3369"/>
      <c r="E4" s="3404" t="s">
        <v>488</v>
      </c>
      <c r="F4" s="3405"/>
      <c r="G4" s="3368" t="s">
        <v>489</v>
      </c>
      <c r="H4" s="3369"/>
      <c r="I4" s="3368" t="s">
        <v>490</v>
      </c>
      <c r="J4" s="3369"/>
      <c r="K4" s="513" t="s">
        <v>491</v>
      </c>
      <c r="L4" s="2132"/>
      <c r="M4" s="2133"/>
      <c r="N4" s="2133"/>
      <c r="O4" s="2133"/>
      <c r="P4" s="3370" t="s">
        <v>492</v>
      </c>
      <c r="Q4" s="3371"/>
      <c r="R4" s="3376" t="s">
        <v>488</v>
      </c>
      <c r="S4" s="3377"/>
      <c r="T4" s="3376" t="s">
        <v>489</v>
      </c>
      <c r="U4" s="3377"/>
      <c r="V4" s="3363" t="s">
        <v>490</v>
      </c>
      <c r="W4" s="3363"/>
      <c r="X4" s="1565"/>
      <c r="Y4" s="3376" t="s">
        <v>492</v>
      </c>
      <c r="Z4" s="3377"/>
      <c r="AA4" s="3365" t="s">
        <v>488</v>
      </c>
      <c r="AB4" s="3363" t="s">
        <v>489</v>
      </c>
      <c r="AC4" s="3365" t="s">
        <v>490</v>
      </c>
    </row>
    <row r="5" spans="1:29">
      <c r="A5" s="514"/>
      <c r="B5" s="515"/>
      <c r="C5" s="3400" t="s">
        <v>2889</v>
      </c>
      <c r="D5" s="3385"/>
      <c r="E5" s="3406" t="s">
        <v>2890</v>
      </c>
      <c r="F5" s="3407"/>
      <c r="G5" s="3400" t="s">
        <v>2891</v>
      </c>
      <c r="H5" s="3385"/>
      <c r="I5" s="3400" t="s">
        <v>2892</v>
      </c>
      <c r="J5" s="3385"/>
      <c r="K5" s="513"/>
      <c r="L5" s="2132"/>
      <c r="M5" s="2133"/>
      <c r="N5" s="2133"/>
      <c r="O5" s="2133"/>
      <c r="P5" s="3372"/>
      <c r="Q5" s="3373"/>
      <c r="R5" s="3378"/>
      <c r="S5" s="3379"/>
      <c r="T5" s="3378"/>
      <c r="U5" s="3379"/>
      <c r="V5" s="3363"/>
      <c r="W5" s="3363"/>
      <c r="X5" s="1565"/>
      <c r="Y5" s="3378"/>
      <c r="Z5" s="3379"/>
      <c r="AA5" s="3366"/>
      <c r="AB5" s="3363"/>
      <c r="AC5" s="3366"/>
    </row>
    <row r="6" spans="1:29" ht="15" thickBot="1">
      <c r="A6" s="516"/>
      <c r="B6" s="517"/>
      <c r="C6" s="3401" t="s">
        <v>2893</v>
      </c>
      <c r="D6" s="3383"/>
      <c r="E6" s="3402" t="s">
        <v>2893</v>
      </c>
      <c r="F6" s="3403"/>
      <c r="G6" s="3401" t="s">
        <v>2893</v>
      </c>
      <c r="H6" s="3383"/>
      <c r="I6" s="3401" t="s">
        <v>2893</v>
      </c>
      <c r="J6" s="3383"/>
      <c r="K6" s="513" t="s">
        <v>493</v>
      </c>
      <c r="L6" s="2132"/>
      <c r="M6" s="2133"/>
      <c r="N6" s="2133"/>
      <c r="O6" s="2133"/>
      <c r="P6" s="3374"/>
      <c r="Q6" s="3375"/>
      <c r="R6" s="3378"/>
      <c r="S6" s="3379"/>
      <c r="T6" s="3380"/>
      <c r="U6" s="3381"/>
      <c r="V6" s="3363"/>
      <c r="W6" s="3363"/>
      <c r="X6" s="1565"/>
      <c r="Y6" s="3380"/>
      <c r="Z6" s="3381"/>
      <c r="AA6" s="3367"/>
      <c r="AB6" s="3363"/>
      <c r="AC6" s="3367"/>
    </row>
    <row r="7" spans="1:29" s="1218" customFormat="1" ht="15" thickBot="1">
      <c r="A7" s="2911"/>
      <c r="B7" s="2918" t="s">
        <v>494</v>
      </c>
      <c r="C7" s="518">
        <f>'数据-取费表'!B2</f>
        <v>43458</v>
      </c>
      <c r="D7" s="519">
        <v>100</v>
      </c>
      <c r="E7" s="520"/>
      <c r="F7" s="521">
        <f>SUMIF(58:58,YEAR(E7)&amp;"-"&amp;MONTH(E7),59:59)</f>
        <v>0</v>
      </c>
      <c r="G7" s="520"/>
      <c r="H7" s="519">
        <f>SUMIF(58:58,YEAR(G7)&amp;"-"&amp;MONTH(G7),59:59)</f>
        <v>0</v>
      </c>
      <c r="I7" s="520"/>
      <c r="J7" s="519">
        <f>SUMIF(58:58,YEAR(I7)&amp;"-"&amp;MONTH(I7),59:59)</f>
        <v>0</v>
      </c>
      <c r="K7" s="523"/>
      <c r="L7" s="2134"/>
      <c r="M7" s="2135"/>
      <c r="N7" s="2135"/>
      <c r="O7" s="2135"/>
      <c r="P7" s="3393" t="s">
        <v>495</v>
      </c>
      <c r="Q7" s="3395"/>
      <c r="R7" s="1566" t="s">
        <v>8</v>
      </c>
      <c r="S7" s="1567">
        <f t="shared" ref="S7:S15" si="0">F7</f>
        <v>0</v>
      </c>
      <c r="T7" s="1566" t="s">
        <v>8</v>
      </c>
      <c r="U7" s="1567">
        <f t="shared" ref="U7:U15" si="1">H7</f>
        <v>0</v>
      </c>
      <c r="V7" s="1566" t="s">
        <v>8</v>
      </c>
      <c r="W7" s="1567">
        <f t="shared" ref="W7:W15" si="2">J7</f>
        <v>0</v>
      </c>
      <c r="X7" s="1568"/>
      <c r="Y7" s="3393" t="s">
        <v>495</v>
      </c>
      <c r="Z7" s="3394"/>
      <c r="AA7" s="1569" t="e">
        <f>D7/F7</f>
        <v>#DIV/0!</v>
      </c>
      <c r="AB7" s="1569" t="e">
        <f>D7/H7</f>
        <v>#DIV/0!</v>
      </c>
      <c r="AC7" s="1569" t="e">
        <f>D7/J7</f>
        <v>#DIV/0!</v>
      </c>
    </row>
    <row r="8" spans="1:29" s="1218" customFormat="1" ht="15" thickBot="1">
      <c r="A8" s="2912"/>
      <c r="B8" s="2919" t="s">
        <v>496</v>
      </c>
      <c r="C8" s="524" t="s">
        <v>541</v>
      </c>
      <c r="D8" s="519">
        <v>100</v>
      </c>
      <c r="E8" s="524"/>
      <c r="F8" s="521">
        <f>SUMIF(61:61,E8,62:62)-SUMIF(61:61,C8,62:62)+100</f>
        <v>0</v>
      </c>
      <c r="G8" s="524"/>
      <c r="H8" s="519">
        <f>SUMIF(61:61,G8,62:62)-SUMIF(61:61,C8,62:62)+100</f>
        <v>0</v>
      </c>
      <c r="I8" s="524"/>
      <c r="J8" s="519">
        <f>SUMIF(61:61,I8,62:62)-SUMIF(61:61,C8,62:62)+100</f>
        <v>0</v>
      </c>
      <c r="K8" s="523"/>
      <c r="L8" s="2134"/>
      <c r="M8" s="2135"/>
      <c r="N8" s="2135"/>
      <c r="O8" s="2135"/>
      <c r="P8" s="3393" t="s">
        <v>498</v>
      </c>
      <c r="Q8" s="3394"/>
      <c r="R8" s="1566" t="s">
        <v>8</v>
      </c>
      <c r="S8" s="1567">
        <f t="shared" si="0"/>
        <v>0</v>
      </c>
      <c r="T8" s="1566" t="s">
        <v>8</v>
      </c>
      <c r="U8" s="1567">
        <f t="shared" si="1"/>
        <v>0</v>
      </c>
      <c r="V8" s="1566" t="s">
        <v>8</v>
      </c>
      <c r="W8" s="1567">
        <f t="shared" si="2"/>
        <v>0</v>
      </c>
      <c r="X8" s="1568"/>
      <c r="Y8" s="3393" t="s">
        <v>498</v>
      </c>
      <c r="Z8" s="3394"/>
      <c r="AA8" s="1569" t="e">
        <f t="shared" ref="AA8:AA46" si="3">D8/F8</f>
        <v>#DIV/0!</v>
      </c>
      <c r="AB8" s="1569" t="e">
        <f t="shared" ref="AB8:AB46" si="4">D8/H8</f>
        <v>#DIV/0!</v>
      </c>
      <c r="AC8" s="1569" t="e">
        <f t="shared" ref="AC8:AC46" si="5">D8/J8</f>
        <v>#DIV/0!</v>
      </c>
    </row>
    <row r="9" spans="1:29" s="1218" customFormat="1" ht="14.4">
      <c r="A9" s="2913"/>
      <c r="B9" s="2920" t="s">
        <v>2718</v>
      </c>
      <c r="C9" s="856"/>
      <c r="D9" s="253">
        <v>100</v>
      </c>
      <c r="E9" s="859"/>
      <c r="F9" s="253">
        <f>SUMIF(63:63,E9,64:64)-SUMIF(63:63,C9,64:64)+100</f>
        <v>100</v>
      </c>
      <c r="G9" s="857"/>
      <c r="H9" s="253">
        <f>SUMIF(63:63,G9,64:64)-SUMIF(63:63,C9,64:64)+100</f>
        <v>100</v>
      </c>
      <c r="I9" s="857"/>
      <c r="J9" s="253">
        <f>SUMIF(63:63,I9,64:64)-SUMIF(63:63,C9,64:64)+100</f>
        <v>100</v>
      </c>
      <c r="K9" s="523"/>
      <c r="L9" s="2134"/>
      <c r="M9" s="2135"/>
      <c r="N9" s="2135"/>
      <c r="O9" s="2136"/>
      <c r="P9" s="3362" t="s">
        <v>500</v>
      </c>
      <c r="Q9" s="1149" t="str">
        <f t="shared" ref="Q9:Q15" si="6">B9</f>
        <v>用途</v>
      </c>
      <c r="R9" s="1566" t="s">
        <v>8</v>
      </c>
      <c r="S9" s="1567">
        <f t="shared" si="0"/>
        <v>100</v>
      </c>
      <c r="T9" s="1566" t="s">
        <v>8</v>
      </c>
      <c r="U9" s="1567">
        <f t="shared" si="1"/>
        <v>100</v>
      </c>
      <c r="V9" s="1566" t="s">
        <v>8</v>
      </c>
      <c r="W9" s="1567">
        <f t="shared" si="2"/>
        <v>100</v>
      </c>
      <c r="X9" s="1568"/>
      <c r="Y9" s="3308" t="s">
        <v>501</v>
      </c>
      <c r="Z9" s="1148" t="str">
        <f t="shared" ref="Z9:Z15" si="7">Q9</f>
        <v>用途</v>
      </c>
      <c r="AA9" s="1569">
        <f t="shared" si="3"/>
        <v>1</v>
      </c>
      <c r="AB9" s="1569">
        <f t="shared" si="4"/>
        <v>1</v>
      </c>
      <c r="AC9" s="1569">
        <f t="shared" si="5"/>
        <v>1</v>
      </c>
    </row>
    <row r="10" spans="1:29" s="1336" customFormat="1" ht="28.8">
      <c r="A10" s="2914"/>
      <c r="B10" s="2919" t="s">
        <v>2719</v>
      </c>
      <c r="C10" s="860"/>
      <c r="D10" s="254">
        <v>100</v>
      </c>
      <c r="E10" s="860"/>
      <c r="F10" s="254">
        <f>SUMIF(65:65,E10,66:66)-SUMIF(65:65,C10,66:66)+100</f>
        <v>100</v>
      </c>
      <c r="G10" s="861"/>
      <c r="H10" s="254">
        <f>SUMIF(65:65,G10,66:66)-SUMIF(65:65,C10,66:66)+100</f>
        <v>100</v>
      </c>
      <c r="I10" s="860"/>
      <c r="J10" s="254">
        <f>SUMIF(65:65,I10,66:66)-SUMIF(65:65,C10,66:66)+100</f>
        <v>100</v>
      </c>
      <c r="K10" s="583"/>
      <c r="L10" s="2137"/>
      <c r="M10" s="2177"/>
      <c r="N10" s="2177"/>
      <c r="O10" s="2138"/>
      <c r="P10" s="3362"/>
      <c r="Q10" s="1149" t="str">
        <f t="shared" si="6"/>
        <v>土地使用年限（年）</v>
      </c>
      <c r="R10" s="1566" t="s">
        <v>8</v>
      </c>
      <c r="S10" s="1567">
        <f t="shared" si="0"/>
        <v>100</v>
      </c>
      <c r="T10" s="1566" t="s">
        <v>8</v>
      </c>
      <c r="U10" s="1567">
        <f t="shared" si="1"/>
        <v>100</v>
      </c>
      <c r="V10" s="1566" t="s">
        <v>8</v>
      </c>
      <c r="W10" s="1567">
        <f t="shared" si="2"/>
        <v>100</v>
      </c>
      <c r="X10" s="1568"/>
      <c r="Y10" s="3308"/>
      <c r="Z10" s="1148" t="str">
        <f t="shared" si="7"/>
        <v>土地使用年限（年）</v>
      </c>
      <c r="AA10" s="1569">
        <f t="shared" si="3"/>
        <v>1</v>
      </c>
      <c r="AB10" s="1569">
        <f t="shared" si="4"/>
        <v>1</v>
      </c>
      <c r="AC10" s="1569">
        <f t="shared" si="5"/>
        <v>1</v>
      </c>
    </row>
    <row r="11" spans="1:29" ht="15">
      <c r="A11" s="2915"/>
      <c r="B11" s="2919" t="s">
        <v>2720</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9"/>
      <c r="M11" s="2133"/>
      <c r="N11" s="2133"/>
      <c r="O11" s="2140"/>
      <c r="P11" s="3362"/>
      <c r="Q11" s="1149" t="str">
        <f t="shared" si="6"/>
        <v>容积率</v>
      </c>
      <c r="R11" s="1566" t="s">
        <v>8</v>
      </c>
      <c r="S11" s="1567" t="e">
        <f t="shared" si="0"/>
        <v>#N/A</v>
      </c>
      <c r="T11" s="1566" t="s">
        <v>8</v>
      </c>
      <c r="U11" s="1567" t="e">
        <f t="shared" si="1"/>
        <v>#N/A</v>
      </c>
      <c r="V11" s="1566" t="s">
        <v>8</v>
      </c>
      <c r="W11" s="1567" t="e">
        <f t="shared" si="2"/>
        <v>#N/A</v>
      </c>
      <c r="X11" s="1568"/>
      <c r="Y11" s="3308"/>
      <c r="Z11" s="1148" t="str">
        <f t="shared" si="7"/>
        <v>容积率</v>
      </c>
      <c r="AA11" s="1569" t="e">
        <f t="shared" si="3"/>
        <v>#N/A</v>
      </c>
      <c r="AB11" s="1569" t="e">
        <f t="shared" si="4"/>
        <v>#N/A</v>
      </c>
      <c r="AC11" s="1569" t="e">
        <f t="shared" si="5"/>
        <v>#N/A</v>
      </c>
    </row>
    <row r="12" spans="1:29" s="1218" customFormat="1" ht="15">
      <c r="A12" s="2916"/>
      <c r="B12" s="2922">
        <v>111</v>
      </c>
      <c r="C12" s="527"/>
      <c r="D12" s="537">
        <v>100</v>
      </c>
      <c r="E12" s="538"/>
      <c r="F12" s="254">
        <f>SUMIF(70:70,E12,71:71)-SUMIF(70:70,C12,71:71)+100</f>
        <v>100</v>
      </c>
      <c r="G12" s="910"/>
      <c r="H12" s="254">
        <f>SUMIF(70:70,G12,71:71)-SUMIF(70:70,C12,71:71)+100</f>
        <v>100</v>
      </c>
      <c r="I12" s="538"/>
      <c r="J12" s="254">
        <f>SUMIF(70:70,I12,71:71)-SUMIF(70:70,C12,71:71)+100</f>
        <v>100</v>
      </c>
      <c r="K12" s="580"/>
      <c r="L12" s="2134"/>
      <c r="M12" s="2135"/>
      <c r="N12" s="2135"/>
      <c r="O12" s="2136"/>
      <c r="P12" s="3362"/>
      <c r="Q12" s="1149">
        <f t="shared" si="6"/>
        <v>111</v>
      </c>
      <c r="R12" s="1566" t="s">
        <v>8</v>
      </c>
      <c r="S12" s="1567">
        <f t="shared" si="0"/>
        <v>100</v>
      </c>
      <c r="T12" s="1566" t="s">
        <v>8</v>
      </c>
      <c r="U12" s="1567">
        <f t="shared" si="1"/>
        <v>100</v>
      </c>
      <c r="V12" s="1566" t="s">
        <v>8</v>
      </c>
      <c r="W12" s="1567">
        <f t="shared" si="2"/>
        <v>100</v>
      </c>
      <c r="X12" s="1568"/>
      <c r="Y12" s="3308"/>
      <c r="Z12" s="1148">
        <f t="shared" si="7"/>
        <v>111</v>
      </c>
      <c r="AA12" s="1569">
        <f>D12/F12</f>
        <v>1</v>
      </c>
      <c r="AB12" s="1569">
        <f>D12/H12</f>
        <v>1</v>
      </c>
      <c r="AC12" s="1569">
        <f>D12/J12</f>
        <v>1</v>
      </c>
    </row>
    <row r="13" spans="1:29" ht="15">
      <c r="A13" s="2916"/>
      <c r="B13" s="2922">
        <v>111</v>
      </c>
      <c r="C13" s="538"/>
      <c r="D13" s="539">
        <v>100</v>
      </c>
      <c r="E13" s="538"/>
      <c r="F13" s="254">
        <f>SUMIF(72:72,E13,73:73)-SUMIF(72:72,C13,73:73)+100</f>
        <v>100</v>
      </c>
      <c r="G13" s="910"/>
      <c r="H13" s="539">
        <f>SUMIF(72:72,G13,73:73)-SUMIF(72:72,C13,73:73)+100</f>
        <v>100</v>
      </c>
      <c r="I13" s="538"/>
      <c r="J13" s="539">
        <f>SUMIF(72:72,I13,73:73)-SUMIF(72:72,C13,73:73)+100</f>
        <v>100</v>
      </c>
      <c r="K13" s="580"/>
      <c r="L13" s="2141"/>
      <c r="M13" s="2133"/>
      <c r="N13" s="2133"/>
      <c r="O13" s="2140"/>
      <c r="P13" s="3362"/>
      <c r="Q13" s="1149">
        <f t="shared" si="6"/>
        <v>111</v>
      </c>
      <c r="R13" s="1566" t="s">
        <v>8</v>
      </c>
      <c r="S13" s="1567">
        <f t="shared" si="0"/>
        <v>100</v>
      </c>
      <c r="T13" s="1566" t="s">
        <v>8</v>
      </c>
      <c r="U13" s="1567">
        <f t="shared" si="1"/>
        <v>100</v>
      </c>
      <c r="V13" s="1566" t="s">
        <v>8</v>
      </c>
      <c r="W13" s="1567">
        <f t="shared" si="2"/>
        <v>100</v>
      </c>
      <c r="X13" s="1568"/>
      <c r="Y13" s="3308"/>
      <c r="Z13" s="1148">
        <f t="shared" si="7"/>
        <v>111</v>
      </c>
      <c r="AA13" s="1569">
        <f t="shared" si="3"/>
        <v>1</v>
      </c>
      <c r="AB13" s="1569">
        <f t="shared" si="4"/>
        <v>1</v>
      </c>
      <c r="AC13" s="1569">
        <f t="shared" si="5"/>
        <v>1</v>
      </c>
    </row>
    <row r="14" spans="1:29" ht="15.6" thickBot="1">
      <c r="A14" s="2917"/>
      <c r="B14" s="2923">
        <v>111</v>
      </c>
      <c r="C14" s="544"/>
      <c r="D14" s="545">
        <v>100</v>
      </c>
      <c r="E14" s="544"/>
      <c r="F14" s="545">
        <f>SUMIF(74:74,E14,75:75)-SUMIF(74:74,C14,75:75)+100</f>
        <v>100</v>
      </c>
      <c r="G14" s="910"/>
      <c r="H14" s="545">
        <f>SUMIF(74:74,G14,75:75)-SUMIF(74:74,C14,75:75)+100</f>
        <v>100</v>
      </c>
      <c r="I14" s="538"/>
      <c r="J14" s="545">
        <f>SUMIF(74:74,I14,75:75)-SUMIF(74:74,C14,75:75)+100</f>
        <v>100</v>
      </c>
      <c r="K14" s="580"/>
      <c r="L14" s="2141"/>
      <c r="M14" s="2133"/>
      <c r="N14" s="2133"/>
      <c r="O14" s="2140"/>
      <c r="P14" s="3362"/>
      <c r="Q14" s="1149">
        <f t="shared" si="6"/>
        <v>111</v>
      </c>
      <c r="R14" s="1566" t="s">
        <v>8</v>
      </c>
      <c r="S14" s="1567">
        <f t="shared" si="0"/>
        <v>100</v>
      </c>
      <c r="T14" s="1566" t="s">
        <v>8</v>
      </c>
      <c r="U14" s="1567">
        <f t="shared" si="1"/>
        <v>100</v>
      </c>
      <c r="V14" s="1566" t="s">
        <v>8</v>
      </c>
      <c r="W14" s="1567">
        <f t="shared" si="2"/>
        <v>100</v>
      </c>
      <c r="X14" s="1568"/>
      <c r="Y14" s="3308"/>
      <c r="Z14" s="1148">
        <f t="shared" si="7"/>
        <v>111</v>
      </c>
      <c r="AA14" s="1569">
        <f t="shared" si="3"/>
        <v>1</v>
      </c>
      <c r="AB14" s="1569">
        <f t="shared" si="4"/>
        <v>1</v>
      </c>
      <c r="AC14" s="1569">
        <f t="shared" si="5"/>
        <v>1</v>
      </c>
    </row>
    <row r="15" spans="1:29" ht="82.8">
      <c r="A15" s="2909" t="s">
        <v>2716</v>
      </c>
      <c r="B15" s="165" t="s">
        <v>506</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6"/>
      <c r="L15" s="2141"/>
      <c r="M15" s="2133"/>
      <c r="N15" s="2133"/>
      <c r="O15" s="2140"/>
      <c r="P15" s="3396" t="s">
        <v>505</v>
      </c>
      <c r="Q15" s="1570" t="str">
        <f t="shared" si="6"/>
        <v>商业繁华度</v>
      </c>
      <c r="R15" s="1571" t="s">
        <v>8</v>
      </c>
      <c r="S15" s="1572">
        <f t="shared" si="0"/>
        <v>100</v>
      </c>
      <c r="T15" s="1571" t="s">
        <v>8</v>
      </c>
      <c r="U15" s="1572">
        <f t="shared" si="1"/>
        <v>100</v>
      </c>
      <c r="V15" s="1571" t="s">
        <v>8</v>
      </c>
      <c r="W15" s="1572">
        <f t="shared" si="2"/>
        <v>100</v>
      </c>
      <c r="X15" s="1565"/>
      <c r="Y15" s="3396" t="s">
        <v>505</v>
      </c>
      <c r="Z15" s="1573" t="str">
        <f t="shared" si="7"/>
        <v>商业繁华度</v>
      </c>
      <c r="AA15" s="1574">
        <f t="shared" si="3"/>
        <v>1</v>
      </c>
      <c r="AB15" s="1574">
        <f t="shared" si="4"/>
        <v>1</v>
      </c>
      <c r="AC15" s="1574">
        <f t="shared" si="5"/>
        <v>1</v>
      </c>
    </row>
    <row r="16" spans="1:29" ht="15">
      <c r="A16" s="531"/>
      <c r="B16" s="868"/>
      <c r="C16" s="575"/>
      <c r="D16" s="554"/>
      <c r="E16" s="575"/>
      <c r="F16" s="556"/>
      <c r="G16" s="575"/>
      <c r="H16" s="558"/>
      <c r="I16" s="575"/>
      <c r="J16" s="554"/>
      <c r="K16" s="897"/>
      <c r="L16" s="2141"/>
      <c r="M16" s="2133"/>
      <c r="N16" s="2133"/>
      <c r="O16" s="2140"/>
      <c r="P16" s="3397"/>
      <c r="Q16" s="1570"/>
      <c r="R16" s="1571"/>
      <c r="S16" s="1572"/>
      <c r="T16" s="1571"/>
      <c r="U16" s="1572"/>
      <c r="V16" s="1571"/>
      <c r="W16" s="1572"/>
      <c r="X16" s="1565"/>
      <c r="Y16" s="3397"/>
      <c r="Z16" s="1573"/>
      <c r="AA16" s="1574">
        <v>1</v>
      </c>
      <c r="AB16" s="1574">
        <v>1</v>
      </c>
      <c r="AC16" s="1574">
        <v>1</v>
      </c>
    </row>
    <row r="17" spans="1:29" ht="96.6">
      <c r="A17" s="531"/>
      <c r="B17" s="870" t="s">
        <v>261</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6"/>
      <c r="L17" s="2141"/>
      <c r="M17" s="2133"/>
      <c r="N17" s="2133"/>
      <c r="O17" s="2140"/>
      <c r="P17" s="3397"/>
      <c r="Q17" s="1570" t="str">
        <f>B17</f>
        <v>交通便捷度</v>
      </c>
      <c r="R17" s="1571" t="s">
        <v>8</v>
      </c>
      <c r="S17" s="1572">
        <f>F17</f>
        <v>100</v>
      </c>
      <c r="T17" s="1571" t="s">
        <v>8</v>
      </c>
      <c r="U17" s="1572">
        <f>H17</f>
        <v>100</v>
      </c>
      <c r="V17" s="1571" t="s">
        <v>8</v>
      </c>
      <c r="W17" s="1572">
        <f>J17</f>
        <v>100</v>
      </c>
      <c r="X17" s="1565"/>
      <c r="Y17" s="3397"/>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7"/>
      <c r="L18" s="2141"/>
      <c r="M18" s="2133"/>
      <c r="N18" s="2133"/>
      <c r="O18" s="2140"/>
      <c r="P18" s="3397"/>
      <c r="Q18" s="1570"/>
      <c r="R18" s="1571"/>
      <c r="S18" s="1572"/>
      <c r="T18" s="1571"/>
      <c r="U18" s="1572"/>
      <c r="V18" s="1571"/>
      <c r="W18" s="1572"/>
      <c r="X18" s="1565"/>
      <c r="Y18" s="3397"/>
      <c r="Z18" s="1573"/>
      <c r="AA18" s="1574">
        <v>1</v>
      </c>
      <c r="AB18" s="1574">
        <v>1</v>
      </c>
      <c r="AC18" s="1574">
        <v>1</v>
      </c>
    </row>
    <row r="19" spans="1:29" ht="41.4">
      <c r="A19" s="531"/>
      <c r="B19" s="2599" t="s">
        <v>2508</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6"/>
      <c r="L19" s="2141"/>
      <c r="M19" s="2133"/>
      <c r="N19" s="2133"/>
      <c r="O19" s="2140"/>
      <c r="P19" s="3397"/>
      <c r="Q19" s="1570" t="str">
        <f>B19</f>
        <v>公共配套设施</v>
      </c>
      <c r="R19" s="1571" t="s">
        <v>8</v>
      </c>
      <c r="S19" s="1572">
        <f>F19</f>
        <v>100</v>
      </c>
      <c r="T19" s="1571" t="s">
        <v>8</v>
      </c>
      <c r="U19" s="1572">
        <f>H19</f>
        <v>100</v>
      </c>
      <c r="V19" s="1571" t="s">
        <v>8</v>
      </c>
      <c r="W19" s="1572">
        <f>J19</f>
        <v>100</v>
      </c>
      <c r="X19" s="1565"/>
      <c r="Y19" s="3397"/>
      <c r="Z19" s="1573" t="str">
        <f>Q19</f>
        <v>公共配套设施</v>
      </c>
      <c r="AA19" s="1574">
        <f t="shared" si="3"/>
        <v>1</v>
      </c>
      <c r="AB19" s="1574">
        <f t="shared" si="4"/>
        <v>1</v>
      </c>
      <c r="AC19" s="1574">
        <f t="shared" si="5"/>
        <v>1</v>
      </c>
    </row>
    <row r="20" spans="1:29" ht="15">
      <c r="A20" s="531"/>
      <c r="B20" s="594"/>
      <c r="C20" s="575"/>
      <c r="D20" s="554"/>
      <c r="E20" s="555"/>
      <c r="F20" s="556"/>
      <c r="G20" s="557"/>
      <c r="H20" s="554"/>
      <c r="I20" s="555"/>
      <c r="J20" s="554"/>
      <c r="K20" s="897"/>
      <c r="L20" s="2141"/>
      <c r="M20" s="2133"/>
      <c r="N20" s="2133"/>
      <c r="O20" s="2140"/>
      <c r="P20" s="3397"/>
      <c r="Q20" s="1570"/>
      <c r="R20" s="1571"/>
      <c r="S20" s="1572"/>
      <c r="T20" s="1571"/>
      <c r="U20" s="1572"/>
      <c r="V20" s="1571"/>
      <c r="W20" s="1572"/>
      <c r="X20" s="1565"/>
      <c r="Y20" s="3397"/>
      <c r="Z20" s="1573"/>
      <c r="AA20" s="1574">
        <v>1</v>
      </c>
      <c r="AB20" s="1574">
        <v>1</v>
      </c>
      <c r="AC20" s="1574">
        <v>1</v>
      </c>
    </row>
    <row r="21" spans="1:29" ht="41.4">
      <c r="A21" s="531"/>
      <c r="B21" s="2592" t="s">
        <v>2520</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6"/>
      <c r="L21" s="2141"/>
      <c r="M21" s="2133"/>
      <c r="N21" s="2133"/>
      <c r="O21" s="2140"/>
      <c r="P21" s="3397"/>
      <c r="Q21" s="2578" t="str">
        <f>B21</f>
        <v>基础设施水平</v>
      </c>
      <c r="R21" s="1571" t="s">
        <v>8</v>
      </c>
      <c r="S21" s="1572">
        <f>F21</f>
        <v>100</v>
      </c>
      <c r="T21" s="1571" t="s">
        <v>8</v>
      </c>
      <c r="U21" s="1572">
        <f>H21</f>
        <v>100</v>
      </c>
      <c r="V21" s="1571" t="s">
        <v>8</v>
      </c>
      <c r="W21" s="1572">
        <f>J21</f>
        <v>100</v>
      </c>
      <c r="X21" s="2580"/>
      <c r="Y21" s="3397"/>
      <c r="Z21" s="2579" t="str">
        <f>Q21</f>
        <v>基础设施水平</v>
      </c>
      <c r="AA21" s="1574">
        <f t="shared" ref="AA21" si="8">D21/F21</f>
        <v>1</v>
      </c>
      <c r="AB21" s="1574">
        <f t="shared" ref="AB21" si="9">D21/H21</f>
        <v>1</v>
      </c>
      <c r="AC21" s="1574">
        <f t="shared" ref="AC21" si="10">D21/J21</f>
        <v>1</v>
      </c>
    </row>
    <row r="22" spans="1:29" ht="15">
      <c r="A22" s="531"/>
      <c r="B22" s="920"/>
      <c r="C22" s="872"/>
      <c r="D22" s="554"/>
      <c r="E22" s="575"/>
      <c r="F22" s="556"/>
      <c r="G22" s="575"/>
      <c r="H22" s="554"/>
      <c r="I22" s="575"/>
      <c r="J22" s="554"/>
      <c r="K22" s="2601"/>
      <c r="L22" s="2141"/>
      <c r="M22" s="2133"/>
      <c r="N22" s="2133"/>
      <c r="O22" s="2140"/>
      <c r="P22" s="3397"/>
      <c r="Q22" s="2578"/>
      <c r="R22" s="1571"/>
      <c r="S22" s="1572"/>
      <c r="T22" s="1571"/>
      <c r="U22" s="1572"/>
      <c r="V22" s="1571"/>
      <c r="W22" s="1572"/>
      <c r="X22" s="2580"/>
      <c r="Y22" s="3397"/>
      <c r="Z22" s="2579"/>
      <c r="AA22" s="1574">
        <v>1</v>
      </c>
      <c r="AB22" s="1574">
        <v>1</v>
      </c>
      <c r="AC22" s="1574">
        <v>1</v>
      </c>
    </row>
    <row r="23" spans="1:29" ht="55.2">
      <c r="A23" s="531"/>
      <c r="B23" s="870" t="s">
        <v>262</v>
      </c>
      <c r="C23" s="898"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6"/>
      <c r="L23" s="2141"/>
      <c r="M23" s="2133"/>
      <c r="N23" s="2133"/>
      <c r="O23" s="2140"/>
      <c r="P23" s="3397"/>
      <c r="Q23" s="1570" t="str">
        <f>B23</f>
        <v>自然及人文环境</v>
      </c>
      <c r="R23" s="1571" t="s">
        <v>8</v>
      </c>
      <c r="S23" s="1572">
        <f>F23</f>
        <v>100</v>
      </c>
      <c r="T23" s="1571" t="s">
        <v>8</v>
      </c>
      <c r="U23" s="1572">
        <f>H23</f>
        <v>100</v>
      </c>
      <c r="V23" s="1571" t="s">
        <v>8</v>
      </c>
      <c r="W23" s="1572">
        <f>J23</f>
        <v>100</v>
      </c>
      <c r="X23" s="1565"/>
      <c r="Y23" s="3397"/>
      <c r="Z23" s="1573" t="str">
        <f>Q23</f>
        <v>自然及人文环境</v>
      </c>
      <c r="AA23" s="1574">
        <f t="shared" si="3"/>
        <v>1</v>
      </c>
      <c r="AB23" s="1574">
        <f t="shared" si="4"/>
        <v>1</v>
      </c>
      <c r="AC23" s="1574">
        <f t="shared" si="5"/>
        <v>1</v>
      </c>
    </row>
    <row r="24" spans="1:29" ht="15">
      <c r="A24" s="531"/>
      <c r="B24" s="594"/>
      <c r="C24" s="575"/>
      <c r="D24" s="554"/>
      <c r="E24" s="555"/>
      <c r="F24" s="556"/>
      <c r="G24" s="557"/>
      <c r="H24" s="554"/>
      <c r="I24" s="555"/>
      <c r="J24" s="554"/>
      <c r="K24" s="897"/>
      <c r="L24" s="2141"/>
      <c r="M24" s="2133"/>
      <c r="N24" s="2133"/>
      <c r="O24" s="2140"/>
      <c r="P24" s="3397"/>
      <c r="Q24" s="1570"/>
      <c r="R24" s="1571"/>
      <c r="S24" s="1572"/>
      <c r="T24" s="1571"/>
      <c r="U24" s="1572"/>
      <c r="V24" s="1571"/>
      <c r="W24" s="1572"/>
      <c r="X24" s="1565"/>
      <c r="Y24" s="3397"/>
      <c r="Z24" s="1573"/>
      <c r="AA24" s="1574">
        <v>1</v>
      </c>
      <c r="AB24" s="1574">
        <v>1</v>
      </c>
      <c r="AC24" s="1574">
        <v>1</v>
      </c>
    </row>
    <row r="25" spans="1:29" ht="15">
      <c r="A25" s="531"/>
      <c r="B25" s="526" t="s">
        <v>512</v>
      </c>
      <c r="C25" s="582"/>
      <c r="D25" s="539">
        <v>100</v>
      </c>
      <c r="E25" s="582"/>
      <c r="F25" s="574">
        <f>SUMIF(86:86,E25,87:87)-SUMIF(86:86,C25,87:87)+100</f>
        <v>100</v>
      </c>
      <c r="G25" s="582"/>
      <c r="H25" s="539">
        <f>SUMIF(86:86,G25,87:87)-SUMIF(86:86,C25,87:87)+100</f>
        <v>100</v>
      </c>
      <c r="I25" s="582"/>
      <c r="J25" s="539">
        <f>SUMIF(86:86,I25,87:87)-SUMIF(86:86,C25,87:87)+100</f>
        <v>100</v>
      </c>
      <c r="K25" s="583"/>
      <c r="L25" s="2141"/>
      <c r="M25" s="2133"/>
      <c r="N25" s="2133"/>
      <c r="O25" s="2140"/>
      <c r="P25" s="3397"/>
      <c r="Q25" s="1570" t="str">
        <f t="shared" ref="Q25:Q46" si="11">B25</f>
        <v>临街状况</v>
      </c>
      <c r="R25" s="1571" t="s">
        <v>8</v>
      </c>
      <c r="S25" s="1572">
        <f>F25</f>
        <v>100</v>
      </c>
      <c r="T25" s="1571" t="s">
        <v>8</v>
      </c>
      <c r="U25" s="1572">
        <f>H25</f>
        <v>100</v>
      </c>
      <c r="V25" s="1571" t="s">
        <v>8</v>
      </c>
      <c r="W25" s="1572">
        <f>J25</f>
        <v>100</v>
      </c>
      <c r="X25" s="1565"/>
      <c r="Y25" s="3397"/>
      <c r="Z25" s="1573" t="str">
        <f>Q25</f>
        <v>临街状况</v>
      </c>
      <c r="AA25" s="1574">
        <f t="shared" si="3"/>
        <v>1</v>
      </c>
      <c r="AB25" s="1574">
        <f t="shared" si="4"/>
        <v>1</v>
      </c>
      <c r="AC25" s="1574">
        <f t="shared" si="5"/>
        <v>1</v>
      </c>
    </row>
    <row r="26" spans="1:29" ht="15">
      <c r="A26" s="531"/>
      <c r="B26" s="876" t="s">
        <v>723</v>
      </c>
      <c r="C26" s="538"/>
      <c r="D26" s="539">
        <v>100</v>
      </c>
      <c r="E26" s="538"/>
      <c r="F26" s="574">
        <f>SUMIF(88:88,E26,89:89)-SUMIF(88:88,C26,89:89)+100</f>
        <v>100</v>
      </c>
      <c r="G26" s="538"/>
      <c r="H26" s="539">
        <f>SUMIF(88:88,G26,89:89)-SUMIF(88:88,C26,89:89)+100</f>
        <v>100</v>
      </c>
      <c r="I26" s="538"/>
      <c r="J26" s="539">
        <f>SUMIF(88:88,I26,89:89)-SUMIF(88:88,C26,89:89)+100</f>
        <v>100</v>
      </c>
      <c r="K26" s="580"/>
      <c r="L26" s="2141"/>
      <c r="M26" s="2133"/>
      <c r="N26" s="2133"/>
      <c r="O26" s="2140"/>
      <c r="P26" s="3397"/>
      <c r="Q26" s="1570" t="str">
        <f t="shared" si="11"/>
        <v>平面位置/可视性</v>
      </c>
      <c r="R26" s="1571" t="s">
        <v>8</v>
      </c>
      <c r="S26" s="1572">
        <f>F26</f>
        <v>100</v>
      </c>
      <c r="T26" s="1571" t="s">
        <v>8</v>
      </c>
      <c r="U26" s="1572">
        <f>H26</f>
        <v>100</v>
      </c>
      <c r="V26" s="1571" t="s">
        <v>8</v>
      </c>
      <c r="W26" s="1572">
        <f>J26</f>
        <v>100</v>
      </c>
      <c r="X26" s="1565"/>
      <c r="Y26" s="3397"/>
      <c r="Z26" s="1573" t="str">
        <f>Q26</f>
        <v>平面位置/可视性</v>
      </c>
      <c r="AA26" s="1574">
        <f t="shared" si="3"/>
        <v>1</v>
      </c>
      <c r="AB26" s="1574">
        <f t="shared" si="4"/>
        <v>1</v>
      </c>
      <c r="AC26" s="1574">
        <f t="shared" si="5"/>
        <v>1</v>
      </c>
    </row>
    <row r="27" spans="1:29" s="1218" customFormat="1" ht="15">
      <c r="A27" s="535"/>
      <c r="B27" s="870" t="s">
        <v>724</v>
      </c>
      <c r="C27" s="899"/>
      <c r="D27" s="874">
        <v>100</v>
      </c>
      <c r="E27" s="899"/>
      <c r="F27" s="875">
        <f>SUMIF(90:90,E27,91:91)-SUMIF(90:90,C27,91:91)+100</f>
        <v>100</v>
      </c>
      <c r="G27" s="899"/>
      <c r="H27" s="874">
        <f>SUMIF(90:90,G27,91:91)-SUMIF(90:90,C27,91:91)+100</f>
        <v>100</v>
      </c>
      <c r="I27" s="899"/>
      <c r="J27" s="874">
        <f>SUMIF(90:90,I27,91:91)-SUMIF(90:90,C27,91:91)+100</f>
        <v>100</v>
      </c>
      <c r="K27" s="583"/>
      <c r="L27" s="2134"/>
      <c r="M27" s="2135"/>
      <c r="N27" s="2135"/>
      <c r="O27" s="2136"/>
      <c r="P27" s="3397"/>
      <c r="Q27" s="1149" t="str">
        <f t="shared" si="11"/>
        <v>人流量</v>
      </c>
      <c r="R27" s="1566" t="s">
        <v>8</v>
      </c>
      <c r="S27" s="1567">
        <f>F27</f>
        <v>100</v>
      </c>
      <c r="T27" s="1566" t="s">
        <v>8</v>
      </c>
      <c r="U27" s="1567">
        <f>H27</f>
        <v>100</v>
      </c>
      <c r="V27" s="1566" t="s">
        <v>8</v>
      </c>
      <c r="W27" s="1567">
        <f>J27</f>
        <v>100</v>
      </c>
      <c r="X27" s="1568"/>
      <c r="Y27" s="3397"/>
      <c r="Z27" s="1148" t="str">
        <f>Q27</f>
        <v>人流量</v>
      </c>
      <c r="AA27" s="1574">
        <f>D27/F27</f>
        <v>1</v>
      </c>
      <c r="AB27" s="1574">
        <f>D27/H27</f>
        <v>1</v>
      </c>
      <c r="AC27" s="1574">
        <f>D27/J27</f>
        <v>1</v>
      </c>
    </row>
    <row r="28" spans="1:29" ht="15">
      <c r="A28" s="531"/>
      <c r="B28" s="526" t="s">
        <v>726</v>
      </c>
      <c r="C28" s="582"/>
      <c r="D28" s="539">
        <v>100</v>
      </c>
      <c r="E28" s="582"/>
      <c r="F28" s="574">
        <f>SUMIF(92:92,E28,93:93)-SUMIF(92:92,C28,93:93)+100</f>
        <v>100</v>
      </c>
      <c r="G28" s="582"/>
      <c r="H28" s="539">
        <f>SUMIF(92:92,G28,93:93)-SUMIF(92:92,C28,93:93)+100</f>
        <v>100</v>
      </c>
      <c r="I28" s="582"/>
      <c r="J28" s="539">
        <f>SUMIF(92:92,I28,93:93)-SUMIF(92:92,C28,93:93)+100</f>
        <v>100</v>
      </c>
      <c r="K28" s="580"/>
      <c r="L28" s="2141"/>
      <c r="M28" s="2133"/>
      <c r="N28" s="2133"/>
      <c r="O28" s="2140"/>
      <c r="P28" s="3397"/>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397"/>
      <c r="Z28" s="1573" t="str">
        <f t="shared" ref="Z28:Z46" si="15">Q28</f>
        <v>楼层</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1"/>
      <c r="M29" s="2133"/>
      <c r="N29" s="2133"/>
      <c r="O29" s="2140"/>
      <c r="P29" s="3397"/>
      <c r="Q29" s="1570">
        <f t="shared" si="11"/>
        <v>111</v>
      </c>
      <c r="R29" s="1571" t="s">
        <v>8</v>
      </c>
      <c r="S29" s="1572">
        <f t="shared" si="12"/>
        <v>100</v>
      </c>
      <c r="T29" s="1571" t="s">
        <v>8</v>
      </c>
      <c r="U29" s="1572">
        <f t="shared" si="13"/>
        <v>100</v>
      </c>
      <c r="V29" s="1571" t="s">
        <v>8</v>
      </c>
      <c r="W29" s="1572">
        <f t="shared" si="14"/>
        <v>100</v>
      </c>
      <c r="X29" s="1565"/>
      <c r="Y29" s="3397"/>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1"/>
      <c r="M30" s="2133"/>
      <c r="N30" s="2133"/>
      <c r="O30" s="2140"/>
      <c r="P30" s="3397"/>
      <c r="Q30" s="1570">
        <f t="shared" si="11"/>
        <v>111</v>
      </c>
      <c r="R30" s="1571" t="s">
        <v>8</v>
      </c>
      <c r="S30" s="1572">
        <f t="shared" si="12"/>
        <v>100</v>
      </c>
      <c r="T30" s="1571" t="s">
        <v>8</v>
      </c>
      <c r="U30" s="1572">
        <f t="shared" si="13"/>
        <v>100</v>
      </c>
      <c r="V30" s="1571" t="s">
        <v>8</v>
      </c>
      <c r="W30" s="1572">
        <f t="shared" si="14"/>
        <v>100</v>
      </c>
      <c r="X30" s="1565"/>
      <c r="Y30" s="3397"/>
      <c r="Z30" s="1573">
        <f t="shared" si="15"/>
        <v>111</v>
      </c>
      <c r="AA30" s="1574">
        <f t="shared" si="3"/>
        <v>1</v>
      </c>
      <c r="AB30" s="1574">
        <f t="shared" si="4"/>
        <v>1</v>
      </c>
      <c r="AC30" s="1574">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1"/>
      <c r="M31" s="2133"/>
      <c r="N31" s="2133"/>
      <c r="O31" s="2140"/>
      <c r="P31" s="3397"/>
      <c r="Q31" s="1570">
        <f t="shared" si="11"/>
        <v>111</v>
      </c>
      <c r="R31" s="1571" t="s">
        <v>8</v>
      </c>
      <c r="S31" s="1572">
        <f t="shared" si="12"/>
        <v>100</v>
      </c>
      <c r="T31" s="1571" t="s">
        <v>8</v>
      </c>
      <c r="U31" s="1572">
        <f t="shared" si="13"/>
        <v>100</v>
      </c>
      <c r="V31" s="1571" t="s">
        <v>8</v>
      </c>
      <c r="W31" s="1572">
        <f t="shared" si="14"/>
        <v>100</v>
      </c>
      <c r="X31" s="1565"/>
      <c r="Y31" s="3397"/>
      <c r="Z31" s="1573">
        <f t="shared" si="15"/>
        <v>111</v>
      </c>
      <c r="AA31" s="1574">
        <f t="shared" si="3"/>
        <v>1</v>
      </c>
      <c r="AB31" s="1574">
        <f t="shared" si="4"/>
        <v>1</v>
      </c>
      <c r="AC31" s="1574">
        <f t="shared" si="5"/>
        <v>1</v>
      </c>
    </row>
    <row r="32" spans="1:29" ht="15">
      <c r="A32" s="2906" t="s">
        <v>2717</v>
      </c>
      <c r="B32" s="171" t="s">
        <v>727</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1"/>
      <c r="M32" s="2133"/>
      <c r="N32" s="2133"/>
      <c r="O32" s="2140"/>
      <c r="P32" s="3398" t="s">
        <v>515</v>
      </c>
      <c r="Q32" s="1570" t="str">
        <f t="shared" si="11"/>
        <v>商业类型</v>
      </c>
      <c r="R32" s="1571" t="s">
        <v>8</v>
      </c>
      <c r="S32" s="1572">
        <f t="shared" si="12"/>
        <v>100</v>
      </c>
      <c r="T32" s="1571" t="s">
        <v>8</v>
      </c>
      <c r="U32" s="1572">
        <f t="shared" si="13"/>
        <v>100</v>
      </c>
      <c r="V32" s="1571" t="s">
        <v>8</v>
      </c>
      <c r="W32" s="1572">
        <f t="shared" si="14"/>
        <v>100</v>
      </c>
      <c r="X32" s="1565"/>
      <c r="Y32" s="3399" t="s">
        <v>515</v>
      </c>
      <c r="Z32" s="1573" t="str">
        <f t="shared" si="15"/>
        <v>商业类型</v>
      </c>
      <c r="AA32" s="1574">
        <f t="shared" si="3"/>
        <v>1</v>
      </c>
      <c r="AB32" s="1574">
        <f t="shared" si="4"/>
        <v>1</v>
      </c>
      <c r="AC32" s="1574">
        <f t="shared" si="5"/>
        <v>1</v>
      </c>
    </row>
    <row r="33" spans="1:29" s="1337" customFormat="1" ht="15">
      <c r="A33" s="602"/>
      <c r="B33" s="526" t="s">
        <v>691</v>
      </c>
      <c r="C33" s="878"/>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9"/>
      <c r="M33" s="2170"/>
      <c r="N33" s="2170"/>
      <c r="O33" s="2142"/>
      <c r="P33" s="3399"/>
      <c r="Q33" s="1603" t="str">
        <f t="shared" si="11"/>
        <v>项目建筑规模</v>
      </c>
      <c r="R33" s="1575" t="s">
        <v>8</v>
      </c>
      <c r="S33" s="1576" t="e">
        <f t="shared" si="12"/>
        <v>#N/A</v>
      </c>
      <c r="T33" s="1575" t="s">
        <v>8</v>
      </c>
      <c r="U33" s="1576" t="e">
        <f t="shared" si="13"/>
        <v>#N/A</v>
      </c>
      <c r="V33" s="1575" t="s">
        <v>8</v>
      </c>
      <c r="W33" s="1576" t="e">
        <f t="shared" si="14"/>
        <v>#N/A</v>
      </c>
      <c r="X33" s="1577"/>
      <c r="Y33" s="3399"/>
      <c r="Z33" s="1578" t="str">
        <f t="shared" si="15"/>
        <v>项目建筑规模</v>
      </c>
      <c r="AA33" s="1574" t="e">
        <f t="shared" si="3"/>
        <v>#N/A</v>
      </c>
      <c r="AB33" s="1574" t="e">
        <f t="shared" si="4"/>
        <v>#N/A</v>
      </c>
      <c r="AC33" s="1574" t="e">
        <f t="shared" si="5"/>
        <v>#N/A</v>
      </c>
    </row>
    <row r="34" spans="1:29" ht="15">
      <c r="A34" s="593"/>
      <c r="B34" s="526" t="s">
        <v>692</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41"/>
      <c r="M34" s="2133"/>
      <c r="N34" s="2133"/>
      <c r="O34" s="2140"/>
      <c r="P34" s="3399"/>
      <c r="Q34" s="1570" t="str">
        <f t="shared" si="11"/>
        <v>建筑结构</v>
      </c>
      <c r="R34" s="1571" t="s">
        <v>8</v>
      </c>
      <c r="S34" s="1572">
        <f t="shared" si="12"/>
        <v>100</v>
      </c>
      <c r="T34" s="1571" t="s">
        <v>8</v>
      </c>
      <c r="U34" s="1572">
        <f t="shared" si="13"/>
        <v>100</v>
      </c>
      <c r="V34" s="1571" t="s">
        <v>8</v>
      </c>
      <c r="W34" s="1572">
        <f t="shared" si="14"/>
        <v>100</v>
      </c>
      <c r="X34" s="1565"/>
      <c r="Y34" s="3399"/>
      <c r="Z34" s="1573" t="str">
        <f t="shared" si="15"/>
        <v>建筑结构</v>
      </c>
      <c r="AA34" s="1574">
        <f t="shared" si="3"/>
        <v>1</v>
      </c>
      <c r="AB34" s="1574">
        <f t="shared" si="4"/>
        <v>1</v>
      </c>
      <c r="AC34" s="1574">
        <f t="shared" si="5"/>
        <v>1</v>
      </c>
    </row>
    <row r="35" spans="1:29" ht="15">
      <c r="A35" s="593"/>
      <c r="B35" s="526" t="s">
        <v>728</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1"/>
      <c r="M35" s="2133"/>
      <c r="N35" s="2133"/>
      <c r="O35" s="2140"/>
      <c r="P35" s="3399"/>
      <c r="Q35" s="1570" t="str">
        <f t="shared" si="11"/>
        <v>公共部分装修</v>
      </c>
      <c r="R35" s="1571" t="s">
        <v>8</v>
      </c>
      <c r="S35" s="1572">
        <f t="shared" si="12"/>
        <v>100</v>
      </c>
      <c r="T35" s="1571" t="s">
        <v>8</v>
      </c>
      <c r="U35" s="1572">
        <f t="shared" si="13"/>
        <v>100</v>
      </c>
      <c r="V35" s="1571" t="s">
        <v>8</v>
      </c>
      <c r="W35" s="1572">
        <f t="shared" si="14"/>
        <v>100</v>
      </c>
      <c r="X35" s="1565"/>
      <c r="Y35" s="3399"/>
      <c r="Z35" s="1573" t="str">
        <f t="shared" si="15"/>
        <v>公共部分装修</v>
      </c>
      <c r="AA35" s="1574">
        <f t="shared" si="3"/>
        <v>1</v>
      </c>
      <c r="AB35" s="1574">
        <f t="shared" si="4"/>
        <v>1</v>
      </c>
      <c r="AC35" s="1574">
        <f t="shared" si="5"/>
        <v>1</v>
      </c>
    </row>
    <row r="36" spans="1:29" ht="15">
      <c r="A36" s="593"/>
      <c r="B36" s="526" t="s">
        <v>729</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41"/>
      <c r="M36" s="2133"/>
      <c r="N36" s="2133"/>
      <c r="O36" s="2140"/>
      <c r="P36" s="3399"/>
      <c r="Q36" s="1570" t="str">
        <f t="shared" si="11"/>
        <v>成新度</v>
      </c>
      <c r="R36" s="1571" t="s">
        <v>8</v>
      </c>
      <c r="S36" s="1572" t="e">
        <f t="shared" si="12"/>
        <v>#N/A</v>
      </c>
      <c r="T36" s="1571" t="s">
        <v>8</v>
      </c>
      <c r="U36" s="1572" t="e">
        <f t="shared" si="13"/>
        <v>#N/A</v>
      </c>
      <c r="V36" s="1571" t="s">
        <v>8</v>
      </c>
      <c r="W36" s="1572" t="e">
        <f t="shared" si="14"/>
        <v>#N/A</v>
      </c>
      <c r="X36" s="1565"/>
      <c r="Y36" s="3399"/>
      <c r="Z36" s="1573" t="str">
        <f t="shared" si="15"/>
        <v>成新度</v>
      </c>
      <c r="AA36" s="1574" t="e">
        <f t="shared" si="3"/>
        <v>#N/A</v>
      </c>
      <c r="AB36" s="1574" t="e">
        <f t="shared" si="4"/>
        <v>#N/A</v>
      </c>
      <c r="AC36" s="1574" t="e">
        <f t="shared" si="5"/>
        <v>#N/A</v>
      </c>
    </row>
    <row r="37" spans="1:29" s="1218" customFormat="1" ht="15">
      <c r="A37" s="599"/>
      <c r="B37" s="1894" t="s">
        <v>2527</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4"/>
      <c r="M37" s="2135"/>
      <c r="N37" s="2135"/>
      <c r="O37" s="2136"/>
      <c r="P37" s="3399"/>
      <c r="Q37" s="1149" t="str">
        <f t="shared" si="11"/>
        <v>市政基础设施</v>
      </c>
      <c r="R37" s="1566" t="s">
        <v>8</v>
      </c>
      <c r="S37" s="1567">
        <f t="shared" si="12"/>
        <v>100</v>
      </c>
      <c r="T37" s="1566" t="s">
        <v>8</v>
      </c>
      <c r="U37" s="1567">
        <f t="shared" si="13"/>
        <v>100</v>
      </c>
      <c r="V37" s="1566" t="s">
        <v>8</v>
      </c>
      <c r="W37" s="1567">
        <f t="shared" si="14"/>
        <v>100</v>
      </c>
      <c r="X37" s="1568"/>
      <c r="Y37" s="3399"/>
      <c r="Z37" s="1148" t="str">
        <f t="shared" si="15"/>
        <v>市政基础设施</v>
      </c>
      <c r="AA37" s="1569">
        <f t="shared" si="3"/>
        <v>1</v>
      </c>
      <c r="AB37" s="1569">
        <f t="shared" si="4"/>
        <v>1</v>
      </c>
      <c r="AC37" s="1569">
        <f t="shared" si="5"/>
        <v>1</v>
      </c>
    </row>
    <row r="38" spans="1:29" ht="15">
      <c r="A38" s="593"/>
      <c r="B38" s="526" t="s">
        <v>730</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1"/>
      <c r="M38" s="2133"/>
      <c r="N38" s="2133"/>
      <c r="O38" s="2140"/>
      <c r="P38" s="3399" t="s">
        <v>731</v>
      </c>
      <c r="Q38" s="1570" t="str">
        <f t="shared" si="11"/>
        <v>业态</v>
      </c>
      <c r="R38" s="1571" t="s">
        <v>8</v>
      </c>
      <c r="S38" s="1572">
        <f t="shared" si="12"/>
        <v>100</v>
      </c>
      <c r="T38" s="1571" t="s">
        <v>8</v>
      </c>
      <c r="U38" s="1572">
        <f t="shared" si="13"/>
        <v>100</v>
      </c>
      <c r="V38" s="1571" t="s">
        <v>8</v>
      </c>
      <c r="W38" s="1572">
        <f t="shared" si="14"/>
        <v>100</v>
      </c>
      <c r="X38" s="1565"/>
      <c r="Y38" s="3399" t="s">
        <v>731</v>
      </c>
      <c r="Z38" s="1573" t="str">
        <f t="shared" si="15"/>
        <v>业态</v>
      </c>
      <c r="AA38" s="1574">
        <f t="shared" si="3"/>
        <v>1</v>
      </c>
      <c r="AB38" s="1574">
        <f t="shared" si="4"/>
        <v>1</v>
      </c>
      <c r="AC38" s="1574">
        <f t="shared" si="5"/>
        <v>1</v>
      </c>
    </row>
    <row r="39" spans="1:29" ht="15">
      <c r="A39" s="593"/>
      <c r="B39" s="526" t="s">
        <v>732</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1"/>
      <c r="M39" s="2133"/>
      <c r="N39" s="2133"/>
      <c r="O39" s="2140"/>
      <c r="P39" s="3399"/>
      <c r="Q39" s="1570" t="str">
        <f t="shared" si="11"/>
        <v>层高</v>
      </c>
      <c r="R39" s="1571" t="s">
        <v>8</v>
      </c>
      <c r="S39" s="1572">
        <f t="shared" si="12"/>
        <v>100</v>
      </c>
      <c r="T39" s="1571" t="s">
        <v>8</v>
      </c>
      <c r="U39" s="1572">
        <f t="shared" si="13"/>
        <v>100</v>
      </c>
      <c r="V39" s="1571" t="s">
        <v>8</v>
      </c>
      <c r="W39" s="1572">
        <f t="shared" si="14"/>
        <v>100</v>
      </c>
      <c r="X39" s="1565"/>
      <c r="Y39" s="3399"/>
      <c r="Z39" s="1573" t="str">
        <f t="shared" si="15"/>
        <v>层高</v>
      </c>
      <c r="AA39" s="1574">
        <f t="shared" si="3"/>
        <v>1</v>
      </c>
      <c r="AB39" s="1574">
        <f t="shared" si="4"/>
        <v>1</v>
      </c>
      <c r="AC39" s="1574">
        <f t="shared" si="5"/>
        <v>1</v>
      </c>
    </row>
    <row r="40" spans="1:29" ht="15">
      <c r="A40" s="593"/>
      <c r="B40" s="526" t="s">
        <v>733</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1"/>
      <c r="M40" s="2133"/>
      <c r="N40" s="2133"/>
      <c r="O40" s="2140"/>
      <c r="P40" s="3399"/>
      <c r="Q40" s="1570" t="str">
        <f t="shared" si="11"/>
        <v>单套建筑面积</v>
      </c>
      <c r="R40" s="1571" t="s">
        <v>8</v>
      </c>
      <c r="S40" s="1572">
        <f t="shared" si="12"/>
        <v>100</v>
      </c>
      <c r="T40" s="1571" t="s">
        <v>8</v>
      </c>
      <c r="U40" s="1572">
        <f t="shared" si="13"/>
        <v>100</v>
      </c>
      <c r="V40" s="1571" t="s">
        <v>8</v>
      </c>
      <c r="W40" s="1572">
        <f t="shared" si="14"/>
        <v>100</v>
      </c>
      <c r="X40" s="1565"/>
      <c r="Y40" s="3399"/>
      <c r="Z40" s="1573" t="str">
        <f t="shared" si="15"/>
        <v>单套建筑面积</v>
      </c>
      <c r="AA40" s="1574">
        <f t="shared" si="3"/>
        <v>1</v>
      </c>
      <c r="AB40" s="1574">
        <f t="shared" si="4"/>
        <v>1</v>
      </c>
      <c r="AC40" s="1574">
        <f t="shared" si="5"/>
        <v>1</v>
      </c>
    </row>
    <row r="41" spans="1:29" s="1337" customFormat="1" ht="15">
      <c r="A41" s="602"/>
      <c r="B41" s="902" t="s">
        <v>734</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9"/>
      <c r="M41" s="2170"/>
      <c r="N41" s="2170"/>
      <c r="O41" s="2142"/>
      <c r="P41" s="3399"/>
      <c r="Q41" s="1603" t="str">
        <f t="shared" si="11"/>
        <v>进深比</v>
      </c>
      <c r="R41" s="1575" t="s">
        <v>8</v>
      </c>
      <c r="S41" s="1576">
        <f t="shared" si="12"/>
        <v>100</v>
      </c>
      <c r="T41" s="1575" t="s">
        <v>8</v>
      </c>
      <c r="U41" s="1576">
        <f t="shared" si="13"/>
        <v>100</v>
      </c>
      <c r="V41" s="1575" t="s">
        <v>8</v>
      </c>
      <c r="W41" s="1576">
        <f t="shared" si="14"/>
        <v>100</v>
      </c>
      <c r="X41" s="1577"/>
      <c r="Y41" s="3399"/>
      <c r="Z41" s="1578" t="str">
        <f t="shared" si="15"/>
        <v>进深比</v>
      </c>
      <c r="AA41" s="1574">
        <f t="shared" si="3"/>
        <v>1</v>
      </c>
      <c r="AB41" s="1574">
        <f t="shared" si="4"/>
        <v>1</v>
      </c>
      <c r="AC41" s="1574">
        <f t="shared" si="5"/>
        <v>1</v>
      </c>
    </row>
    <row r="42" spans="1:29" ht="15">
      <c r="A42" s="593"/>
      <c r="B42" s="526" t="s">
        <v>735</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1"/>
      <c r="M42" s="2133"/>
      <c r="N42" s="2133"/>
      <c r="O42" s="2140"/>
      <c r="P42" s="3399"/>
      <c r="Q42" s="1570" t="str">
        <f t="shared" si="11"/>
        <v>内部装修</v>
      </c>
      <c r="R42" s="1571" t="s">
        <v>8</v>
      </c>
      <c r="S42" s="1572">
        <f t="shared" si="12"/>
        <v>100</v>
      </c>
      <c r="T42" s="1571" t="s">
        <v>8</v>
      </c>
      <c r="U42" s="1572">
        <f t="shared" si="13"/>
        <v>100</v>
      </c>
      <c r="V42" s="1571" t="s">
        <v>8</v>
      </c>
      <c r="W42" s="1572">
        <f t="shared" si="14"/>
        <v>100</v>
      </c>
      <c r="X42" s="1565"/>
      <c r="Y42" s="3399"/>
      <c r="Z42" s="1573" t="str">
        <f t="shared" si="15"/>
        <v>内部装修</v>
      </c>
      <c r="AA42" s="1574">
        <f t="shared" si="3"/>
        <v>1</v>
      </c>
      <c r="AB42" s="1574">
        <f t="shared" si="4"/>
        <v>1</v>
      </c>
      <c r="AC42" s="1574">
        <f t="shared" si="5"/>
        <v>1</v>
      </c>
    </row>
    <row r="43" spans="1:29" ht="28.8">
      <c r="A43" s="593"/>
      <c r="B43" s="526" t="s">
        <v>700</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1"/>
      <c r="M43" s="2133"/>
      <c r="N43" s="2133"/>
      <c r="O43" s="2140"/>
      <c r="P43" s="3399"/>
      <c r="Q43" s="1570" t="str">
        <f t="shared" si="11"/>
        <v>内部装修维护情况</v>
      </c>
      <c r="R43" s="1571" t="s">
        <v>8</v>
      </c>
      <c r="S43" s="1572">
        <f t="shared" si="12"/>
        <v>100</v>
      </c>
      <c r="T43" s="1571" t="s">
        <v>8</v>
      </c>
      <c r="U43" s="1572">
        <f t="shared" si="13"/>
        <v>100</v>
      </c>
      <c r="V43" s="1571" t="s">
        <v>8</v>
      </c>
      <c r="W43" s="1572">
        <f t="shared" si="14"/>
        <v>100</v>
      </c>
      <c r="X43" s="1565"/>
      <c r="Y43" s="3399"/>
      <c r="Z43" s="1573" t="str">
        <f t="shared" si="15"/>
        <v>内部装修维护情况</v>
      </c>
      <c r="AA43" s="1574">
        <f t="shared" si="3"/>
        <v>1</v>
      </c>
      <c r="AB43" s="1574">
        <f t="shared" si="4"/>
        <v>1</v>
      </c>
      <c r="AC43" s="1574">
        <f t="shared" si="5"/>
        <v>1</v>
      </c>
    </row>
    <row r="44" spans="1:29" s="1218" customFormat="1" ht="15">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4"/>
      <c r="M44" s="2135"/>
      <c r="N44" s="2135"/>
      <c r="O44" s="2136"/>
      <c r="P44" s="3399"/>
      <c r="Q44" s="1149">
        <f t="shared" si="11"/>
        <v>111</v>
      </c>
      <c r="R44" s="1566" t="s">
        <v>8</v>
      </c>
      <c r="S44" s="1567">
        <f t="shared" si="12"/>
        <v>100</v>
      </c>
      <c r="T44" s="1566" t="s">
        <v>8</v>
      </c>
      <c r="U44" s="1567">
        <f t="shared" si="13"/>
        <v>100</v>
      </c>
      <c r="V44" s="1566" t="s">
        <v>8</v>
      </c>
      <c r="W44" s="1567">
        <f t="shared" si="14"/>
        <v>100</v>
      </c>
      <c r="X44" s="1568"/>
      <c r="Y44" s="3399"/>
      <c r="Z44" s="1148">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1"/>
      <c r="M45" s="2133"/>
      <c r="N45" s="2133"/>
      <c r="O45" s="2140"/>
      <c r="P45" s="3399"/>
      <c r="Q45" s="1570">
        <f t="shared" si="11"/>
        <v>111</v>
      </c>
      <c r="R45" s="1571" t="s">
        <v>8</v>
      </c>
      <c r="S45" s="1572">
        <f t="shared" si="12"/>
        <v>100</v>
      </c>
      <c r="T45" s="1571" t="s">
        <v>8</v>
      </c>
      <c r="U45" s="1572">
        <f t="shared" si="13"/>
        <v>100</v>
      </c>
      <c r="V45" s="1571" t="s">
        <v>8</v>
      </c>
      <c r="W45" s="1572">
        <f t="shared" si="14"/>
        <v>100</v>
      </c>
      <c r="X45" s="1565"/>
      <c r="Y45" s="3399"/>
      <c r="Z45" s="1573">
        <f t="shared" si="15"/>
        <v>111</v>
      </c>
      <c r="AA45" s="1574">
        <f t="shared" si="3"/>
        <v>1</v>
      </c>
      <c r="AB45" s="1574">
        <f t="shared" si="4"/>
        <v>1</v>
      </c>
      <c r="AC45" s="1574">
        <f t="shared" si="5"/>
        <v>1</v>
      </c>
    </row>
    <row r="46" spans="1:29" ht="15.6"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1"/>
      <c r="M46" s="2133"/>
      <c r="N46" s="2133"/>
      <c r="O46" s="2140"/>
      <c r="P46" s="3478"/>
      <c r="Q46" s="1570">
        <f t="shared" si="11"/>
        <v>111</v>
      </c>
      <c r="R46" s="1571" t="s">
        <v>8</v>
      </c>
      <c r="S46" s="1572">
        <f t="shared" si="12"/>
        <v>100</v>
      </c>
      <c r="T46" s="1571" t="s">
        <v>8</v>
      </c>
      <c r="U46" s="1572">
        <f t="shared" si="13"/>
        <v>100</v>
      </c>
      <c r="V46" s="1571" t="s">
        <v>8</v>
      </c>
      <c r="W46" s="1572">
        <f t="shared" si="14"/>
        <v>100</v>
      </c>
      <c r="X46" s="1565"/>
      <c r="Y46" s="3478"/>
      <c r="Z46" s="1573">
        <f t="shared" si="15"/>
        <v>111</v>
      </c>
      <c r="AA46" s="1574">
        <f t="shared" si="3"/>
        <v>1</v>
      </c>
      <c r="AB46" s="1574">
        <f t="shared" si="4"/>
        <v>1</v>
      </c>
      <c r="AC46" s="1574">
        <f t="shared" si="5"/>
        <v>1</v>
      </c>
    </row>
    <row r="47" spans="1:29" ht="14.4">
      <c r="A47" s="606" t="s">
        <v>701</v>
      </c>
      <c r="B47" s="885"/>
      <c r="C47" s="2626" t="s">
        <v>1</v>
      </c>
      <c r="D47" s="2627"/>
      <c r="E47" s="2628"/>
      <c r="F47" s="2629"/>
      <c r="G47" s="2630"/>
      <c r="H47" s="2631"/>
      <c r="I47" s="2628"/>
      <c r="J47" s="2631"/>
      <c r="K47" s="1609"/>
      <c r="L47" s="2143"/>
      <c r="M47" s="2144"/>
      <c r="N47" s="2133"/>
      <c r="O47" s="2144"/>
      <c r="P47" s="3362" t="str">
        <f>A47</f>
        <v>成交单价（元/平方米）</v>
      </c>
      <c r="Q47" s="3362"/>
      <c r="R47" s="3477">
        <f>E47</f>
        <v>0</v>
      </c>
      <c r="S47" s="3477"/>
      <c r="T47" s="3477">
        <f>G47</f>
        <v>0</v>
      </c>
      <c r="U47" s="3477"/>
      <c r="V47" s="3477">
        <f>I47</f>
        <v>0</v>
      </c>
      <c r="W47" s="3477"/>
      <c r="X47" s="1557"/>
      <c r="Y47" s="1579"/>
      <c r="Z47" s="1557"/>
      <c r="AA47" s="1557"/>
      <c r="AB47" s="1557"/>
      <c r="AC47" s="1557"/>
    </row>
    <row r="48" spans="1:29" ht="15" thickBot="1">
      <c r="A48" s="614" t="s">
        <v>2722</v>
      </c>
      <c r="B48" s="886"/>
      <c r="C48" s="2632" t="e">
        <f>R49</f>
        <v>#DIV/0!</v>
      </c>
      <c r="D48" s="2633"/>
      <c r="E48" s="2634" t="e">
        <f>R48</f>
        <v>#DIV/0!</v>
      </c>
      <c r="F48" s="2634"/>
      <c r="G48" s="2632" t="e">
        <f>T48</f>
        <v>#DIV/0!</v>
      </c>
      <c r="H48" s="2633"/>
      <c r="I48" s="2634" t="e">
        <f>V48</f>
        <v>#DIV/0!</v>
      </c>
      <c r="J48" s="2633"/>
      <c r="K48" s="1610"/>
      <c r="L48" s="2143"/>
      <c r="M48" s="2144"/>
      <c r="N48" s="2133"/>
      <c r="O48" s="2144"/>
      <c r="P48" s="3362" t="str">
        <f>A48</f>
        <v>比较价格（元/平方米）</v>
      </c>
      <c r="Q48" s="3362"/>
      <c r="R48" s="3477" t="e">
        <f>IF(F1="售价",ROUND(PRODUCT(R47,AA7:AA46),0),ROUND(PRODUCT(R47,AA7:AA46),1))</f>
        <v>#DIV/0!</v>
      </c>
      <c r="S48" s="3477"/>
      <c r="T48" s="3477" t="e">
        <f>IF(F1="售价",ROUND(PRODUCT(T47,AB7:AB46),0),ROUND(PRODUCT(T47,AB7:AB46),1))</f>
        <v>#DIV/0!</v>
      </c>
      <c r="U48" s="3477"/>
      <c r="V48" s="3477" t="e">
        <f>IF(F1="售价",ROUND(PRODUCT(V47,AC7:AC46),0),ROUND(PRODUCT(V47,AC7:AC46),1))</f>
        <v>#DIV/0!</v>
      </c>
      <c r="W48" s="3477"/>
      <c r="X48" s="1557"/>
      <c r="Y48" s="1557"/>
      <c r="Z48" s="1557"/>
      <c r="AA48" s="1557"/>
      <c r="AB48" s="1557"/>
      <c r="AC48" s="1557"/>
    </row>
    <row r="49" spans="1:29" ht="15" thickBot="1">
      <c r="A49" s="620" t="s">
        <v>2895</v>
      </c>
      <c r="B49" s="621"/>
      <c r="C49" s="2635" t="e">
        <f>R49</f>
        <v>#DIV/0!</v>
      </c>
      <c r="D49" s="2635"/>
      <c r="E49" s="2635"/>
      <c r="F49" s="2635"/>
      <c r="G49" s="2635"/>
      <c r="H49" s="2635"/>
      <c r="I49" s="2635"/>
      <c r="J49" s="2635"/>
      <c r="K49" s="1611"/>
      <c r="L49" s="2143"/>
      <c r="M49" s="2144"/>
      <c r="N49" s="2133"/>
      <c r="O49" s="2144"/>
      <c r="P49" s="3359" t="str">
        <f>A49</f>
        <v>估价对象XX用房的比较价格（楼面单价，元/平方米）</v>
      </c>
      <c r="Q49" s="3360"/>
      <c r="R49" s="3476" t="e">
        <f>IF(F1="售价",ROUND(AVERAGE(R48:V48),0),ROUND(AVERAGE(R48:V48),1))</f>
        <v>#DIV/0!</v>
      </c>
      <c r="S49" s="3476"/>
      <c r="T49" s="3476"/>
      <c r="U49" s="3476"/>
      <c r="V49" s="3476"/>
      <c r="W49" s="3476"/>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3" t="s">
        <v>522</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3" t="s">
        <v>523</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3" customFormat="1" ht="13.5" customHeight="1">
      <c r="A54" s="2145"/>
      <c r="B54" s="2145"/>
      <c r="C54" s="623" t="s">
        <v>524</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3"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2.2" thickBot="1">
      <c r="A57" s="1582" t="s">
        <v>539</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5" customFormat="1" ht="14.4">
      <c r="A58" s="644" t="s">
        <v>494</v>
      </c>
      <c r="B58" s="645"/>
      <c r="C58" s="2801" t="str">
        <f>YEAR(C7)&amp;"-"&amp;MONTH(C7)</f>
        <v>2018-12</v>
      </c>
      <c r="D58" s="2803">
        <f>EDATE(C58,-1)</f>
        <v>43405</v>
      </c>
      <c r="E58" s="2803">
        <f t="shared" ref="E58:O58" si="16">EDATE(D58,-1)</f>
        <v>43374</v>
      </c>
      <c r="F58" s="2803">
        <f t="shared" si="16"/>
        <v>43344</v>
      </c>
      <c r="G58" s="2803">
        <f t="shared" si="16"/>
        <v>43313</v>
      </c>
      <c r="H58" s="2803">
        <f t="shared" si="16"/>
        <v>43282</v>
      </c>
      <c r="I58" s="2803">
        <f t="shared" si="16"/>
        <v>43252</v>
      </c>
      <c r="J58" s="2803">
        <f t="shared" si="16"/>
        <v>43221</v>
      </c>
      <c r="K58" s="2803">
        <f t="shared" si="16"/>
        <v>43191</v>
      </c>
      <c r="L58" s="2803">
        <f t="shared" si="16"/>
        <v>43160</v>
      </c>
      <c r="M58" s="2803">
        <f t="shared" si="16"/>
        <v>43132</v>
      </c>
      <c r="N58" s="2803">
        <f t="shared" si="16"/>
        <v>43101</v>
      </c>
      <c r="O58" s="2803">
        <f t="shared" si="16"/>
        <v>43070</v>
      </c>
      <c r="P58" s="2159"/>
      <c r="Q58" s="2160"/>
      <c r="R58" s="2160"/>
      <c r="S58" s="2160"/>
      <c r="T58" s="2160"/>
      <c r="U58" s="2160"/>
      <c r="V58" s="2160"/>
      <c r="W58" s="2160"/>
      <c r="X58" s="2160"/>
      <c r="Y58" s="2160"/>
      <c r="Z58" s="2160"/>
      <c r="AA58" s="2160"/>
      <c r="AB58" s="2160"/>
      <c r="AC58" s="2160"/>
    </row>
    <row r="59" spans="1:29" s="1218" customFormat="1">
      <c r="A59" s="646"/>
      <c r="B59" s="647"/>
      <c r="C59" s="648">
        <v>100</v>
      </c>
      <c r="D59" s="649"/>
      <c r="E59" s="649"/>
      <c r="F59" s="649"/>
      <c r="G59" s="649"/>
      <c r="H59" s="649"/>
      <c r="I59" s="649"/>
      <c r="J59" s="649"/>
      <c r="K59" s="649"/>
      <c r="L59" s="649"/>
      <c r="M59" s="650"/>
      <c r="N59" s="649"/>
      <c r="O59" s="651"/>
      <c r="P59" s="2157"/>
      <c r="Q59" s="1992"/>
      <c r="R59" s="1992"/>
      <c r="S59" s="1992"/>
      <c r="T59" s="1992"/>
      <c r="U59" s="1992"/>
      <c r="V59" s="1992"/>
      <c r="W59" s="1992"/>
      <c r="X59" s="1992"/>
      <c r="Y59" s="1992"/>
      <c r="Z59" s="1992"/>
      <c r="AA59" s="1992"/>
      <c r="AB59" s="1992"/>
      <c r="AC59" s="1992"/>
    </row>
    <row r="60" spans="1:29" s="1218" customFormat="1" ht="15" thickBot="1">
      <c r="A60" s="652" t="s">
        <v>540</v>
      </c>
      <c r="B60" s="653"/>
      <c r="C60" s="654"/>
      <c r="D60" s="655"/>
      <c r="E60" s="655"/>
      <c r="F60" s="655"/>
      <c r="G60" s="655"/>
      <c r="H60" s="655"/>
      <c r="I60" s="655"/>
      <c r="J60" s="655"/>
      <c r="K60" s="655"/>
      <c r="L60" s="655"/>
      <c r="M60" s="656"/>
      <c r="N60" s="655"/>
      <c r="O60" s="657"/>
      <c r="P60" s="2157"/>
      <c r="Q60" s="2157"/>
      <c r="R60" s="1992"/>
      <c r="S60" s="1992"/>
      <c r="T60" s="1992"/>
      <c r="U60" s="1992"/>
      <c r="V60" s="1992"/>
      <c r="W60" s="1992"/>
      <c r="X60" s="1992"/>
      <c r="Y60" s="1992"/>
      <c r="Z60" s="1992"/>
      <c r="AA60" s="1992"/>
      <c r="AB60" s="1992"/>
      <c r="AC60" s="1992"/>
    </row>
    <row r="61" spans="1:29" s="1218" customFormat="1" ht="14.4">
      <c r="A61" s="658" t="s">
        <v>496</v>
      </c>
      <c r="B61" s="647"/>
      <c r="C61" s="659" t="s">
        <v>541</v>
      </c>
      <c r="D61" s="660"/>
      <c r="E61" s="660"/>
      <c r="F61" s="660"/>
      <c r="G61" s="660"/>
      <c r="H61" s="660"/>
      <c r="I61" s="660"/>
      <c r="J61" s="660"/>
      <c r="K61" s="660"/>
      <c r="L61" s="661"/>
      <c r="M61" s="662"/>
      <c r="N61" s="2161"/>
      <c r="O61" s="2161"/>
      <c r="P61" s="2162"/>
      <c r="Q61" s="2157"/>
      <c r="R61" s="1992"/>
      <c r="S61" s="1992"/>
      <c r="T61" s="1992"/>
      <c r="U61" s="1992"/>
      <c r="V61" s="1992"/>
      <c r="W61" s="1992"/>
      <c r="X61" s="1992"/>
      <c r="Y61" s="1992"/>
      <c r="Z61" s="1992"/>
      <c r="AA61" s="1992"/>
      <c r="AB61" s="1992"/>
      <c r="AC61" s="1992"/>
    </row>
    <row r="62" spans="1:29" s="1218" customFormat="1" ht="14.4" thickBot="1">
      <c r="A62" s="658"/>
      <c r="B62" s="647"/>
      <c r="C62" s="887">
        <v>100</v>
      </c>
      <c r="D62" s="649"/>
      <c r="E62" s="649"/>
      <c r="F62" s="649"/>
      <c r="G62" s="649"/>
      <c r="H62" s="649"/>
      <c r="I62" s="649"/>
      <c r="J62" s="649"/>
      <c r="K62" s="649"/>
      <c r="L62" s="649"/>
      <c r="M62" s="651"/>
      <c r="N62" s="2161"/>
      <c r="O62" s="2161"/>
      <c r="P62" s="2157"/>
      <c r="Q62" s="2157"/>
      <c r="R62" s="1992"/>
      <c r="S62" s="1992"/>
      <c r="T62" s="1992"/>
      <c r="U62" s="1992"/>
      <c r="V62" s="1992"/>
      <c r="W62" s="1992"/>
      <c r="X62" s="1992"/>
      <c r="Y62" s="1992"/>
      <c r="Z62" s="1992"/>
      <c r="AA62" s="1992"/>
      <c r="AB62" s="1992"/>
      <c r="AC62" s="1203"/>
    </row>
    <row r="63" spans="1:29" ht="14.4">
      <c r="A63" s="663" t="s">
        <v>542</v>
      </c>
      <c r="B63" s="664" t="s">
        <v>499</v>
      </c>
      <c r="C63" s="703">
        <f>C9</f>
        <v>0</v>
      </c>
      <c r="D63" s="597"/>
      <c r="E63" s="597"/>
      <c r="F63" s="597"/>
      <c r="G63" s="597"/>
      <c r="H63" s="597"/>
      <c r="I63" s="597"/>
      <c r="J63" s="597"/>
      <c r="K63" s="665"/>
      <c r="L63" s="666"/>
      <c r="M63" s="667"/>
      <c r="N63" s="2163"/>
      <c r="O63" s="2163"/>
      <c r="P63" s="2164"/>
      <c r="Q63" s="2157"/>
      <c r="R63" s="2144"/>
      <c r="S63" s="2144"/>
      <c r="T63" s="2144"/>
      <c r="U63" s="2144"/>
      <c r="V63" s="2144"/>
      <c r="W63" s="2144"/>
      <c r="X63" s="2144"/>
      <c r="Y63" s="2144"/>
      <c r="Z63" s="2144"/>
      <c r="AA63" s="2144"/>
      <c r="AB63" s="2144"/>
      <c r="AC63" s="2144"/>
    </row>
    <row r="64" spans="1:29" ht="14.4" thickBot="1">
      <c r="A64" s="668"/>
      <c r="B64" s="669"/>
      <c r="C64" s="670"/>
      <c r="D64" s="670"/>
      <c r="E64" s="670"/>
      <c r="F64" s="670"/>
      <c r="G64" s="670"/>
      <c r="H64" s="670"/>
      <c r="I64" s="670"/>
      <c r="J64" s="670"/>
      <c r="K64" s="670"/>
      <c r="L64" s="670"/>
      <c r="M64" s="671"/>
      <c r="N64" s="2165"/>
      <c r="O64" s="2165"/>
      <c r="P64" s="2164"/>
      <c r="Q64" s="2157"/>
      <c r="R64" s="2144"/>
      <c r="S64" s="2144"/>
      <c r="T64" s="2144"/>
      <c r="U64" s="2144"/>
      <c r="V64" s="2144"/>
      <c r="W64" s="2144"/>
      <c r="X64" s="2144"/>
      <c r="Y64" s="2144"/>
      <c r="Z64" s="2144"/>
      <c r="AA64" s="2144"/>
      <c r="AB64" s="2144"/>
      <c r="AC64" s="2144"/>
    </row>
    <row r="65" spans="1:29" ht="29.4" thickTop="1">
      <c r="A65" s="668"/>
      <c r="B65" s="672" t="s">
        <v>502</v>
      </c>
      <c r="C65" s="673" t="s">
        <v>702</v>
      </c>
      <c r="D65" s="673" t="s">
        <v>703</v>
      </c>
      <c r="E65" s="673" t="s">
        <v>704</v>
      </c>
      <c r="F65" s="673" t="s">
        <v>705</v>
      </c>
      <c r="G65" s="673" t="s">
        <v>706</v>
      </c>
      <c r="H65" s="673" t="s">
        <v>707</v>
      </c>
      <c r="I65" s="673" t="s">
        <v>708</v>
      </c>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4.4" thickBot="1">
      <c r="A66" s="668"/>
      <c r="B66" s="677"/>
      <c r="C66" s="678" t="s">
        <v>13</v>
      </c>
      <c r="D66" s="678" t="s">
        <v>14</v>
      </c>
      <c r="E66" s="678" t="s">
        <v>15</v>
      </c>
      <c r="F66" s="678">
        <v>100</v>
      </c>
      <c r="G66" s="678">
        <f>F66-$K10</f>
        <v>100</v>
      </c>
      <c r="H66" s="678">
        <f>G66-$K10</f>
        <v>100</v>
      </c>
      <c r="I66" s="678">
        <f>H66-$K10</f>
        <v>100</v>
      </c>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 thickTop="1">
      <c r="A67" s="668"/>
      <c r="B67" s="680" t="s">
        <v>503</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5"/>
      <c r="O67" s="2165"/>
      <c r="P67" s="2164"/>
      <c r="Q67" s="2157"/>
      <c r="R67" s="2144"/>
      <c r="S67" s="2144"/>
      <c r="T67" s="2144"/>
      <c r="U67" s="2144"/>
      <c r="V67" s="2144"/>
      <c r="W67" s="2144"/>
      <c r="X67" s="2144"/>
      <c r="Y67" s="2144"/>
      <c r="Z67" s="2144"/>
      <c r="AA67" s="2144"/>
      <c r="AB67" s="2144"/>
      <c r="AC67" s="2144"/>
    </row>
    <row r="68" spans="1:29">
      <c r="A68" s="668"/>
      <c r="B68" s="682"/>
      <c r="C68" s="540"/>
      <c r="D68" s="540"/>
      <c r="E68" s="540"/>
      <c r="F68" s="540"/>
      <c r="G68" s="540"/>
      <c r="H68" s="540"/>
      <c r="I68" s="540"/>
      <c r="J68" s="540"/>
      <c r="K68" s="683"/>
      <c r="L68" s="684"/>
      <c r="M68" s="685"/>
      <c r="N68" s="2163"/>
      <c r="O68" s="2163"/>
      <c r="P68" s="2164"/>
      <c r="Q68" s="2157"/>
      <c r="R68" s="2144"/>
      <c r="S68" s="2144"/>
      <c r="T68" s="2144"/>
      <c r="U68" s="2144"/>
      <c r="V68" s="2144"/>
      <c r="W68" s="2144"/>
      <c r="X68" s="2144"/>
      <c r="Y68" s="2144"/>
      <c r="Z68" s="2144"/>
      <c r="AA68" s="2144"/>
      <c r="AB68" s="2144"/>
      <c r="AC68" s="2144"/>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5"/>
      <c r="O69" s="2165"/>
      <c r="P69" s="2164"/>
      <c r="Q69" s="2157"/>
      <c r="R69" s="2144"/>
      <c r="S69" s="2144"/>
      <c r="T69" s="2144"/>
      <c r="U69" s="2144"/>
      <c r="V69" s="2144"/>
      <c r="W69" s="2144"/>
      <c r="X69" s="2144"/>
      <c r="Y69" s="2144"/>
      <c r="Z69" s="2144"/>
      <c r="AA69" s="2144"/>
      <c r="AB69" s="2144"/>
      <c r="AC69" s="2144"/>
    </row>
    <row r="70" spans="1:29" s="1337" customFormat="1" ht="14.4" thickTop="1">
      <c r="A70" s="686"/>
      <c r="B70" s="672">
        <f>B12</f>
        <v>111</v>
      </c>
      <c r="C70" s="687"/>
      <c r="D70" s="687"/>
      <c r="E70" s="687"/>
      <c r="F70" s="687"/>
      <c r="G70" s="687"/>
      <c r="H70" s="688"/>
      <c r="I70" s="688"/>
      <c r="J70" s="688"/>
      <c r="K70" s="688"/>
      <c r="L70" s="689"/>
      <c r="M70" s="690"/>
      <c r="N70" s="2166"/>
      <c r="O70" s="2166"/>
      <c r="P70" s="2167"/>
      <c r="Q70" s="2168"/>
      <c r="R70" s="2169"/>
      <c r="S70" s="2169"/>
      <c r="T70" s="2169"/>
      <c r="U70" s="2169"/>
      <c r="V70" s="2169"/>
      <c r="W70" s="2169"/>
      <c r="X70" s="2169"/>
      <c r="Y70" s="2169"/>
      <c r="Z70" s="2169"/>
      <c r="AA70" s="2169"/>
      <c r="AB70" s="2169"/>
      <c r="AC70" s="2169"/>
    </row>
    <row r="71" spans="1:29" s="1337" customFormat="1" ht="14.4" thickBot="1">
      <c r="A71" s="686"/>
      <c r="B71" s="677"/>
      <c r="C71" s="691"/>
      <c r="D71" s="670"/>
      <c r="E71" s="670"/>
      <c r="F71" s="670"/>
      <c r="G71" s="670"/>
      <c r="H71" s="670"/>
      <c r="I71" s="670"/>
      <c r="J71" s="670"/>
      <c r="K71" s="670"/>
      <c r="L71" s="670"/>
      <c r="M71" s="671"/>
      <c r="N71" s="2165"/>
      <c r="O71" s="2165"/>
      <c r="P71" s="2167"/>
      <c r="Q71" s="2168"/>
      <c r="R71" s="2169"/>
      <c r="S71" s="2169"/>
      <c r="T71" s="2169"/>
      <c r="U71" s="2169"/>
      <c r="V71" s="2169"/>
      <c r="W71" s="2169"/>
      <c r="X71" s="2169"/>
      <c r="Y71" s="2169"/>
      <c r="Z71" s="2169"/>
      <c r="AA71" s="2169"/>
      <c r="AB71" s="2169"/>
      <c r="AC71" s="2169"/>
    </row>
    <row r="72" spans="1:29" s="1337" customFormat="1" ht="14.4" thickTop="1">
      <c r="A72" s="686"/>
      <c r="B72" s="672">
        <f>B13</f>
        <v>111</v>
      </c>
      <c r="C72" s="687"/>
      <c r="D72" s="687"/>
      <c r="E72" s="687"/>
      <c r="F72" s="687"/>
      <c r="G72" s="687"/>
      <c r="H72" s="688"/>
      <c r="I72" s="688"/>
      <c r="J72" s="688"/>
      <c r="K72" s="688"/>
      <c r="L72" s="689"/>
      <c r="M72" s="690"/>
      <c r="N72" s="2166"/>
      <c r="O72" s="2166"/>
      <c r="P72" s="2170"/>
      <c r="Q72" s="2171"/>
      <c r="R72" s="2169"/>
      <c r="S72" s="2169"/>
      <c r="T72" s="2169"/>
      <c r="U72" s="2169"/>
      <c r="V72" s="2169"/>
      <c r="W72" s="2169"/>
      <c r="X72" s="2169"/>
      <c r="Y72" s="2169"/>
      <c r="Z72" s="2169"/>
      <c r="AA72" s="2169"/>
      <c r="AB72" s="2169"/>
      <c r="AC72" s="2169"/>
    </row>
    <row r="73" spans="1:29" s="1337" customFormat="1" ht="14.4" thickBot="1">
      <c r="A73" s="686"/>
      <c r="B73" s="677"/>
      <c r="C73" s="691"/>
      <c r="D73" s="670"/>
      <c r="E73" s="670"/>
      <c r="F73" s="670"/>
      <c r="G73" s="691"/>
      <c r="H73" s="692"/>
      <c r="I73" s="692"/>
      <c r="J73" s="692"/>
      <c r="K73" s="692"/>
      <c r="L73" s="692"/>
      <c r="M73" s="693"/>
      <c r="N73" s="2166"/>
      <c r="O73" s="2166"/>
      <c r="P73" s="2167"/>
      <c r="Q73" s="2168"/>
      <c r="R73" s="2169"/>
      <c r="S73" s="2169"/>
      <c r="T73" s="2169"/>
      <c r="U73" s="2169"/>
      <c r="V73" s="2169"/>
      <c r="W73" s="2169"/>
      <c r="X73" s="2169"/>
      <c r="Y73" s="2169"/>
      <c r="Z73" s="2169"/>
      <c r="AA73" s="2169"/>
      <c r="AB73" s="2169"/>
      <c r="AC73" s="2169"/>
    </row>
    <row r="74" spans="1:29" s="1337" customFormat="1" ht="14.4" thickTop="1">
      <c r="A74" s="686"/>
      <c r="B74" s="680">
        <f>B14</f>
        <v>111</v>
      </c>
      <c r="C74" s="687"/>
      <c r="D74" s="687"/>
      <c r="E74" s="687"/>
      <c r="F74" s="687"/>
      <c r="G74" s="660"/>
      <c r="H74" s="694"/>
      <c r="I74" s="694"/>
      <c r="J74" s="694"/>
      <c r="K74" s="694"/>
      <c r="L74" s="695"/>
      <c r="M74" s="696"/>
      <c r="N74" s="2166"/>
      <c r="O74" s="2166"/>
      <c r="P74" s="2172"/>
      <c r="Q74" s="2168"/>
      <c r="R74" s="2169"/>
      <c r="S74" s="2169"/>
      <c r="T74" s="2169"/>
      <c r="U74" s="2169"/>
      <c r="V74" s="2169"/>
      <c r="W74" s="2169"/>
      <c r="X74" s="2169"/>
      <c r="Y74" s="2169"/>
      <c r="Z74" s="2169"/>
      <c r="AA74" s="2169"/>
      <c r="AB74" s="2169"/>
      <c r="AC74" s="2169"/>
    </row>
    <row r="75" spans="1:29" s="1337" customFormat="1" ht="14.4" thickBot="1">
      <c r="A75" s="697"/>
      <c r="B75" s="698"/>
      <c r="C75" s="699"/>
      <c r="D75" s="699"/>
      <c r="E75" s="699"/>
      <c r="F75" s="699"/>
      <c r="G75" s="699"/>
      <c r="H75" s="700"/>
      <c r="I75" s="700"/>
      <c r="J75" s="700"/>
      <c r="K75" s="700"/>
      <c r="L75" s="700"/>
      <c r="M75" s="701"/>
      <c r="N75" s="2166"/>
      <c r="O75" s="2166"/>
      <c r="P75" s="2167"/>
      <c r="Q75" s="2168"/>
      <c r="R75" s="2169"/>
      <c r="S75" s="2169"/>
      <c r="T75" s="2169"/>
      <c r="U75" s="2169"/>
      <c r="V75" s="2169"/>
      <c r="W75" s="2169"/>
      <c r="X75" s="2169"/>
      <c r="Y75" s="2169"/>
      <c r="Z75" s="2169"/>
      <c r="AA75" s="2169"/>
      <c r="AB75" s="2169"/>
      <c r="AC75" s="2169"/>
    </row>
    <row r="76" spans="1:29" ht="14.4">
      <c r="A76" s="663" t="s">
        <v>504</v>
      </c>
      <c r="B76" s="664" t="s">
        <v>543</v>
      </c>
      <c r="C76" s="702" t="s">
        <v>544</v>
      </c>
      <c r="D76" s="702" t="s">
        <v>545</v>
      </c>
      <c r="E76" s="702" t="s">
        <v>546</v>
      </c>
      <c r="F76" s="702" t="s">
        <v>547</v>
      </c>
      <c r="G76" s="702" t="s">
        <v>548</v>
      </c>
      <c r="H76" s="703"/>
      <c r="I76" s="703"/>
      <c r="J76" s="703"/>
      <c r="K76" s="704"/>
      <c r="L76" s="705"/>
      <c r="M76" s="706"/>
      <c r="N76" s="2163"/>
      <c r="O76" s="2163"/>
      <c r="P76" s="2173"/>
      <c r="Q76" s="2157"/>
      <c r="R76" s="2144"/>
      <c r="S76" s="2144"/>
      <c r="T76" s="2144"/>
      <c r="U76" s="2144"/>
      <c r="V76" s="2144"/>
      <c r="W76" s="2144"/>
      <c r="X76" s="2144"/>
      <c r="Y76" s="2144"/>
      <c r="Z76" s="2144"/>
      <c r="AA76" s="2144"/>
      <c r="AB76" s="2144"/>
      <c r="AC76" s="2144"/>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 thickTop="1">
      <c r="A78" s="668"/>
      <c r="B78" s="672" t="s">
        <v>551</v>
      </c>
      <c r="C78" s="707" t="s">
        <v>544</v>
      </c>
      <c r="D78" s="707" t="s">
        <v>545</v>
      </c>
      <c r="E78" s="707" t="s">
        <v>546</v>
      </c>
      <c r="F78" s="707" t="s">
        <v>547</v>
      </c>
      <c r="G78" s="707" t="s">
        <v>548</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ht="15" thickTop="1">
      <c r="A80" s="668"/>
      <c r="B80" s="1895" t="s">
        <v>2519</v>
      </c>
      <c r="C80" s="707" t="s">
        <v>544</v>
      </c>
      <c r="D80" s="707" t="s">
        <v>545</v>
      </c>
      <c r="E80" s="707" t="s">
        <v>546</v>
      </c>
      <c r="F80" s="707" t="s">
        <v>547</v>
      </c>
      <c r="G80" s="707" t="s">
        <v>548</v>
      </c>
      <c r="H80" s="673"/>
      <c r="I80" s="673"/>
      <c r="J80" s="673"/>
      <c r="K80" s="674"/>
      <c r="L80" s="675"/>
      <c r="M80" s="676"/>
      <c r="N80" s="2163"/>
      <c r="O80" s="2163"/>
      <c r="P80" s="2164"/>
      <c r="Q80" s="2157"/>
      <c r="R80" s="2144"/>
      <c r="S80" s="2144"/>
      <c r="T80" s="2144"/>
      <c r="U80" s="2144"/>
      <c r="V80" s="2144"/>
      <c r="W80" s="2144"/>
      <c r="X80" s="2144"/>
      <c r="Y80" s="2144"/>
      <c r="Z80" s="2144"/>
      <c r="AA80" s="2144"/>
      <c r="AB80" s="2144"/>
      <c r="AC80" s="2144"/>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5"/>
      <c r="O81" s="2165"/>
      <c r="P81" s="2164"/>
      <c r="Q81" s="2157"/>
      <c r="R81" s="2144"/>
      <c r="S81" s="2144"/>
      <c r="T81" s="2144"/>
      <c r="U81" s="2144"/>
      <c r="V81" s="2144"/>
      <c r="W81" s="2144"/>
      <c r="X81" s="2144"/>
      <c r="Y81" s="2144"/>
      <c r="Z81" s="2144"/>
      <c r="AA81" s="2144"/>
      <c r="AB81" s="2144"/>
      <c r="AC81" s="2144"/>
    </row>
    <row r="82" spans="1:29" ht="15" thickTop="1">
      <c r="A82" s="668"/>
      <c r="B82" s="2596" t="s">
        <v>2520</v>
      </c>
      <c r="C82" s="2597" t="s">
        <v>2521</v>
      </c>
      <c r="D82" s="2597" t="s">
        <v>2522</v>
      </c>
      <c r="E82" s="2597" t="s">
        <v>2523</v>
      </c>
      <c r="F82" s="2597" t="s">
        <v>2524</v>
      </c>
      <c r="G82" s="2597" t="s">
        <v>2525</v>
      </c>
      <c r="H82" s="673"/>
      <c r="I82" s="673"/>
      <c r="J82" s="673"/>
      <c r="K82" s="673"/>
      <c r="L82" s="673"/>
      <c r="M82" s="2600"/>
      <c r="N82" s="2165"/>
      <c r="O82" s="2165"/>
      <c r="P82" s="2164"/>
      <c r="Q82" s="2157"/>
      <c r="R82" s="2144"/>
      <c r="S82" s="2144"/>
      <c r="T82" s="2144"/>
      <c r="U82" s="2144"/>
      <c r="V82" s="2144"/>
      <c r="W82" s="2144"/>
      <c r="X82" s="2144"/>
      <c r="Y82" s="2144"/>
      <c r="Z82" s="2144"/>
      <c r="AA82" s="2144"/>
      <c r="AB82" s="2144"/>
      <c r="AC82" s="2144"/>
    </row>
    <row r="83" spans="1:29" ht="14.4" thickBot="1">
      <c r="A83" s="668"/>
      <c r="B83" s="680"/>
      <c r="C83" s="678">
        <v>100</v>
      </c>
      <c r="D83" s="678">
        <f>C83-$K21</f>
        <v>100</v>
      </c>
      <c r="E83" s="678">
        <f>D83-$K21</f>
        <v>100</v>
      </c>
      <c r="F83" s="678">
        <f>E83-$K21</f>
        <v>100</v>
      </c>
      <c r="G83" s="678">
        <f>F83-$K21</f>
        <v>100</v>
      </c>
      <c r="H83" s="933"/>
      <c r="I83" s="933"/>
      <c r="J83" s="933"/>
      <c r="K83" s="933"/>
      <c r="L83" s="933"/>
      <c r="M83" s="558"/>
      <c r="N83" s="2165"/>
      <c r="O83" s="2165"/>
      <c r="P83" s="2164"/>
      <c r="Q83" s="2157"/>
      <c r="R83" s="2144"/>
      <c r="S83" s="2144"/>
      <c r="T83" s="2144"/>
      <c r="U83" s="2144"/>
      <c r="V83" s="2144"/>
      <c r="W83" s="2144"/>
      <c r="X83" s="2144"/>
      <c r="Y83" s="2144"/>
      <c r="Z83" s="2144"/>
      <c r="AA83" s="2144"/>
      <c r="AB83" s="2144"/>
      <c r="AC83" s="2144"/>
    </row>
    <row r="84" spans="1:29" ht="15" thickTop="1">
      <c r="A84" s="668"/>
      <c r="B84" s="672" t="s">
        <v>709</v>
      </c>
      <c r="C84" s="707" t="s">
        <v>544</v>
      </c>
      <c r="D84" s="707" t="s">
        <v>545</v>
      </c>
      <c r="E84" s="707" t="s">
        <v>546</v>
      </c>
      <c r="F84" s="707" t="s">
        <v>547</v>
      </c>
      <c r="G84" s="707" t="s">
        <v>548</v>
      </c>
      <c r="H84" s="673"/>
      <c r="I84" s="673"/>
      <c r="J84" s="673"/>
      <c r="K84" s="674"/>
      <c r="L84" s="675"/>
      <c r="M84" s="676"/>
      <c r="N84" s="2163"/>
      <c r="O84" s="2163"/>
      <c r="P84" s="2164"/>
      <c r="Q84" s="2157"/>
      <c r="R84" s="2144"/>
      <c r="S84" s="2144"/>
      <c r="T84" s="2144"/>
      <c r="U84" s="2144"/>
      <c r="V84" s="2144"/>
      <c r="W84" s="2144"/>
      <c r="X84" s="2144"/>
      <c r="Y84" s="2144"/>
      <c r="Z84" s="2144"/>
      <c r="AA84" s="2144"/>
      <c r="AB84" s="2144"/>
      <c r="AC84" s="2144"/>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5"/>
      <c r="O85" s="2165"/>
      <c r="P85" s="2164"/>
      <c r="Q85" s="2157"/>
      <c r="R85" s="2144"/>
      <c r="S85" s="2144"/>
      <c r="T85" s="2144"/>
      <c r="U85" s="2144"/>
      <c r="V85" s="2144"/>
      <c r="W85" s="2144"/>
      <c r="X85" s="2144"/>
      <c r="Y85" s="2144"/>
      <c r="Z85" s="2144"/>
      <c r="AA85" s="2144"/>
      <c r="AB85" s="2144"/>
      <c r="AC85" s="2144"/>
    </row>
    <row r="86" spans="1:29" s="1218" customFormat="1" ht="15" thickTop="1">
      <c r="A86" s="708"/>
      <c r="B86" s="672" t="s">
        <v>736</v>
      </c>
      <c r="C86" s="687"/>
      <c r="D86" s="687"/>
      <c r="E86" s="687"/>
      <c r="F86" s="687"/>
      <c r="G86" s="687"/>
      <c r="H86" s="687"/>
      <c r="I86" s="687"/>
      <c r="J86" s="687"/>
      <c r="K86" s="687"/>
      <c r="L86" s="888"/>
      <c r="M86" s="889"/>
      <c r="N86" s="2161"/>
      <c r="O86" s="2161"/>
      <c r="P86" s="2164"/>
      <c r="Q86" s="2157"/>
      <c r="R86" s="1992"/>
      <c r="S86" s="1992"/>
      <c r="T86" s="1992"/>
      <c r="U86" s="1992"/>
      <c r="V86" s="1992"/>
      <c r="W86" s="1992"/>
      <c r="X86" s="1992"/>
      <c r="Y86" s="1992"/>
      <c r="Z86" s="1992"/>
      <c r="AA86" s="1992"/>
      <c r="AB86" s="1992"/>
      <c r="AC86" s="1992"/>
    </row>
    <row r="87" spans="1:29" s="1218"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5"/>
      <c r="O87" s="2165"/>
      <c r="P87" s="2164"/>
      <c r="Q87" s="2157"/>
      <c r="R87" s="1992"/>
      <c r="S87" s="1992"/>
      <c r="T87" s="1992"/>
      <c r="U87" s="1992"/>
      <c r="V87" s="1992"/>
      <c r="W87" s="1992"/>
      <c r="X87" s="1992"/>
      <c r="Y87" s="1992"/>
      <c r="Z87" s="1992"/>
      <c r="AA87" s="1992"/>
      <c r="AB87" s="1992"/>
      <c r="AC87" s="1992"/>
    </row>
    <row r="88" spans="1:29" s="1218" customFormat="1" ht="14.4" thickTop="1">
      <c r="A88" s="708"/>
      <c r="B88" s="672" t="str">
        <f>B26</f>
        <v>平面位置/可视性</v>
      </c>
      <c r="C88" s="687"/>
      <c r="D88" s="687"/>
      <c r="E88" s="687"/>
      <c r="F88" s="890"/>
      <c r="G88" s="687"/>
      <c r="H88" s="687"/>
      <c r="I88" s="687"/>
      <c r="J88" s="687"/>
      <c r="K88" s="687"/>
      <c r="L88" s="687"/>
      <c r="M88" s="889"/>
      <c r="N88" s="2161"/>
      <c r="O88" s="2161"/>
      <c r="P88" s="2164"/>
      <c r="Q88" s="2157"/>
      <c r="R88" s="1992"/>
      <c r="S88" s="1992"/>
      <c r="T88" s="1992"/>
      <c r="U88" s="1992"/>
      <c r="V88" s="1992"/>
      <c r="W88" s="1992"/>
      <c r="X88" s="1992"/>
      <c r="Y88" s="1992"/>
      <c r="Z88" s="1992"/>
      <c r="AA88" s="1992"/>
      <c r="AB88" s="1992"/>
      <c r="AC88" s="1992"/>
    </row>
    <row r="89" spans="1:29" s="1218" customFormat="1" ht="14.4" thickBot="1">
      <c r="A89" s="708"/>
      <c r="B89" s="677"/>
      <c r="C89" s="691"/>
      <c r="D89" s="670"/>
      <c r="E89" s="670"/>
      <c r="F89" s="670"/>
      <c r="G89" s="670"/>
      <c r="H89" s="670"/>
      <c r="I89" s="670"/>
      <c r="J89" s="670"/>
      <c r="K89" s="670"/>
      <c r="L89" s="670"/>
      <c r="M89" s="670"/>
      <c r="N89" s="2165"/>
      <c r="O89" s="2165"/>
      <c r="P89" s="2164"/>
      <c r="Q89" s="2157"/>
      <c r="R89" s="1992"/>
      <c r="S89" s="1992"/>
      <c r="T89" s="1992"/>
      <c r="U89" s="1992"/>
      <c r="V89" s="1992"/>
      <c r="W89" s="1992"/>
      <c r="X89" s="1992"/>
      <c r="Y89" s="1992"/>
      <c r="Z89" s="1992"/>
      <c r="AA89" s="1992"/>
      <c r="AB89" s="1992"/>
      <c r="AC89" s="1992"/>
    </row>
    <row r="90" spans="1:29" s="1337" customFormat="1" ht="14.4" thickTop="1">
      <c r="A90" s="686"/>
      <c r="B90" s="672" t="str">
        <f>B27</f>
        <v>人流量</v>
      </c>
      <c r="C90" s="687"/>
      <c r="D90" s="687"/>
      <c r="E90" s="687"/>
      <c r="F90" s="687"/>
      <c r="G90" s="687"/>
      <c r="H90" s="688"/>
      <c r="I90" s="688"/>
      <c r="J90" s="688"/>
      <c r="K90" s="688"/>
      <c r="L90" s="689"/>
      <c r="M90" s="690"/>
      <c r="N90" s="2166"/>
      <c r="O90" s="2166"/>
      <c r="P90" s="2167"/>
      <c r="Q90" s="2168"/>
      <c r="R90" s="2169"/>
      <c r="S90" s="2169"/>
      <c r="T90" s="2169"/>
      <c r="U90" s="2169"/>
      <c r="V90" s="2169"/>
      <c r="W90" s="2169"/>
      <c r="X90" s="2169"/>
      <c r="Y90" s="2169"/>
      <c r="Z90" s="2169"/>
      <c r="AA90" s="2169"/>
      <c r="AB90" s="2169"/>
      <c r="AC90" s="2169"/>
    </row>
    <row r="91" spans="1:29" s="1337"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6"/>
      <c r="O91" s="2166"/>
      <c r="P91" s="2167"/>
      <c r="Q91" s="2168"/>
      <c r="R91" s="2169"/>
      <c r="S91" s="2169"/>
      <c r="T91" s="2169"/>
      <c r="U91" s="2169"/>
      <c r="V91" s="2169"/>
      <c r="W91" s="2169"/>
      <c r="X91" s="2169"/>
      <c r="Y91" s="2169"/>
      <c r="Z91" s="2169"/>
      <c r="AA91" s="2169"/>
      <c r="AB91" s="2169"/>
      <c r="AC91" s="2169"/>
    </row>
    <row r="92" spans="1:29" ht="14.4" thickTop="1">
      <c r="A92" s="668"/>
      <c r="B92" s="672" t="str">
        <f>B28</f>
        <v>楼层</v>
      </c>
      <c r="C92" s="687"/>
      <c r="D92" s="687"/>
      <c r="E92" s="687"/>
      <c r="F92" s="687"/>
      <c r="G92" s="687"/>
      <c r="H92" s="687"/>
      <c r="I92" s="687"/>
      <c r="J92" s="687"/>
      <c r="K92" s="687"/>
      <c r="L92" s="888"/>
      <c r="M92" s="889"/>
      <c r="N92" s="2163"/>
      <c r="O92" s="2163"/>
      <c r="P92" s="2164"/>
      <c r="Q92" s="2157"/>
      <c r="R92" s="2144"/>
      <c r="S92" s="2144"/>
      <c r="T92" s="2144"/>
      <c r="U92" s="2144"/>
      <c r="V92" s="2144"/>
      <c r="W92" s="2144"/>
      <c r="X92" s="2144"/>
      <c r="Y92" s="2144"/>
      <c r="Z92" s="2144"/>
      <c r="AA92" s="2144"/>
      <c r="AB92" s="2144"/>
      <c r="AC92" s="2144"/>
    </row>
    <row r="93" spans="1:29" ht="14.4" thickBot="1">
      <c r="A93" s="668"/>
      <c r="B93" s="677"/>
      <c r="C93" s="670"/>
      <c r="D93" s="670"/>
      <c r="E93" s="670"/>
      <c r="F93" s="670"/>
      <c r="G93" s="670"/>
      <c r="H93" s="670"/>
      <c r="I93" s="670"/>
      <c r="J93" s="670"/>
      <c r="K93" s="670"/>
      <c r="L93" s="670"/>
      <c r="M93" s="671"/>
      <c r="N93" s="2165"/>
      <c r="O93" s="2165"/>
      <c r="P93" s="2164"/>
      <c r="Q93" s="2157"/>
      <c r="R93" s="2144"/>
      <c r="S93" s="2144"/>
      <c r="T93" s="2144"/>
      <c r="U93" s="2144"/>
      <c r="V93" s="2144"/>
      <c r="W93" s="2144"/>
      <c r="X93" s="2144"/>
      <c r="Y93" s="2144"/>
      <c r="Z93" s="2144"/>
      <c r="AA93" s="2144"/>
      <c r="AB93" s="2144"/>
      <c r="AC93" s="2144"/>
    </row>
    <row r="94" spans="1:29" ht="14.4" thickTop="1">
      <c r="A94" s="668"/>
      <c r="B94" s="672">
        <f>B29</f>
        <v>111</v>
      </c>
      <c r="C94" s="687"/>
      <c r="D94" s="687"/>
      <c r="E94" s="687"/>
      <c r="F94" s="687"/>
      <c r="G94" s="717"/>
      <c r="H94" s="717"/>
      <c r="I94" s="717"/>
      <c r="J94" s="717"/>
      <c r="K94" s="718"/>
      <c r="L94" s="719"/>
      <c r="M94" s="720"/>
      <c r="N94" s="2163"/>
      <c r="O94" s="2163"/>
      <c r="P94" s="2164"/>
      <c r="Q94" s="2157"/>
      <c r="R94" s="2144"/>
      <c r="S94" s="2144"/>
      <c r="T94" s="2144"/>
      <c r="U94" s="2144"/>
      <c r="V94" s="2144"/>
      <c r="W94" s="2144"/>
      <c r="X94" s="2144"/>
      <c r="Y94" s="2144"/>
      <c r="Z94" s="2144"/>
      <c r="AA94" s="2144"/>
      <c r="AB94" s="2144"/>
      <c r="AC94" s="2144"/>
    </row>
    <row r="95" spans="1:29" ht="14.4" thickBot="1">
      <c r="A95" s="668"/>
      <c r="B95" s="677"/>
      <c r="C95" s="691"/>
      <c r="D95" s="670"/>
      <c r="E95" s="670"/>
      <c r="F95" s="670"/>
      <c r="G95" s="670"/>
      <c r="H95" s="670"/>
      <c r="I95" s="670"/>
      <c r="J95" s="670"/>
      <c r="K95" s="670"/>
      <c r="L95" s="670"/>
      <c r="M95" s="671"/>
      <c r="N95" s="2165"/>
      <c r="O95" s="2165"/>
      <c r="P95" s="2164"/>
      <c r="Q95" s="2157"/>
      <c r="R95" s="2144"/>
      <c r="S95" s="2144"/>
      <c r="T95" s="2144"/>
      <c r="U95" s="2144"/>
      <c r="V95" s="2144"/>
      <c r="W95" s="2144"/>
      <c r="X95" s="2144"/>
      <c r="Y95" s="2144"/>
      <c r="Z95" s="2144"/>
      <c r="AA95" s="2144"/>
      <c r="AB95" s="2144"/>
      <c r="AC95" s="2144"/>
    </row>
    <row r="96" spans="1:29" ht="14.4" thickTop="1">
      <c r="A96" s="668"/>
      <c r="B96" s="672">
        <f>B30</f>
        <v>111</v>
      </c>
      <c r="C96" s="687"/>
      <c r="D96" s="687"/>
      <c r="E96" s="687"/>
      <c r="F96" s="687"/>
      <c r="G96" s="717"/>
      <c r="H96" s="717"/>
      <c r="I96" s="717"/>
      <c r="J96" s="717"/>
      <c r="K96" s="718"/>
      <c r="L96" s="719"/>
      <c r="M96" s="720"/>
      <c r="N96" s="2163"/>
      <c r="O96" s="2163"/>
      <c r="P96" s="2164"/>
      <c r="Q96" s="2157"/>
      <c r="R96" s="2144"/>
      <c r="S96" s="2144"/>
      <c r="T96" s="2144"/>
      <c r="U96" s="2144"/>
      <c r="V96" s="2144"/>
      <c r="W96" s="2144"/>
      <c r="X96" s="2144"/>
      <c r="Y96" s="2144"/>
      <c r="Z96" s="2144"/>
      <c r="AA96" s="2144"/>
      <c r="AB96" s="2144"/>
      <c r="AC96" s="2144"/>
    </row>
    <row r="97" spans="1:29" ht="14.4" thickBot="1">
      <c r="A97" s="668"/>
      <c r="B97" s="677"/>
      <c r="C97" s="691"/>
      <c r="D97" s="670"/>
      <c r="E97" s="670"/>
      <c r="F97" s="670"/>
      <c r="G97" s="670"/>
      <c r="H97" s="670"/>
      <c r="I97" s="670"/>
      <c r="J97" s="670"/>
      <c r="K97" s="670"/>
      <c r="L97" s="670"/>
      <c r="M97" s="671"/>
      <c r="N97" s="2165"/>
      <c r="O97" s="2165"/>
      <c r="P97" s="2164"/>
      <c r="Q97" s="2157"/>
      <c r="R97" s="2144"/>
      <c r="S97" s="2144"/>
      <c r="T97" s="2144"/>
      <c r="U97" s="2144"/>
      <c r="V97" s="2144"/>
      <c r="W97" s="2144"/>
      <c r="X97" s="2144"/>
      <c r="Y97" s="2144"/>
      <c r="Z97" s="2144"/>
      <c r="AA97" s="2144"/>
      <c r="AB97" s="2144"/>
      <c r="AC97" s="2144"/>
    </row>
    <row r="98" spans="1:29" ht="14.4" thickTop="1">
      <c r="A98" s="668"/>
      <c r="B98" s="680">
        <f>B31</f>
        <v>111</v>
      </c>
      <c r="C98" s="687"/>
      <c r="D98" s="687"/>
      <c r="E98" s="687"/>
      <c r="F98" s="687"/>
      <c r="G98" s="721"/>
      <c r="H98" s="721"/>
      <c r="I98" s="721"/>
      <c r="J98" s="721"/>
      <c r="K98" s="722"/>
      <c r="L98" s="723"/>
      <c r="M98" s="724"/>
      <c r="N98" s="2163"/>
      <c r="O98" s="2163"/>
      <c r="P98" s="2164"/>
      <c r="Q98" s="2157"/>
      <c r="R98" s="2144"/>
      <c r="S98" s="2144"/>
      <c r="T98" s="2144"/>
      <c r="U98" s="2144"/>
      <c r="V98" s="2144"/>
      <c r="W98" s="2144"/>
      <c r="X98" s="2144"/>
      <c r="Y98" s="2144"/>
      <c r="Z98" s="2144"/>
      <c r="AA98" s="2144"/>
      <c r="AB98" s="2144"/>
      <c r="AC98" s="2144"/>
    </row>
    <row r="99" spans="1:29" ht="14.4" thickBot="1">
      <c r="A99" s="891"/>
      <c r="B99" s="698"/>
      <c r="C99" s="699"/>
      <c r="D99" s="699"/>
      <c r="E99" s="699"/>
      <c r="F99" s="699"/>
      <c r="G99" s="725"/>
      <c r="H99" s="725"/>
      <c r="I99" s="725"/>
      <c r="J99" s="725"/>
      <c r="K99" s="725"/>
      <c r="L99" s="725"/>
      <c r="M99" s="726"/>
      <c r="N99" s="2165"/>
      <c r="O99" s="2165"/>
      <c r="P99" s="2164"/>
      <c r="Q99" s="2157"/>
      <c r="R99" s="2144"/>
      <c r="S99" s="2144"/>
      <c r="T99" s="2144"/>
      <c r="U99" s="2144"/>
      <c r="V99" s="2144"/>
      <c r="W99" s="2144"/>
      <c r="X99" s="2144"/>
      <c r="Y99" s="2144"/>
      <c r="Z99" s="2144"/>
      <c r="AA99" s="2144"/>
      <c r="AB99" s="2144"/>
      <c r="AC99" s="2144"/>
    </row>
    <row r="100" spans="1:29" ht="14.4">
      <c r="A100" s="663" t="s">
        <v>516</v>
      </c>
      <c r="B100" s="664" t="s">
        <v>737</v>
      </c>
      <c r="C100" s="597"/>
      <c r="D100" s="597"/>
      <c r="E100" s="597"/>
      <c r="F100" s="597"/>
      <c r="G100" s="597"/>
      <c r="H100" s="597"/>
      <c r="I100" s="597"/>
      <c r="J100" s="597"/>
      <c r="K100" s="665"/>
      <c r="L100" s="666"/>
      <c r="M100" s="667"/>
      <c r="N100" s="2163"/>
      <c r="O100" s="2163"/>
      <c r="P100" s="2164"/>
      <c r="Q100" s="2157"/>
      <c r="R100" s="2144"/>
      <c r="S100" s="2144"/>
      <c r="T100" s="2144"/>
      <c r="U100" s="2144"/>
      <c r="V100" s="2144"/>
      <c r="W100" s="2144"/>
      <c r="X100" s="2144"/>
      <c r="Y100" s="2144"/>
      <c r="Z100" s="2144"/>
      <c r="AA100" s="2144"/>
      <c r="AB100" s="2144"/>
      <c r="AC100" s="2144"/>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5"/>
      <c r="O101" s="2165"/>
      <c r="P101" s="2164"/>
      <c r="Q101" s="2157"/>
      <c r="R101" s="2144"/>
      <c r="S101" s="2144"/>
      <c r="T101" s="2144"/>
      <c r="U101" s="2144"/>
      <c r="V101" s="2144"/>
      <c r="W101" s="2144"/>
      <c r="X101" s="2144"/>
      <c r="Y101" s="2144"/>
      <c r="Z101" s="2144"/>
      <c r="AA101" s="2144"/>
      <c r="AB101" s="2144"/>
      <c r="AC101" s="2144"/>
    </row>
    <row r="102" spans="1:29" ht="15" thickTop="1">
      <c r="A102" s="668"/>
      <c r="B102" s="672" t="s">
        <v>713</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7" customFormat="1">
      <c r="A103" s="727"/>
      <c r="B103" s="728"/>
      <c r="C103" s="729"/>
      <c r="D103" s="729"/>
      <c r="E103" s="729"/>
      <c r="F103" s="729"/>
      <c r="G103" s="729"/>
      <c r="H103" s="729"/>
      <c r="I103" s="729"/>
      <c r="J103" s="730"/>
      <c r="K103" s="730"/>
      <c r="L103" s="731"/>
      <c r="M103" s="732"/>
      <c r="N103" s="2166"/>
      <c r="O103" s="2166"/>
      <c r="P103" s="2167"/>
      <c r="Q103" s="2168"/>
      <c r="R103" s="2169"/>
      <c r="S103" s="2169"/>
      <c r="T103" s="2169"/>
      <c r="U103" s="2169"/>
      <c r="V103" s="2169"/>
      <c r="W103" s="2169"/>
      <c r="X103" s="2169"/>
      <c r="Y103" s="2169"/>
      <c r="Z103" s="2169"/>
      <c r="AA103" s="2169"/>
      <c r="AB103" s="2169"/>
      <c r="AC103" s="2169"/>
    </row>
    <row r="104" spans="1:29" s="1337" customFormat="1" ht="14.4" thickBot="1">
      <c r="A104" s="686"/>
      <c r="B104" s="677"/>
      <c r="C104" s="691"/>
      <c r="D104" s="670"/>
      <c r="E104" s="670"/>
      <c r="F104" s="670"/>
      <c r="G104" s="670"/>
      <c r="H104" s="670"/>
      <c r="I104" s="670"/>
      <c r="J104" s="670"/>
      <c r="K104" s="670"/>
      <c r="L104" s="670"/>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4"/>
      <c r="B105" s="672" t="s">
        <v>714</v>
      </c>
      <c r="C105" s="687"/>
      <c r="D105" s="687"/>
      <c r="E105" s="717"/>
      <c r="F105" s="71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4"/>
      <c r="B107" s="672" t="s">
        <v>716</v>
      </c>
      <c r="C107" s="687"/>
      <c r="D107" s="687"/>
      <c r="E107" s="687"/>
      <c r="F107" s="717"/>
      <c r="G107" s="717"/>
      <c r="H107" s="717"/>
      <c r="I107" s="717"/>
      <c r="J107" s="717"/>
      <c r="K107" s="718"/>
      <c r="L107" s="719"/>
      <c r="M107" s="720"/>
      <c r="N107" s="2163"/>
      <c r="O107" s="2163"/>
      <c r="P107" s="2164"/>
      <c r="Q107" s="2157"/>
      <c r="R107" s="2144"/>
      <c r="S107" s="2144"/>
      <c r="T107" s="2144"/>
      <c r="U107" s="2144"/>
      <c r="V107" s="2144"/>
      <c r="W107" s="2144"/>
      <c r="X107" s="2144"/>
      <c r="Y107" s="2144"/>
      <c r="Z107" s="2144"/>
      <c r="AA107" s="2144"/>
      <c r="AB107" s="2144"/>
      <c r="AC107" s="2144"/>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4"/>
      <c r="B109" s="672" t="s">
        <v>717</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3"/>
      <c r="O109" s="2163"/>
      <c r="P109" s="2164"/>
      <c r="Q109" s="2157"/>
      <c r="R109" s="2144"/>
      <c r="S109" s="2144"/>
      <c r="T109" s="2144"/>
      <c r="U109" s="2144"/>
      <c r="V109" s="2144"/>
      <c r="W109" s="2144"/>
      <c r="X109" s="2144"/>
      <c r="Y109" s="2144"/>
      <c r="Z109" s="2144"/>
      <c r="AA109" s="2144"/>
      <c r="AB109" s="2144"/>
      <c r="AC109" s="2144"/>
    </row>
    <row r="110" spans="1:29">
      <c r="A110" s="734"/>
      <c r="B110" s="680"/>
      <c r="C110" s="892">
        <v>0.5</v>
      </c>
      <c r="D110" s="892">
        <v>0.6</v>
      </c>
      <c r="E110" s="892">
        <v>0.7</v>
      </c>
      <c r="F110" s="892">
        <v>0.8</v>
      </c>
      <c r="G110" s="892">
        <v>0.9</v>
      </c>
      <c r="H110" s="892">
        <v>1.0001</v>
      </c>
      <c r="I110" s="903"/>
      <c r="J110" s="903"/>
      <c r="K110" s="904"/>
      <c r="L110" s="905"/>
      <c r="M110" s="906"/>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5"/>
      <c r="O111" s="2165"/>
      <c r="P111" s="2164"/>
      <c r="Q111" s="2157"/>
      <c r="R111" s="2144"/>
      <c r="S111" s="2144"/>
      <c r="T111" s="2144"/>
      <c r="U111" s="2144"/>
      <c r="V111" s="2144"/>
      <c r="W111" s="2144"/>
      <c r="X111" s="2144"/>
      <c r="Y111" s="2144"/>
      <c r="Z111" s="2144"/>
      <c r="AA111" s="2144"/>
      <c r="AB111" s="2144"/>
      <c r="AC111" s="2144"/>
    </row>
    <row r="112" spans="1:29" s="1337" customFormat="1" ht="15" thickTop="1">
      <c r="A112" s="727"/>
      <c r="B112" s="1895" t="s">
        <v>2518</v>
      </c>
      <c r="C112" s="687"/>
      <c r="D112" s="687"/>
      <c r="E112" s="687"/>
      <c r="F112" s="687"/>
      <c r="G112" s="687"/>
      <c r="H112" s="717"/>
      <c r="I112" s="717"/>
      <c r="J112" s="717"/>
      <c r="K112" s="718"/>
      <c r="L112" s="719"/>
      <c r="M112" s="720"/>
      <c r="N112" s="2166"/>
      <c r="O112" s="2166"/>
      <c r="P112" s="2167"/>
      <c r="Q112" s="2168"/>
      <c r="R112" s="2169"/>
      <c r="S112" s="2169"/>
      <c r="T112" s="2169"/>
      <c r="U112" s="2169"/>
      <c r="V112" s="2169"/>
      <c r="W112" s="2169"/>
      <c r="X112" s="2169"/>
      <c r="Y112" s="2169"/>
      <c r="Z112" s="2169"/>
      <c r="AA112" s="2169"/>
      <c r="AB112" s="2169"/>
      <c r="AC112" s="2169"/>
    </row>
    <row r="113" spans="1:29" s="1337"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4"/>
      <c r="B114" s="672" t="s">
        <v>738</v>
      </c>
      <c r="C114" s="687"/>
      <c r="D114" s="687"/>
      <c r="E114" s="717"/>
      <c r="F114" s="717"/>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4"/>
      <c r="B116" s="672" t="s">
        <v>739</v>
      </c>
      <c r="C116" s="687"/>
      <c r="D116" s="687"/>
      <c r="E116" s="687"/>
      <c r="F116" s="687"/>
      <c r="G116" s="68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5"/>
      <c r="O117" s="2165"/>
      <c r="P117" s="2164"/>
      <c r="Q117" s="2157"/>
      <c r="R117" s="2144"/>
      <c r="S117" s="2144"/>
      <c r="T117" s="2144"/>
      <c r="U117" s="2144"/>
      <c r="V117" s="2144"/>
      <c r="W117" s="2144"/>
      <c r="X117" s="2144"/>
      <c r="Y117" s="2144"/>
      <c r="Z117" s="2144"/>
      <c r="AA117" s="2144"/>
      <c r="AB117" s="2144"/>
      <c r="AC117" s="2144"/>
    </row>
    <row r="118" spans="1:29" ht="15" thickTop="1">
      <c r="A118" s="734"/>
      <c r="B118" s="672" t="s">
        <v>740</v>
      </c>
      <c r="C118" s="907"/>
      <c r="D118" s="907"/>
      <c r="E118" s="907"/>
      <c r="F118" s="907"/>
      <c r="G118" s="907"/>
      <c r="H118" s="688"/>
      <c r="I118" s="688"/>
      <c r="J118" s="688"/>
      <c r="K118" s="688"/>
      <c r="L118" s="689"/>
      <c r="M118" s="690"/>
      <c r="N118" s="2163"/>
      <c r="O118" s="2163"/>
      <c r="P118" s="2164"/>
      <c r="Q118" s="2157"/>
      <c r="R118" s="2144"/>
      <c r="S118" s="2144"/>
      <c r="T118" s="2144"/>
      <c r="U118" s="2144"/>
      <c r="V118" s="2144"/>
      <c r="W118" s="2144"/>
      <c r="X118" s="2144"/>
      <c r="Y118" s="2144"/>
      <c r="Z118" s="2144"/>
      <c r="AA118" s="2144"/>
      <c r="AB118" s="2144"/>
      <c r="AC118" s="2144"/>
    </row>
    <row r="119" spans="1:29" ht="14.4" thickBot="1">
      <c r="A119" s="668"/>
      <c r="B119" s="677"/>
      <c r="C119" s="691"/>
      <c r="D119" s="670"/>
      <c r="E119" s="670"/>
      <c r="F119" s="670"/>
      <c r="G119" s="670"/>
      <c r="H119" s="670"/>
      <c r="I119" s="670"/>
      <c r="J119" s="670"/>
      <c r="K119" s="670"/>
      <c r="L119" s="670"/>
      <c r="M119" s="671"/>
      <c r="N119" s="2165"/>
      <c r="O119" s="2165"/>
      <c r="P119" s="2164"/>
      <c r="Q119" s="2157"/>
      <c r="R119" s="2144"/>
      <c r="S119" s="2144"/>
      <c r="T119" s="2144"/>
      <c r="U119" s="2144"/>
      <c r="V119" s="2144"/>
      <c r="W119" s="2144"/>
      <c r="X119" s="2144"/>
      <c r="Y119" s="2144"/>
      <c r="Z119" s="2144"/>
      <c r="AA119" s="2144"/>
      <c r="AB119" s="2144"/>
      <c r="AC119" s="2144"/>
    </row>
    <row r="120" spans="1:29" s="1337" customFormat="1" ht="15" thickTop="1">
      <c r="A120" s="727"/>
      <c r="B120" s="672" t="s">
        <v>741</v>
      </c>
      <c r="C120" s="717"/>
      <c r="D120" s="717"/>
      <c r="E120" s="717"/>
      <c r="F120" s="717"/>
      <c r="G120" s="688"/>
      <c r="H120" s="688"/>
      <c r="I120" s="688"/>
      <c r="J120" s="688"/>
      <c r="K120" s="688"/>
      <c r="L120" s="689"/>
      <c r="M120" s="690"/>
      <c r="N120" s="2166"/>
      <c r="O120" s="2166"/>
      <c r="P120" s="2167"/>
      <c r="Q120" s="2168"/>
      <c r="R120" s="2169"/>
      <c r="S120" s="2169"/>
      <c r="T120" s="2169"/>
      <c r="U120" s="2169"/>
      <c r="V120" s="2169"/>
      <c r="W120" s="2169"/>
      <c r="X120" s="2169"/>
      <c r="Y120" s="2169"/>
      <c r="Z120" s="2169"/>
      <c r="AA120" s="2169"/>
      <c r="AB120" s="2169"/>
      <c r="AC120" s="2169"/>
    </row>
    <row r="121" spans="1:29" s="1337"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4"/>
      <c r="B122" s="672" t="s">
        <v>720</v>
      </c>
      <c r="C122" s="687"/>
      <c r="D122" s="687"/>
      <c r="E122" s="687"/>
      <c r="F122" s="717"/>
      <c r="G122" s="717"/>
      <c r="H122" s="717"/>
      <c r="I122" s="717"/>
      <c r="J122" s="717"/>
      <c r="K122" s="718"/>
      <c r="L122" s="719"/>
      <c r="M122" s="720"/>
      <c r="N122" s="2163"/>
      <c r="O122" s="2163"/>
      <c r="P122" s="2164"/>
      <c r="Q122" s="2157"/>
      <c r="R122" s="2144"/>
      <c r="S122" s="2144"/>
      <c r="T122" s="2144"/>
      <c r="U122" s="2144"/>
      <c r="V122" s="2144"/>
      <c r="W122" s="2144"/>
      <c r="X122" s="2144"/>
      <c r="Y122" s="2144"/>
      <c r="Z122" s="2144"/>
      <c r="AA122" s="2144"/>
      <c r="AB122" s="2144"/>
      <c r="AC122" s="2144"/>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9.4" thickTop="1">
      <c r="A124" s="734"/>
      <c r="B124" s="672" t="s">
        <v>721</v>
      </c>
      <c r="C124" s="707" t="s">
        <v>544</v>
      </c>
      <c r="D124" s="707" t="s">
        <v>545</v>
      </c>
      <c r="E124" s="707" t="s">
        <v>546</v>
      </c>
      <c r="F124" s="707" t="s">
        <v>547</v>
      </c>
      <c r="G124" s="707" t="s">
        <v>548</v>
      </c>
      <c r="H124" s="673"/>
      <c r="I124" s="673"/>
      <c r="J124" s="673"/>
      <c r="K124" s="674"/>
      <c r="L124" s="675"/>
      <c r="M124" s="676"/>
      <c r="N124" s="2163"/>
      <c r="O124" s="2163"/>
      <c r="P124" s="2167"/>
      <c r="Q124" s="2157"/>
      <c r="R124" s="2144"/>
      <c r="S124" s="2144"/>
      <c r="T124" s="2144"/>
      <c r="U124" s="2144"/>
      <c r="V124" s="2144"/>
      <c r="W124" s="2144"/>
      <c r="X124" s="2144"/>
      <c r="Y124" s="2144"/>
      <c r="Z124" s="2144"/>
      <c r="AA124" s="2144"/>
      <c r="AB124" s="2144"/>
      <c r="AC124" s="2144"/>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5"/>
      <c r="O125" s="2165"/>
      <c r="P125" s="2164"/>
      <c r="Q125" s="2157"/>
      <c r="R125" s="2144"/>
      <c r="S125" s="2144"/>
      <c r="T125" s="2144"/>
      <c r="U125" s="2144"/>
      <c r="V125" s="2144"/>
      <c r="W125" s="2144"/>
      <c r="X125" s="2144"/>
      <c r="Y125" s="2144"/>
      <c r="Z125" s="2144"/>
      <c r="AA125" s="2144"/>
      <c r="AB125" s="2144"/>
      <c r="AC125" s="2144"/>
    </row>
    <row r="126" spans="1:29" s="1337" customFormat="1" ht="14.4" thickTop="1">
      <c r="A126" s="727"/>
      <c r="B126" s="672">
        <f>B44</f>
        <v>111</v>
      </c>
      <c r="C126" s="687"/>
      <c r="D126" s="687"/>
      <c r="E126" s="687"/>
      <c r="F126" s="687"/>
      <c r="G126" s="687"/>
      <c r="H126" s="688"/>
      <c r="I126" s="688"/>
      <c r="J126" s="688"/>
      <c r="K126" s="688"/>
      <c r="L126" s="689"/>
      <c r="M126" s="690"/>
      <c r="N126" s="2166"/>
      <c r="O126" s="2166"/>
      <c r="P126" s="2167"/>
      <c r="Q126" s="2168"/>
      <c r="R126" s="2169"/>
      <c r="S126" s="2169"/>
      <c r="T126" s="2169"/>
      <c r="U126" s="2169"/>
      <c r="V126" s="2169"/>
      <c r="W126" s="2169"/>
      <c r="X126" s="2169"/>
      <c r="Y126" s="2169"/>
      <c r="Z126" s="2169"/>
      <c r="AA126" s="2169"/>
      <c r="AB126" s="2169"/>
      <c r="AC126" s="2169"/>
    </row>
    <row r="127" spans="1:29" s="1337" customFormat="1" ht="14.4" thickBot="1">
      <c r="A127" s="686"/>
      <c r="B127" s="677"/>
      <c r="C127" s="691"/>
      <c r="D127" s="670"/>
      <c r="E127" s="670"/>
      <c r="F127" s="670"/>
      <c r="G127" s="691"/>
      <c r="H127" s="692"/>
      <c r="I127" s="692"/>
      <c r="J127" s="692"/>
      <c r="K127" s="692"/>
      <c r="L127" s="692"/>
      <c r="M127" s="693"/>
      <c r="N127" s="2166"/>
      <c r="O127" s="2166"/>
      <c r="P127" s="2167"/>
      <c r="Q127" s="2168"/>
      <c r="R127" s="2169"/>
      <c r="S127" s="2169"/>
      <c r="T127" s="2169"/>
      <c r="U127" s="2169"/>
      <c r="V127" s="2169"/>
      <c r="W127" s="2169"/>
      <c r="X127" s="2169"/>
      <c r="Y127" s="2169"/>
      <c r="Z127" s="2169"/>
      <c r="AA127" s="2169"/>
      <c r="AB127" s="2169"/>
      <c r="AC127" s="2169"/>
    </row>
    <row r="128" spans="1:29" ht="14.4" thickTop="1">
      <c r="A128" s="734"/>
      <c r="B128" s="672">
        <f>B45</f>
        <v>111</v>
      </c>
      <c r="C128" s="687"/>
      <c r="D128" s="687"/>
      <c r="E128" s="687"/>
      <c r="F128" s="687"/>
      <c r="G128" s="717"/>
      <c r="H128" s="717"/>
      <c r="I128" s="717"/>
      <c r="J128" s="717"/>
      <c r="K128" s="718"/>
      <c r="L128" s="719"/>
      <c r="M128" s="720"/>
      <c r="N128" s="2163"/>
      <c r="O128" s="2163"/>
      <c r="P128" s="2164"/>
      <c r="Q128" s="2157"/>
      <c r="R128" s="2144"/>
      <c r="S128" s="2144"/>
      <c r="T128" s="2144"/>
      <c r="U128" s="2144"/>
      <c r="V128" s="2144"/>
      <c r="W128" s="2144"/>
      <c r="X128" s="2144"/>
      <c r="Y128" s="2144"/>
      <c r="Z128" s="2144"/>
      <c r="AA128" s="2144"/>
      <c r="AB128" s="2144"/>
      <c r="AC128" s="2144"/>
    </row>
    <row r="129" spans="1:29" ht="14.4" thickBot="1">
      <c r="A129" s="668"/>
      <c r="B129" s="677"/>
      <c r="C129" s="691"/>
      <c r="D129" s="670"/>
      <c r="E129" s="670"/>
      <c r="F129" s="670"/>
      <c r="G129" s="670"/>
      <c r="H129" s="670"/>
      <c r="I129" s="670"/>
      <c r="J129" s="670"/>
      <c r="K129" s="670"/>
      <c r="L129" s="670"/>
      <c r="M129" s="671"/>
      <c r="N129" s="2165"/>
      <c r="O129" s="2165"/>
      <c r="P129" s="2164"/>
      <c r="Q129" s="2157"/>
      <c r="R129" s="2144"/>
      <c r="S129" s="2144"/>
      <c r="T129" s="2144"/>
      <c r="U129" s="2144"/>
      <c r="V129" s="2144"/>
      <c r="W129" s="2144"/>
      <c r="X129" s="2144"/>
      <c r="Y129" s="2144"/>
      <c r="Z129" s="2144"/>
      <c r="AA129" s="2144"/>
      <c r="AB129" s="2144"/>
      <c r="AC129" s="2144"/>
    </row>
    <row r="130" spans="1:29" ht="14.4" thickTop="1">
      <c r="A130" s="734"/>
      <c r="B130" s="680">
        <f>B46</f>
        <v>111</v>
      </c>
      <c r="C130" s="687"/>
      <c r="D130" s="687"/>
      <c r="E130" s="687"/>
      <c r="F130" s="687"/>
      <c r="G130" s="721"/>
      <c r="H130" s="721"/>
      <c r="I130" s="721"/>
      <c r="J130" s="721"/>
      <c r="K130" s="660"/>
      <c r="L130" s="661"/>
      <c r="M130" s="724"/>
      <c r="N130" s="2163"/>
      <c r="O130" s="2163"/>
      <c r="P130" s="2164"/>
      <c r="Q130" s="2157"/>
      <c r="R130" s="2144"/>
      <c r="S130" s="2144"/>
      <c r="T130" s="2144"/>
      <c r="U130" s="2144"/>
      <c r="V130" s="2144"/>
      <c r="W130" s="2144"/>
      <c r="X130" s="2144"/>
      <c r="Y130" s="2144"/>
      <c r="Z130" s="2144"/>
      <c r="AA130" s="2144"/>
      <c r="AB130" s="2144"/>
      <c r="AC130" s="2144"/>
    </row>
    <row r="131" spans="1:29" ht="14.4" thickBot="1">
      <c r="A131" s="891"/>
      <c r="B131" s="698"/>
      <c r="C131" s="699"/>
      <c r="D131" s="699"/>
      <c r="E131" s="699"/>
      <c r="F131" s="699"/>
      <c r="G131" s="725"/>
      <c r="H131" s="725"/>
      <c r="I131" s="725"/>
      <c r="J131" s="725"/>
      <c r="K131" s="725"/>
      <c r="L131" s="725"/>
      <c r="M131" s="726"/>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2220"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683</v>
      </c>
      <c r="B1" s="502" t="s">
        <v>742</v>
      </c>
      <c r="C1" s="503" t="s">
        <v>685</v>
      </c>
      <c r="D1" s="848"/>
      <c r="E1" s="505"/>
      <c r="F1" s="2806"/>
      <c r="G1" s="1599" t="s">
        <v>686</v>
      </c>
      <c r="H1" s="505"/>
      <c r="I1" s="505"/>
      <c r="J1" s="505"/>
      <c r="K1" s="506"/>
      <c r="L1" s="1560"/>
      <c r="M1" s="1561"/>
      <c r="N1" s="1561"/>
      <c r="O1" s="1561"/>
      <c r="P1" s="2206"/>
      <c r="Q1" s="1562"/>
      <c r="R1" s="1562"/>
      <c r="S1" s="1562"/>
      <c r="T1" s="1562"/>
      <c r="U1" s="1562"/>
      <c r="V1" s="1562"/>
      <c r="W1" s="1562"/>
      <c r="X1" s="1562"/>
      <c r="Y1" s="1562"/>
      <c r="Z1" s="1562"/>
      <c r="AA1" s="1562"/>
      <c r="AB1" s="1562"/>
      <c r="AC1" s="1563"/>
    </row>
    <row r="2" spans="1:29" s="1334" customFormat="1" ht="28.5" customHeight="1">
      <c r="A2" s="422" t="s">
        <v>432</v>
      </c>
      <c r="B2" s="849" t="e">
        <f>ROUND(B3*D3/10000,0)</f>
        <v>#DIV/0!</v>
      </c>
      <c r="C2" s="2126"/>
      <c r="D2" s="2126"/>
      <c r="E2" s="2060"/>
      <c r="F2" s="2128"/>
      <c r="G2" s="2127"/>
      <c r="H2" s="2127"/>
      <c r="I2" s="2127"/>
      <c r="J2" s="2127"/>
      <c r="K2" s="2127"/>
      <c r="L2" s="2130"/>
      <c r="M2" s="2131"/>
      <c r="N2" s="2131"/>
      <c r="O2" s="2131"/>
      <c r="P2" s="2206"/>
      <c r="Q2" s="1562"/>
      <c r="R2" s="1562"/>
      <c r="S2" s="1562"/>
      <c r="T2" s="1562"/>
      <c r="U2" s="1562"/>
      <c r="V2" s="1562"/>
      <c r="W2" s="1562"/>
      <c r="X2" s="1562"/>
      <c r="Y2" s="1562"/>
      <c r="Z2" s="1562"/>
      <c r="AA2" s="1562"/>
      <c r="AB2" s="1562"/>
      <c r="AC2" s="1563"/>
    </row>
    <row r="3" spans="1:29" s="1334" customFormat="1" ht="28.5" customHeight="1" thickBot="1">
      <c r="A3" s="508" t="s">
        <v>484</v>
      </c>
      <c r="B3" s="509" t="e">
        <f>C50</f>
        <v>#DIV/0!</v>
      </c>
      <c r="C3" s="851" t="s">
        <v>687</v>
      </c>
      <c r="D3" s="850">
        <f>SUMIF('数据-汇总表'!$C19:$C33,D1,'数据-汇总表'!$E19:$E33)</f>
        <v>0</v>
      </c>
      <c r="E3" s="2060"/>
      <c r="F3" s="2128"/>
      <c r="G3" s="2127"/>
      <c r="H3" s="2127"/>
      <c r="I3" s="2127"/>
      <c r="J3" s="2127"/>
      <c r="K3" s="2129"/>
      <c r="L3" s="2130"/>
      <c r="M3" s="2131"/>
      <c r="N3" s="2131"/>
      <c r="O3" s="2131"/>
      <c r="P3" s="2206"/>
      <c r="Q3" s="1562"/>
      <c r="R3" s="1562"/>
      <c r="S3" s="1562"/>
      <c r="T3" s="1562"/>
      <c r="U3" s="1562"/>
      <c r="V3" s="1562"/>
      <c r="W3" s="1562"/>
      <c r="X3" s="1562"/>
      <c r="Y3" s="1562"/>
      <c r="Z3" s="1562"/>
      <c r="AA3" s="1562"/>
      <c r="AB3" s="1562"/>
      <c r="AC3" s="1563"/>
    </row>
    <row r="4" spans="1:29" ht="14.4">
      <c r="A4" s="511" t="s">
        <v>486</v>
      </c>
      <c r="B4" s="512"/>
      <c r="C4" s="3368" t="s">
        <v>487</v>
      </c>
      <c r="D4" s="3369"/>
      <c r="E4" s="3404" t="s">
        <v>488</v>
      </c>
      <c r="F4" s="3405"/>
      <c r="G4" s="3368" t="s">
        <v>489</v>
      </c>
      <c r="H4" s="3369"/>
      <c r="I4" s="3368" t="s">
        <v>490</v>
      </c>
      <c r="J4" s="3369"/>
      <c r="K4" s="513" t="s">
        <v>491</v>
      </c>
      <c r="L4" s="2132"/>
      <c r="M4" s="2133"/>
      <c r="N4" s="2133"/>
      <c r="O4" s="2133"/>
      <c r="P4" s="3482" t="s">
        <v>492</v>
      </c>
      <c r="Q4" s="3371"/>
      <c r="R4" s="3376" t="s">
        <v>488</v>
      </c>
      <c r="S4" s="3377"/>
      <c r="T4" s="3376" t="s">
        <v>489</v>
      </c>
      <c r="U4" s="3377"/>
      <c r="V4" s="3363" t="s">
        <v>490</v>
      </c>
      <c r="W4" s="3363"/>
      <c r="X4" s="1565"/>
      <c r="Y4" s="3376" t="s">
        <v>492</v>
      </c>
      <c r="Z4" s="3377"/>
      <c r="AA4" s="3365" t="s">
        <v>488</v>
      </c>
      <c r="AB4" s="3365" t="s">
        <v>489</v>
      </c>
      <c r="AC4" s="3365" t="s">
        <v>490</v>
      </c>
    </row>
    <row r="5" spans="1:29">
      <c r="A5" s="514"/>
      <c r="B5" s="515"/>
      <c r="C5" s="3400" t="s">
        <v>2889</v>
      </c>
      <c r="D5" s="3385"/>
      <c r="E5" s="3406" t="s">
        <v>2890</v>
      </c>
      <c r="F5" s="3407"/>
      <c r="G5" s="3400" t="s">
        <v>2891</v>
      </c>
      <c r="H5" s="3385"/>
      <c r="I5" s="3400" t="s">
        <v>2892</v>
      </c>
      <c r="J5" s="3385"/>
      <c r="K5" s="513"/>
      <c r="L5" s="2132"/>
      <c r="M5" s="2133"/>
      <c r="N5" s="2133"/>
      <c r="O5" s="2133"/>
      <c r="P5" s="3483"/>
      <c r="Q5" s="3373"/>
      <c r="R5" s="3378"/>
      <c r="S5" s="3379"/>
      <c r="T5" s="3378"/>
      <c r="U5" s="3379"/>
      <c r="V5" s="3363"/>
      <c r="W5" s="3363"/>
      <c r="X5" s="1565"/>
      <c r="Y5" s="3378"/>
      <c r="Z5" s="3379"/>
      <c r="AA5" s="3366"/>
      <c r="AB5" s="3366"/>
      <c r="AC5" s="3366"/>
    </row>
    <row r="6" spans="1:29" ht="15" thickBot="1">
      <c r="A6" s="516"/>
      <c r="B6" s="517"/>
      <c r="C6" s="3401" t="s">
        <v>2893</v>
      </c>
      <c r="D6" s="3383"/>
      <c r="E6" s="3402" t="s">
        <v>2893</v>
      </c>
      <c r="F6" s="3403"/>
      <c r="G6" s="3401" t="s">
        <v>2893</v>
      </c>
      <c r="H6" s="3383"/>
      <c r="I6" s="3401" t="s">
        <v>2893</v>
      </c>
      <c r="J6" s="3383"/>
      <c r="K6" s="513" t="s">
        <v>493</v>
      </c>
      <c r="L6" s="2132"/>
      <c r="M6" s="2133"/>
      <c r="N6" s="2133"/>
      <c r="O6" s="2133"/>
      <c r="P6" s="3484"/>
      <c r="Q6" s="3375"/>
      <c r="R6" s="3378"/>
      <c r="S6" s="3379"/>
      <c r="T6" s="3380"/>
      <c r="U6" s="3381"/>
      <c r="V6" s="3363"/>
      <c r="W6" s="3363"/>
      <c r="X6" s="1565"/>
      <c r="Y6" s="3380"/>
      <c r="Z6" s="3381"/>
      <c r="AA6" s="3367"/>
      <c r="AB6" s="3367"/>
      <c r="AC6" s="3367"/>
    </row>
    <row r="7" spans="1:29" s="1218" customFormat="1" ht="15" thickBot="1">
      <c r="A7" s="2911"/>
      <c r="B7" s="2918" t="s">
        <v>494</v>
      </c>
      <c r="C7" s="518">
        <f>'数据-取费表'!B2</f>
        <v>43458</v>
      </c>
      <c r="D7" s="519">
        <v>100</v>
      </c>
      <c r="E7" s="520"/>
      <c r="F7" s="521">
        <f>SUMIF(59:59,YEAR(E7)&amp;"-"&amp;MONTH(E7),60:60)</f>
        <v>0</v>
      </c>
      <c r="G7" s="520"/>
      <c r="H7" s="519">
        <f>SUMIF(59:59,YEAR(G7)&amp;"-"&amp;MONTH(G7),60:60)</f>
        <v>0</v>
      </c>
      <c r="I7" s="520"/>
      <c r="J7" s="519">
        <f>SUMIF(59:59,YEAR(I7)&amp;"-"&amp;MONTH(I7),60:60)</f>
        <v>0</v>
      </c>
      <c r="K7" s="523"/>
      <c r="L7" s="2134"/>
      <c r="M7" s="2135"/>
      <c r="N7" s="2135"/>
      <c r="O7" s="2135"/>
      <c r="P7" s="3395" t="s">
        <v>495</v>
      </c>
      <c r="Q7" s="3395"/>
      <c r="R7" s="1566" t="s">
        <v>8</v>
      </c>
      <c r="S7" s="1567">
        <f t="shared" ref="S7:S15" si="0">F7</f>
        <v>0</v>
      </c>
      <c r="T7" s="1566" t="s">
        <v>8</v>
      </c>
      <c r="U7" s="1567">
        <f t="shared" ref="U7:U15" si="1">H7</f>
        <v>0</v>
      </c>
      <c r="V7" s="1566" t="s">
        <v>8</v>
      </c>
      <c r="W7" s="1567">
        <f t="shared" ref="W7:W15" si="2">J7</f>
        <v>0</v>
      </c>
      <c r="X7" s="1568"/>
      <c r="Y7" s="3393" t="s">
        <v>495</v>
      </c>
      <c r="Z7" s="3394"/>
      <c r="AA7" s="1569" t="e">
        <f>D7/F7</f>
        <v>#DIV/0!</v>
      </c>
      <c r="AB7" s="1569" t="e">
        <f>D7/H7</f>
        <v>#DIV/0!</v>
      </c>
      <c r="AC7" s="1569" t="e">
        <f>D7/J7</f>
        <v>#DIV/0!</v>
      </c>
    </row>
    <row r="8" spans="1:29" s="1218" customFormat="1" ht="15" thickBot="1">
      <c r="A8" s="2912"/>
      <c r="B8" s="2919" t="s">
        <v>496</v>
      </c>
      <c r="C8" s="524" t="s">
        <v>541</v>
      </c>
      <c r="D8" s="519">
        <v>100</v>
      </c>
      <c r="E8" s="524"/>
      <c r="F8" s="521">
        <f>SUMIF(62:62,E8,63:63)-SUMIF(62:62,C8,63:63)+100</f>
        <v>0</v>
      </c>
      <c r="G8" s="524"/>
      <c r="H8" s="519">
        <f>SUMIF(62:62,G8,63:63)-SUMIF(62:62,C8,63:63)+100</f>
        <v>0</v>
      </c>
      <c r="I8" s="524"/>
      <c r="J8" s="519">
        <f>SUMIF(62:62,I8,63:63)-SUMIF(62:62,C8,63:63)+100</f>
        <v>0</v>
      </c>
      <c r="K8" s="523"/>
      <c r="L8" s="2134"/>
      <c r="M8" s="2135"/>
      <c r="N8" s="2135"/>
      <c r="O8" s="2135"/>
      <c r="P8" s="3395" t="s">
        <v>498</v>
      </c>
      <c r="Q8" s="3394"/>
      <c r="R8" s="1566" t="s">
        <v>8</v>
      </c>
      <c r="S8" s="1567">
        <f t="shared" si="0"/>
        <v>0</v>
      </c>
      <c r="T8" s="1566" t="s">
        <v>8</v>
      </c>
      <c r="U8" s="1567">
        <f t="shared" si="1"/>
        <v>0</v>
      </c>
      <c r="V8" s="1566" t="s">
        <v>8</v>
      </c>
      <c r="W8" s="1567">
        <f t="shared" si="2"/>
        <v>0</v>
      </c>
      <c r="X8" s="1568"/>
      <c r="Y8" s="3393" t="s">
        <v>498</v>
      </c>
      <c r="Z8" s="3394"/>
      <c r="AA8" s="1569" t="e">
        <f t="shared" ref="AA8:AA47" si="3">D8/F8</f>
        <v>#DIV/0!</v>
      </c>
      <c r="AB8" s="1569" t="e">
        <f t="shared" ref="AB8:AB47" si="4">D8/H8</f>
        <v>#DIV/0!</v>
      </c>
      <c r="AC8" s="1569" t="e">
        <f t="shared" ref="AC8:AC47" si="5">D8/J8</f>
        <v>#DIV/0!</v>
      </c>
    </row>
    <row r="9" spans="1:29" s="1218" customFormat="1" ht="14.4">
      <c r="A9" s="2913"/>
      <c r="B9" s="2920" t="s">
        <v>2718</v>
      </c>
      <c r="C9" s="856"/>
      <c r="D9" s="253">
        <v>100</v>
      </c>
      <c r="E9" s="859"/>
      <c r="F9" s="253">
        <f>SUMIF(64:64,E9,65:65)-SUMIF(64:64,C9,65:65)+100</f>
        <v>100</v>
      </c>
      <c r="G9" s="857"/>
      <c r="H9" s="253">
        <f>SUMIF(64:64,G9,65:65)-SUMIF(64:64,C9,65:65)+100</f>
        <v>100</v>
      </c>
      <c r="I9" s="857"/>
      <c r="J9" s="253">
        <f>SUMIF(64:64,I9,65:65)-SUMIF(64:64,C9,65:65)+100</f>
        <v>100</v>
      </c>
      <c r="K9" s="523"/>
      <c r="L9" s="2134"/>
      <c r="M9" s="2135"/>
      <c r="N9" s="2135"/>
      <c r="O9" s="2135"/>
      <c r="P9" s="3362" t="s">
        <v>500</v>
      </c>
      <c r="Q9" s="1149" t="str">
        <f t="shared" ref="Q9:Q15" si="6">B9</f>
        <v>用途</v>
      </c>
      <c r="R9" s="1566" t="s">
        <v>8</v>
      </c>
      <c r="S9" s="1567">
        <f t="shared" si="0"/>
        <v>100</v>
      </c>
      <c r="T9" s="1566" t="s">
        <v>8</v>
      </c>
      <c r="U9" s="1567">
        <f t="shared" si="1"/>
        <v>100</v>
      </c>
      <c r="V9" s="1566" t="s">
        <v>8</v>
      </c>
      <c r="W9" s="1567">
        <f t="shared" si="2"/>
        <v>100</v>
      </c>
      <c r="X9" s="1568"/>
      <c r="Y9" s="3308" t="s">
        <v>501</v>
      </c>
      <c r="Z9" s="1148" t="str">
        <f t="shared" ref="Z9:Z15" si="7">Q9</f>
        <v>用途</v>
      </c>
      <c r="AA9" s="1569">
        <f t="shared" si="3"/>
        <v>1</v>
      </c>
      <c r="AB9" s="1569">
        <f t="shared" si="4"/>
        <v>1</v>
      </c>
      <c r="AC9" s="1569">
        <f t="shared" si="5"/>
        <v>1</v>
      </c>
    </row>
    <row r="10" spans="1:29" s="1336" customFormat="1" ht="28.8">
      <c r="A10" s="2914"/>
      <c r="B10" s="2919" t="s">
        <v>2719</v>
      </c>
      <c r="C10" s="860"/>
      <c r="D10" s="254">
        <v>100</v>
      </c>
      <c r="E10" s="860"/>
      <c r="F10" s="254">
        <f>SUMIF(66:66,E10,67:67)-SUMIF(66:66,C10,67:67)+100</f>
        <v>100</v>
      </c>
      <c r="G10" s="861"/>
      <c r="H10" s="254">
        <f>SUMIF(66:66,G10,67:67)-SUMIF(66:66,C10,67:67)+100</f>
        <v>100</v>
      </c>
      <c r="I10" s="860"/>
      <c r="J10" s="254">
        <f>SUMIF(66:66,I10,67:67)-SUMIF(66:66,C10,67:67)+100</f>
        <v>100</v>
      </c>
      <c r="K10" s="583"/>
      <c r="L10" s="2137"/>
      <c r="M10" s="2177"/>
      <c r="N10" s="2177"/>
      <c r="O10" s="2177"/>
      <c r="P10" s="3362"/>
      <c r="Q10" s="1149" t="str">
        <f t="shared" si="6"/>
        <v>土地使用年限（年）</v>
      </c>
      <c r="R10" s="1566" t="s">
        <v>8</v>
      </c>
      <c r="S10" s="1567">
        <f t="shared" si="0"/>
        <v>100</v>
      </c>
      <c r="T10" s="1566" t="s">
        <v>8</v>
      </c>
      <c r="U10" s="1567">
        <f t="shared" si="1"/>
        <v>100</v>
      </c>
      <c r="V10" s="1566" t="s">
        <v>8</v>
      </c>
      <c r="W10" s="1567">
        <f t="shared" si="2"/>
        <v>100</v>
      </c>
      <c r="X10" s="1568"/>
      <c r="Y10" s="3308"/>
      <c r="Z10" s="1148" t="str">
        <f t="shared" si="7"/>
        <v>土地使用年限（年）</v>
      </c>
      <c r="AA10" s="1569">
        <f t="shared" si="3"/>
        <v>1</v>
      </c>
      <c r="AB10" s="1569">
        <f t="shared" si="4"/>
        <v>1</v>
      </c>
      <c r="AC10" s="1569">
        <f t="shared" si="5"/>
        <v>1</v>
      </c>
    </row>
    <row r="11" spans="1:29" ht="15">
      <c r="A11" s="2915"/>
      <c r="B11" s="2919" t="s">
        <v>2720</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9"/>
      <c r="M11" s="2133"/>
      <c r="N11" s="2133"/>
      <c r="O11" s="2133"/>
      <c r="P11" s="3362"/>
      <c r="Q11" s="1149" t="str">
        <f t="shared" si="6"/>
        <v>容积率</v>
      </c>
      <c r="R11" s="1566" t="s">
        <v>8</v>
      </c>
      <c r="S11" s="1567" t="e">
        <f t="shared" si="0"/>
        <v>#N/A</v>
      </c>
      <c r="T11" s="1566" t="s">
        <v>8</v>
      </c>
      <c r="U11" s="1567" t="e">
        <f t="shared" si="1"/>
        <v>#N/A</v>
      </c>
      <c r="V11" s="1566" t="s">
        <v>8</v>
      </c>
      <c r="W11" s="1567" t="e">
        <f t="shared" si="2"/>
        <v>#N/A</v>
      </c>
      <c r="X11" s="1568"/>
      <c r="Y11" s="3308"/>
      <c r="Z11" s="1148" t="str">
        <f t="shared" si="7"/>
        <v>容积率</v>
      </c>
      <c r="AA11" s="1569" t="e">
        <f t="shared" si="3"/>
        <v>#N/A</v>
      </c>
      <c r="AB11" s="1569" t="e">
        <f t="shared" si="4"/>
        <v>#N/A</v>
      </c>
      <c r="AC11" s="1569" t="e">
        <f t="shared" si="5"/>
        <v>#N/A</v>
      </c>
    </row>
    <row r="12" spans="1:29" s="1218" customFormat="1" ht="15">
      <c r="A12" s="2916"/>
      <c r="B12" s="2922">
        <v>111</v>
      </c>
      <c r="C12" s="527"/>
      <c r="D12" s="537">
        <v>100</v>
      </c>
      <c r="E12" s="527"/>
      <c r="F12" s="254">
        <f>SUMIF(71:71,E12,72:72)-SUMIF(71:71,C12,72:72)+100</f>
        <v>100</v>
      </c>
      <c r="G12" s="908"/>
      <c r="H12" s="254">
        <f>SUMIF(71:71,G12,72:72)-SUMIF(71:71,C12,72:72)+100</f>
        <v>100</v>
      </c>
      <c r="I12" s="527"/>
      <c r="J12" s="254">
        <f>SUMIF(71:71,I12,72:72)-SUMIF(71:71,C12,72:72)+100</f>
        <v>100</v>
      </c>
      <c r="K12" s="580"/>
      <c r="L12" s="2134"/>
      <c r="M12" s="2135"/>
      <c r="N12" s="2135"/>
      <c r="O12" s="2135"/>
      <c r="P12" s="3362"/>
      <c r="Q12" s="1149">
        <f t="shared" si="6"/>
        <v>111</v>
      </c>
      <c r="R12" s="1566" t="s">
        <v>8</v>
      </c>
      <c r="S12" s="1567">
        <f t="shared" si="0"/>
        <v>100</v>
      </c>
      <c r="T12" s="1566" t="s">
        <v>8</v>
      </c>
      <c r="U12" s="1567">
        <f t="shared" si="1"/>
        <v>100</v>
      </c>
      <c r="V12" s="1566" t="s">
        <v>8</v>
      </c>
      <c r="W12" s="1567">
        <f t="shared" si="2"/>
        <v>100</v>
      </c>
      <c r="X12" s="1568"/>
      <c r="Y12" s="3308"/>
      <c r="Z12" s="1148">
        <f t="shared" si="7"/>
        <v>111</v>
      </c>
      <c r="AA12" s="1569">
        <f>D12/F12</f>
        <v>1</v>
      </c>
      <c r="AB12" s="1569">
        <f>D12/H12</f>
        <v>1</v>
      </c>
      <c r="AC12" s="1569">
        <f>D12/J12</f>
        <v>1</v>
      </c>
    </row>
    <row r="13" spans="1:29" ht="15">
      <c r="A13" s="2916"/>
      <c r="B13" s="2922">
        <v>111</v>
      </c>
      <c r="C13" s="538"/>
      <c r="D13" s="539">
        <v>100</v>
      </c>
      <c r="E13" s="527"/>
      <c r="F13" s="254">
        <f>SUMIF(73:73,E13,74:74)-SUMIF(73:73,C13,74:74)+100</f>
        <v>100</v>
      </c>
      <c r="G13" s="908"/>
      <c r="H13" s="539">
        <f>SUMIF(73:73,G13,74:74)-SUMIF(73:73,C13,74:74)+100</f>
        <v>100</v>
      </c>
      <c r="I13" s="527"/>
      <c r="J13" s="539">
        <f>SUMIF(73:73,I13,74:74)-SUMIF(73:73,C13,74:74)+100</f>
        <v>100</v>
      </c>
      <c r="K13" s="580"/>
      <c r="L13" s="2141"/>
      <c r="M13" s="2133"/>
      <c r="N13" s="2133"/>
      <c r="O13" s="2133"/>
      <c r="P13" s="3362"/>
      <c r="Q13" s="1149">
        <f t="shared" si="6"/>
        <v>111</v>
      </c>
      <c r="R13" s="1566" t="s">
        <v>8</v>
      </c>
      <c r="S13" s="1567">
        <f t="shared" si="0"/>
        <v>100</v>
      </c>
      <c r="T13" s="1566" t="s">
        <v>8</v>
      </c>
      <c r="U13" s="1567">
        <f t="shared" si="1"/>
        <v>100</v>
      </c>
      <c r="V13" s="1566" t="s">
        <v>8</v>
      </c>
      <c r="W13" s="1567">
        <f t="shared" si="2"/>
        <v>100</v>
      </c>
      <c r="X13" s="1568"/>
      <c r="Y13" s="3308"/>
      <c r="Z13" s="1148">
        <f t="shared" si="7"/>
        <v>111</v>
      </c>
      <c r="AA13" s="1569">
        <f t="shared" si="3"/>
        <v>1</v>
      </c>
      <c r="AB13" s="1569">
        <f t="shared" si="4"/>
        <v>1</v>
      </c>
      <c r="AC13" s="1569">
        <f t="shared" si="5"/>
        <v>1</v>
      </c>
    </row>
    <row r="14" spans="1:29" ht="15.6" thickBot="1">
      <c r="A14" s="2917"/>
      <c r="B14" s="2923">
        <v>111</v>
      </c>
      <c r="C14" s="544"/>
      <c r="D14" s="545">
        <v>100</v>
      </c>
      <c r="E14" s="909"/>
      <c r="F14" s="545">
        <f>SUMIF(75:75,E14,76:76)-SUMIF(75:75,C14,76:76)+100</f>
        <v>100</v>
      </c>
      <c r="G14" s="908"/>
      <c r="H14" s="545">
        <f>SUMIF(75:75,G14,76:76)-SUMIF(75:75,C14,76:76)+100</f>
        <v>100</v>
      </c>
      <c r="I14" s="527"/>
      <c r="J14" s="545">
        <f>SUMIF(75:75,I14,76:76)-SUMIF(75:75,C14,76:76)+100</f>
        <v>100</v>
      </c>
      <c r="K14" s="580"/>
      <c r="L14" s="2141"/>
      <c r="M14" s="2133"/>
      <c r="N14" s="2133"/>
      <c r="O14" s="2133"/>
      <c r="P14" s="3362"/>
      <c r="Q14" s="1149">
        <f t="shared" si="6"/>
        <v>111</v>
      </c>
      <c r="R14" s="1566" t="s">
        <v>8</v>
      </c>
      <c r="S14" s="1567">
        <f t="shared" si="0"/>
        <v>100</v>
      </c>
      <c r="T14" s="1566" t="s">
        <v>8</v>
      </c>
      <c r="U14" s="1567">
        <f t="shared" si="1"/>
        <v>100</v>
      </c>
      <c r="V14" s="1566" t="s">
        <v>8</v>
      </c>
      <c r="W14" s="1567">
        <f t="shared" si="2"/>
        <v>100</v>
      </c>
      <c r="X14" s="1568"/>
      <c r="Y14" s="3308"/>
      <c r="Z14" s="1148">
        <f t="shared" si="7"/>
        <v>111</v>
      </c>
      <c r="AA14" s="1569">
        <f t="shared" si="3"/>
        <v>1</v>
      </c>
      <c r="AB14" s="1569">
        <f t="shared" si="4"/>
        <v>1</v>
      </c>
      <c r="AC14" s="1569">
        <f t="shared" si="5"/>
        <v>1</v>
      </c>
    </row>
    <row r="15" spans="1:29" ht="82.8">
      <c r="A15" s="2909" t="s">
        <v>2716</v>
      </c>
      <c r="B15" s="546" t="s">
        <v>507</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6"/>
      <c r="L15" s="2141"/>
      <c r="M15" s="2133"/>
      <c r="N15" s="2133"/>
      <c r="O15" s="2133"/>
      <c r="P15" s="3396" t="s">
        <v>505</v>
      </c>
      <c r="Q15" s="1570" t="str">
        <f t="shared" si="6"/>
        <v>办公集聚程度</v>
      </c>
      <c r="R15" s="1571" t="s">
        <v>8</v>
      </c>
      <c r="S15" s="1572">
        <f t="shared" si="0"/>
        <v>100</v>
      </c>
      <c r="T15" s="1571" t="s">
        <v>8</v>
      </c>
      <c r="U15" s="1572">
        <f t="shared" si="1"/>
        <v>100</v>
      </c>
      <c r="V15" s="1571" t="s">
        <v>8</v>
      </c>
      <c r="W15" s="1572">
        <f t="shared" si="2"/>
        <v>100</v>
      </c>
      <c r="X15" s="1565"/>
      <c r="Y15" s="3396" t="s">
        <v>505</v>
      </c>
      <c r="Z15" s="1573" t="str">
        <f t="shared" si="7"/>
        <v>办公集聚程度</v>
      </c>
      <c r="AA15" s="1574">
        <f t="shared" si="3"/>
        <v>1</v>
      </c>
      <c r="AB15" s="1574">
        <f t="shared" si="4"/>
        <v>1</v>
      </c>
      <c r="AC15" s="1574">
        <f t="shared" si="5"/>
        <v>1</v>
      </c>
    </row>
    <row r="16" spans="1:29" ht="15">
      <c r="A16" s="531"/>
      <c r="B16" s="552"/>
      <c r="C16" s="553"/>
      <c r="D16" s="554"/>
      <c r="E16" s="575"/>
      <c r="F16" s="554"/>
      <c r="G16" s="553"/>
      <c r="H16" s="558"/>
      <c r="I16" s="575"/>
      <c r="J16" s="554"/>
      <c r="K16" s="897"/>
      <c r="L16" s="2141"/>
      <c r="M16" s="2133"/>
      <c r="N16" s="2133"/>
      <c r="O16" s="2133"/>
      <c r="P16" s="3397"/>
      <c r="Q16" s="1570"/>
      <c r="R16" s="1571"/>
      <c r="S16" s="1572"/>
      <c r="T16" s="1571"/>
      <c r="U16" s="1572"/>
      <c r="V16" s="1571"/>
      <c r="W16" s="1572"/>
      <c r="X16" s="1565"/>
      <c r="Y16" s="3397"/>
      <c r="Z16" s="1573"/>
      <c r="AA16" s="1574">
        <v>1</v>
      </c>
      <c r="AB16" s="1574">
        <v>1</v>
      </c>
      <c r="AC16" s="1574">
        <v>1</v>
      </c>
    </row>
    <row r="17" spans="1:29" ht="96.6">
      <c r="A17" s="531"/>
      <c r="B17" s="559" t="s">
        <v>261</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6"/>
      <c r="L17" s="2141"/>
      <c r="M17" s="2133"/>
      <c r="N17" s="2133"/>
      <c r="O17" s="2133"/>
      <c r="P17" s="3397"/>
      <c r="Q17" s="1570" t="str">
        <f>B17</f>
        <v>交通便捷度</v>
      </c>
      <c r="R17" s="1571" t="s">
        <v>8</v>
      </c>
      <c r="S17" s="1572">
        <f>F17</f>
        <v>100</v>
      </c>
      <c r="T17" s="1571" t="s">
        <v>8</v>
      </c>
      <c r="U17" s="1572">
        <f>H17</f>
        <v>100</v>
      </c>
      <c r="V17" s="1571" t="s">
        <v>8</v>
      </c>
      <c r="W17" s="1572">
        <f>J17</f>
        <v>100</v>
      </c>
      <c r="X17" s="1565"/>
      <c r="Y17" s="3397"/>
      <c r="Z17" s="1573" t="str">
        <f>Q17</f>
        <v>交通便捷度</v>
      </c>
      <c r="AA17" s="1574">
        <f t="shared" si="3"/>
        <v>1</v>
      </c>
      <c r="AB17" s="1574">
        <f t="shared" si="4"/>
        <v>1</v>
      </c>
      <c r="AC17" s="1574">
        <f t="shared" si="5"/>
        <v>1</v>
      </c>
    </row>
    <row r="18" spans="1:29" ht="15">
      <c r="A18" s="531"/>
      <c r="B18" s="565"/>
      <c r="C18" s="566"/>
      <c r="D18" s="558"/>
      <c r="E18" s="568"/>
      <c r="F18" s="558"/>
      <c r="G18" s="567"/>
      <c r="H18" s="554"/>
      <c r="I18" s="567"/>
      <c r="J18" s="554"/>
      <c r="K18" s="897"/>
      <c r="L18" s="2141"/>
      <c r="M18" s="2133"/>
      <c r="N18" s="2133"/>
      <c r="O18" s="2133"/>
      <c r="P18" s="3397"/>
      <c r="Q18" s="1570"/>
      <c r="R18" s="1571"/>
      <c r="S18" s="1572"/>
      <c r="T18" s="1571"/>
      <c r="U18" s="1572"/>
      <c r="V18" s="1571"/>
      <c r="W18" s="1572"/>
      <c r="X18" s="1565"/>
      <c r="Y18" s="3397"/>
      <c r="Z18" s="1573"/>
      <c r="AA18" s="1574">
        <v>1</v>
      </c>
      <c r="AB18" s="1574">
        <v>1</v>
      </c>
      <c r="AC18" s="1574">
        <v>1</v>
      </c>
    </row>
    <row r="19" spans="1:29" ht="41.4">
      <c r="A19" s="531"/>
      <c r="B19" s="2602" t="s">
        <v>2508</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6"/>
      <c r="L19" s="2141"/>
      <c r="M19" s="2133"/>
      <c r="N19" s="2133"/>
      <c r="O19" s="2133"/>
      <c r="P19" s="3397"/>
      <c r="Q19" s="1570" t="str">
        <f>B19</f>
        <v>公共配套设施</v>
      </c>
      <c r="R19" s="1571" t="s">
        <v>8</v>
      </c>
      <c r="S19" s="1572">
        <f>F19</f>
        <v>100</v>
      </c>
      <c r="T19" s="1571" t="s">
        <v>8</v>
      </c>
      <c r="U19" s="1572">
        <f>H19</f>
        <v>100</v>
      </c>
      <c r="V19" s="1571" t="s">
        <v>8</v>
      </c>
      <c r="W19" s="1572">
        <f>J19</f>
        <v>100</v>
      </c>
      <c r="X19" s="1565"/>
      <c r="Y19" s="3397"/>
      <c r="Z19" s="1573" t="str">
        <f>Q19</f>
        <v>公共配套设施</v>
      </c>
      <c r="AA19" s="1574">
        <f t="shared" si="3"/>
        <v>1</v>
      </c>
      <c r="AB19" s="1574">
        <f t="shared" si="4"/>
        <v>1</v>
      </c>
      <c r="AC19" s="1574">
        <f t="shared" si="5"/>
        <v>1</v>
      </c>
    </row>
    <row r="20" spans="1:29" ht="15">
      <c r="A20" s="531"/>
      <c r="B20" s="565"/>
      <c r="C20" s="553"/>
      <c r="D20" s="554"/>
      <c r="E20" s="557"/>
      <c r="F20" s="554"/>
      <c r="G20" s="555"/>
      <c r="H20" s="554"/>
      <c r="I20" s="555"/>
      <c r="J20" s="554"/>
      <c r="K20" s="897"/>
      <c r="L20" s="2141"/>
      <c r="M20" s="2133"/>
      <c r="N20" s="2133"/>
      <c r="O20" s="2133"/>
      <c r="P20" s="3397"/>
      <c r="Q20" s="1570"/>
      <c r="R20" s="1571"/>
      <c r="S20" s="1572"/>
      <c r="T20" s="1571"/>
      <c r="U20" s="1572"/>
      <c r="V20" s="1571"/>
      <c r="W20" s="1572"/>
      <c r="X20" s="1565"/>
      <c r="Y20" s="3397"/>
      <c r="Z20" s="1573"/>
      <c r="AA20" s="1574">
        <v>1</v>
      </c>
      <c r="AB20" s="1574">
        <v>1</v>
      </c>
      <c r="AC20" s="1574">
        <v>1</v>
      </c>
    </row>
    <row r="21" spans="1:29" ht="41.4">
      <c r="A21" s="531"/>
      <c r="B21" s="2590" t="s">
        <v>2520</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6"/>
      <c r="L21" s="2141"/>
      <c r="M21" s="2133"/>
      <c r="N21" s="2133"/>
      <c r="O21" s="2133"/>
      <c r="P21" s="3397"/>
      <c r="Q21" s="2578" t="str">
        <f>B21</f>
        <v>基础设施水平</v>
      </c>
      <c r="R21" s="1571" t="s">
        <v>8</v>
      </c>
      <c r="S21" s="1572">
        <f>F21</f>
        <v>100</v>
      </c>
      <c r="T21" s="1571" t="s">
        <v>8</v>
      </c>
      <c r="U21" s="1572">
        <f>H21</f>
        <v>100</v>
      </c>
      <c r="V21" s="1571" t="s">
        <v>8</v>
      </c>
      <c r="W21" s="1572">
        <f>J21</f>
        <v>100</v>
      </c>
      <c r="X21" s="2580"/>
      <c r="Y21" s="3397"/>
      <c r="Z21" s="2579" t="str">
        <f>Q21</f>
        <v>基础设施水平</v>
      </c>
      <c r="AA21" s="1574">
        <f t="shared" ref="AA21" si="8">D21/F21</f>
        <v>1</v>
      </c>
      <c r="AB21" s="1574">
        <f t="shared" ref="AB21" si="9">D21/H21</f>
        <v>1</v>
      </c>
      <c r="AC21" s="1574">
        <f t="shared" ref="AC21" si="10">D21/J21</f>
        <v>1</v>
      </c>
    </row>
    <row r="22" spans="1:29" ht="15">
      <c r="A22" s="531"/>
      <c r="B22" s="577"/>
      <c r="C22" s="566"/>
      <c r="D22" s="554"/>
      <c r="E22" s="575"/>
      <c r="F22" s="554"/>
      <c r="G22" s="553"/>
      <c r="H22" s="554"/>
      <c r="I22" s="553"/>
      <c r="J22" s="554"/>
      <c r="K22" s="2601"/>
      <c r="L22" s="2141"/>
      <c r="M22" s="2133"/>
      <c r="N22" s="2133"/>
      <c r="O22" s="2133"/>
      <c r="P22" s="3397"/>
      <c r="Q22" s="2578"/>
      <c r="R22" s="1571"/>
      <c r="S22" s="1572"/>
      <c r="T22" s="1571"/>
      <c r="U22" s="1572"/>
      <c r="V22" s="1571"/>
      <c r="W22" s="1572"/>
      <c r="X22" s="2580"/>
      <c r="Y22" s="3397"/>
      <c r="Z22" s="2579"/>
      <c r="AA22" s="1574">
        <v>1</v>
      </c>
      <c r="AB22" s="1574">
        <v>1</v>
      </c>
      <c r="AC22" s="1574">
        <v>1</v>
      </c>
    </row>
    <row r="23" spans="1:29" ht="55.2">
      <c r="A23" s="531"/>
      <c r="B23" s="559" t="s">
        <v>743</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6"/>
      <c r="L23" s="2141"/>
      <c r="M23" s="2133"/>
      <c r="N23" s="2133"/>
      <c r="O23" s="2133"/>
      <c r="P23" s="3397"/>
      <c r="Q23" s="1570" t="str">
        <f>B23</f>
        <v>环境质量</v>
      </c>
      <c r="R23" s="1571" t="s">
        <v>8</v>
      </c>
      <c r="S23" s="1572">
        <f>F23</f>
        <v>100</v>
      </c>
      <c r="T23" s="1571" t="s">
        <v>8</v>
      </c>
      <c r="U23" s="1572">
        <f>H23</f>
        <v>100</v>
      </c>
      <c r="V23" s="1571" t="s">
        <v>8</v>
      </c>
      <c r="W23" s="1572">
        <f>J23</f>
        <v>100</v>
      </c>
      <c r="X23" s="1565"/>
      <c r="Y23" s="3397"/>
      <c r="Z23" s="1573" t="str">
        <f>Q23</f>
        <v>环境质量</v>
      </c>
      <c r="AA23" s="1574">
        <f t="shared" si="3"/>
        <v>1</v>
      </c>
      <c r="AB23" s="1574">
        <f t="shared" si="4"/>
        <v>1</v>
      </c>
      <c r="AC23" s="1574">
        <f t="shared" si="5"/>
        <v>1</v>
      </c>
    </row>
    <row r="24" spans="1:29" ht="15">
      <c r="A24" s="531"/>
      <c r="B24" s="577"/>
      <c r="C24" s="553"/>
      <c r="D24" s="554"/>
      <c r="E24" s="557"/>
      <c r="F24" s="554"/>
      <c r="G24" s="555"/>
      <c r="H24" s="554"/>
      <c r="I24" s="555"/>
      <c r="J24" s="554"/>
      <c r="K24" s="897"/>
      <c r="L24" s="2141"/>
      <c r="M24" s="2133"/>
      <c r="N24" s="2133"/>
      <c r="O24" s="2133"/>
      <c r="P24" s="3397"/>
      <c r="Q24" s="1570"/>
      <c r="R24" s="1571"/>
      <c r="S24" s="1572"/>
      <c r="T24" s="1571"/>
      <c r="U24" s="1572"/>
      <c r="V24" s="1571"/>
      <c r="W24" s="1572"/>
      <c r="X24" s="1565"/>
      <c r="Y24" s="3397"/>
      <c r="Z24" s="1573"/>
      <c r="AA24" s="1574">
        <v>1</v>
      </c>
      <c r="AB24" s="1574">
        <v>1</v>
      </c>
      <c r="AC24" s="1574">
        <v>1</v>
      </c>
    </row>
    <row r="25" spans="1:29" ht="28.8">
      <c r="A25" s="514"/>
      <c r="B25" s="559" t="s">
        <v>513</v>
      </c>
      <c r="C25" s="910"/>
      <c r="D25" s="539">
        <v>100</v>
      </c>
      <c r="E25" s="538"/>
      <c r="F25" s="539">
        <f>SUMIF(87:87,E26,88:88)-SUMIF(87:87,C26,88:88)+100</f>
        <v>100</v>
      </c>
      <c r="G25" s="910"/>
      <c r="H25" s="539">
        <f>SUMIF(87:87,G26,88:88)-SUMIF(87:87,C26,88:88)+100</f>
        <v>100</v>
      </c>
      <c r="I25" s="538"/>
      <c r="J25" s="539">
        <f>SUMIF(87:87,I26,88:88)-SUMIF(87:87,C26,88:88)+100</f>
        <v>100</v>
      </c>
      <c r="K25" s="896"/>
      <c r="L25" s="2141"/>
      <c r="M25" s="2133"/>
      <c r="N25" s="2133"/>
      <c r="O25" s="2133"/>
      <c r="P25" s="3397"/>
      <c r="Q25" s="1570" t="str">
        <f>B25</f>
        <v>毗邻道路的类型与等级</v>
      </c>
      <c r="R25" s="1571" t="s">
        <v>8</v>
      </c>
      <c r="S25" s="1572">
        <f>F25</f>
        <v>100</v>
      </c>
      <c r="T25" s="1571" t="s">
        <v>8</v>
      </c>
      <c r="U25" s="1572">
        <f>H25</f>
        <v>100</v>
      </c>
      <c r="V25" s="1571" t="s">
        <v>8</v>
      </c>
      <c r="W25" s="1572">
        <f>J25</f>
        <v>100</v>
      </c>
      <c r="X25" s="1565"/>
      <c r="Y25" s="3397"/>
      <c r="Z25" s="1573" t="str">
        <f>Q25</f>
        <v>毗邻道路的类型与等级</v>
      </c>
      <c r="AA25" s="1574">
        <f t="shared" si="3"/>
        <v>1</v>
      </c>
      <c r="AB25" s="1574">
        <f t="shared" si="4"/>
        <v>1</v>
      </c>
      <c r="AC25" s="1574">
        <f t="shared" si="5"/>
        <v>1</v>
      </c>
    </row>
    <row r="26" spans="1:29" ht="15">
      <c r="A26" s="514"/>
      <c r="B26" s="565"/>
      <c r="C26" s="579"/>
      <c r="D26" s="539"/>
      <c r="E26" s="582"/>
      <c r="F26" s="539"/>
      <c r="G26" s="579"/>
      <c r="H26" s="539"/>
      <c r="I26" s="582"/>
      <c r="J26" s="539"/>
      <c r="K26" s="897"/>
      <c r="L26" s="2141"/>
      <c r="M26" s="2133"/>
      <c r="N26" s="2133"/>
      <c r="O26" s="2133"/>
      <c r="P26" s="3397"/>
      <c r="Q26" s="1570"/>
      <c r="R26" s="1571"/>
      <c r="S26" s="1572"/>
      <c r="T26" s="1571"/>
      <c r="U26" s="1572"/>
      <c r="V26" s="1571"/>
      <c r="W26" s="1572"/>
      <c r="X26" s="1565"/>
      <c r="Y26" s="3397"/>
      <c r="Z26" s="1573"/>
      <c r="AA26" s="1574">
        <v>1</v>
      </c>
      <c r="AB26" s="1574">
        <v>1</v>
      </c>
      <c r="AC26" s="1574">
        <v>1</v>
      </c>
    </row>
    <row r="27" spans="1:29" ht="15">
      <c r="A27" s="531"/>
      <c r="B27" s="565" t="s">
        <v>726</v>
      </c>
      <c r="C27" s="579"/>
      <c r="D27" s="539">
        <v>100</v>
      </c>
      <c r="E27" s="582"/>
      <c r="F27" s="539">
        <f>SUMIF(89:89,E27,90:90)-SUMIF(89:89,C27,90:90)+100</f>
        <v>100</v>
      </c>
      <c r="G27" s="579"/>
      <c r="H27" s="539">
        <f>SUMIF(89:89,G27,90:90)-SUMIF(89:89,C27,90:90)+100</f>
        <v>100</v>
      </c>
      <c r="I27" s="582"/>
      <c r="J27" s="539">
        <f>SUMIF(89:89,I27,90:90)-SUMIF(89:89,C27,90:90)+100</f>
        <v>100</v>
      </c>
      <c r="K27" s="583"/>
      <c r="L27" s="2141"/>
      <c r="M27" s="2133"/>
      <c r="N27" s="2133"/>
      <c r="O27" s="2133"/>
      <c r="P27" s="3397"/>
      <c r="Q27" s="1570" t="str">
        <f t="shared" ref="Q27:Q47" si="11">B27</f>
        <v>楼层</v>
      </c>
      <c r="R27" s="1571" t="s">
        <v>8</v>
      </c>
      <c r="S27" s="1572">
        <f>F27</f>
        <v>100</v>
      </c>
      <c r="T27" s="1571" t="s">
        <v>8</v>
      </c>
      <c r="U27" s="1572">
        <f>H27</f>
        <v>100</v>
      </c>
      <c r="V27" s="1571" t="s">
        <v>8</v>
      </c>
      <c r="W27" s="1572">
        <f>J27</f>
        <v>100</v>
      </c>
      <c r="X27" s="1565"/>
      <c r="Y27" s="3397"/>
      <c r="Z27" s="1573" t="str">
        <f>Q27</f>
        <v>楼层</v>
      </c>
      <c r="AA27" s="1574">
        <f t="shared" si="3"/>
        <v>1</v>
      </c>
      <c r="AB27" s="1574">
        <f t="shared" si="4"/>
        <v>1</v>
      </c>
      <c r="AC27" s="1574">
        <f t="shared" si="5"/>
        <v>1</v>
      </c>
    </row>
    <row r="28" spans="1:29" s="1218" customFormat="1" ht="15">
      <c r="A28" s="535"/>
      <c r="B28" s="559" t="s">
        <v>744</v>
      </c>
      <c r="C28" s="911"/>
      <c r="D28" s="874">
        <v>100</v>
      </c>
      <c r="E28" s="899"/>
      <c r="F28" s="874">
        <f>SUMIF(91:91,E28,92:92)-SUMIF(91:91,C28,92:92)+100</f>
        <v>100</v>
      </c>
      <c r="G28" s="911"/>
      <c r="H28" s="874">
        <f>SUMIF(91:91,G28,92:92)-SUMIF(91:91,C28,92:92)+100</f>
        <v>100</v>
      </c>
      <c r="I28" s="899"/>
      <c r="J28" s="874">
        <f>SUMIF(91:91,I28,92:92)-SUMIF(91:91,C28,92:92)+100</f>
        <v>100</v>
      </c>
      <c r="K28" s="583"/>
      <c r="L28" s="2134"/>
      <c r="M28" s="2135"/>
      <c r="N28" s="2135"/>
      <c r="O28" s="2135"/>
      <c r="P28" s="3397"/>
      <c r="Q28" s="1149" t="str">
        <f t="shared" si="11"/>
        <v>朝向</v>
      </c>
      <c r="R28" s="1566" t="s">
        <v>8</v>
      </c>
      <c r="S28" s="1567">
        <f>F28</f>
        <v>100</v>
      </c>
      <c r="T28" s="1566" t="s">
        <v>8</v>
      </c>
      <c r="U28" s="1567">
        <f>H28</f>
        <v>100</v>
      </c>
      <c r="V28" s="1566" t="s">
        <v>8</v>
      </c>
      <c r="W28" s="1567">
        <f>J28</f>
        <v>100</v>
      </c>
      <c r="X28" s="1568"/>
      <c r="Y28" s="3397"/>
      <c r="Z28" s="1148" t="str">
        <f>Q28</f>
        <v>朝向</v>
      </c>
      <c r="AA28" s="1574">
        <f>D28/F28</f>
        <v>1</v>
      </c>
      <c r="AB28" s="1574">
        <f>D28/H28</f>
        <v>1</v>
      </c>
      <c r="AC28" s="1574">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41"/>
      <c r="M29" s="2133"/>
      <c r="N29" s="2133"/>
      <c r="O29" s="2133"/>
      <c r="P29" s="3397"/>
      <c r="Q29" s="1570">
        <f t="shared" si="11"/>
        <v>111</v>
      </c>
      <c r="R29" s="1571" t="s">
        <v>8</v>
      </c>
      <c r="S29" s="1572">
        <f t="shared" ref="S29:S47" si="12">F29</f>
        <v>100</v>
      </c>
      <c r="T29" s="1571" t="s">
        <v>8</v>
      </c>
      <c r="U29" s="1572">
        <f t="shared" ref="U29:U47" si="13">H29</f>
        <v>100</v>
      </c>
      <c r="V29" s="1571" t="s">
        <v>8</v>
      </c>
      <c r="W29" s="1572">
        <f t="shared" ref="W29:W47" si="14">J29</f>
        <v>100</v>
      </c>
      <c r="X29" s="1565"/>
      <c r="Y29" s="3397"/>
      <c r="Z29" s="1573">
        <f t="shared" ref="Z29:Z47" si="15">Q29</f>
        <v>111</v>
      </c>
      <c r="AA29" s="1574">
        <f t="shared" si="3"/>
        <v>1</v>
      </c>
      <c r="AB29" s="1574">
        <f t="shared" si="4"/>
        <v>1</v>
      </c>
      <c r="AC29" s="1574">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41"/>
      <c r="M30" s="2133"/>
      <c r="N30" s="2133"/>
      <c r="O30" s="2133"/>
      <c r="P30" s="3397"/>
      <c r="Q30" s="1570">
        <f t="shared" si="11"/>
        <v>111</v>
      </c>
      <c r="R30" s="1571" t="s">
        <v>8</v>
      </c>
      <c r="S30" s="1572">
        <f t="shared" si="12"/>
        <v>100</v>
      </c>
      <c r="T30" s="1571" t="s">
        <v>8</v>
      </c>
      <c r="U30" s="1572">
        <f t="shared" si="13"/>
        <v>100</v>
      </c>
      <c r="V30" s="1571" t="s">
        <v>8</v>
      </c>
      <c r="W30" s="1572">
        <f t="shared" si="14"/>
        <v>100</v>
      </c>
      <c r="X30" s="1565"/>
      <c r="Y30" s="3397"/>
      <c r="Z30" s="1573">
        <f t="shared" si="15"/>
        <v>111</v>
      </c>
      <c r="AA30" s="1574">
        <f t="shared" si="3"/>
        <v>1</v>
      </c>
      <c r="AB30" s="1574">
        <f t="shared" si="4"/>
        <v>1</v>
      </c>
      <c r="AC30" s="1574">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41"/>
      <c r="M31" s="2133"/>
      <c r="N31" s="2133"/>
      <c r="O31" s="2133"/>
      <c r="P31" s="3397"/>
      <c r="Q31" s="1570">
        <f t="shared" si="11"/>
        <v>111</v>
      </c>
      <c r="R31" s="1571" t="s">
        <v>8</v>
      </c>
      <c r="S31" s="1572">
        <f t="shared" si="12"/>
        <v>100</v>
      </c>
      <c r="T31" s="1571" t="s">
        <v>8</v>
      </c>
      <c r="U31" s="1572">
        <f t="shared" si="13"/>
        <v>100</v>
      </c>
      <c r="V31" s="1571" t="s">
        <v>8</v>
      </c>
      <c r="W31" s="1572">
        <f t="shared" si="14"/>
        <v>100</v>
      </c>
      <c r="X31" s="1565"/>
      <c r="Y31" s="3397"/>
      <c r="Z31" s="1573">
        <f t="shared" si="15"/>
        <v>111</v>
      </c>
      <c r="AA31" s="1574">
        <f t="shared" si="3"/>
        <v>1</v>
      </c>
      <c r="AB31" s="1574">
        <f t="shared" si="4"/>
        <v>1</v>
      </c>
      <c r="AC31" s="1574">
        <f t="shared" si="5"/>
        <v>1</v>
      </c>
    </row>
    <row r="32" spans="1:29" ht="15.6"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41"/>
      <c r="M32" s="2133"/>
      <c r="N32" s="2133"/>
      <c r="O32" s="2133"/>
      <c r="P32" s="3397"/>
      <c r="Q32" s="1570">
        <f t="shared" si="11"/>
        <v>111</v>
      </c>
      <c r="R32" s="1571" t="s">
        <v>8</v>
      </c>
      <c r="S32" s="1572">
        <f t="shared" si="12"/>
        <v>100</v>
      </c>
      <c r="T32" s="1571" t="s">
        <v>8</v>
      </c>
      <c r="U32" s="1572">
        <f t="shared" si="13"/>
        <v>100</v>
      </c>
      <c r="V32" s="1571" t="s">
        <v>8</v>
      </c>
      <c r="W32" s="1572">
        <f t="shared" si="14"/>
        <v>100</v>
      </c>
      <c r="X32" s="1565"/>
      <c r="Y32" s="3397"/>
      <c r="Z32" s="1573">
        <f t="shared" si="15"/>
        <v>111</v>
      </c>
      <c r="AA32" s="1574">
        <f t="shared" si="3"/>
        <v>1</v>
      </c>
      <c r="AB32" s="1574">
        <f t="shared" si="4"/>
        <v>1</v>
      </c>
      <c r="AC32" s="1574">
        <f t="shared" si="5"/>
        <v>1</v>
      </c>
    </row>
    <row r="33" spans="1:29" ht="15">
      <c r="A33" s="2906" t="s">
        <v>2717</v>
      </c>
      <c r="B33" s="171" t="s">
        <v>745</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41"/>
      <c r="M33" s="2133"/>
      <c r="N33" s="2133"/>
      <c r="O33" s="2133"/>
      <c r="P33" s="3398" t="s">
        <v>515</v>
      </c>
      <c r="Q33" s="1570" t="str">
        <f t="shared" si="11"/>
        <v>建筑类型</v>
      </c>
      <c r="R33" s="1571" t="s">
        <v>8</v>
      </c>
      <c r="S33" s="1572">
        <f t="shared" si="12"/>
        <v>100</v>
      </c>
      <c r="T33" s="1571" t="s">
        <v>8</v>
      </c>
      <c r="U33" s="1572">
        <f t="shared" si="13"/>
        <v>100</v>
      </c>
      <c r="V33" s="1571" t="s">
        <v>8</v>
      </c>
      <c r="W33" s="1572">
        <f t="shared" si="14"/>
        <v>100</v>
      </c>
      <c r="X33" s="1565"/>
      <c r="Y33" s="3399" t="s">
        <v>515</v>
      </c>
      <c r="Z33" s="1573" t="str">
        <f t="shared" si="15"/>
        <v>建筑类型</v>
      </c>
      <c r="AA33" s="1574">
        <f t="shared" si="3"/>
        <v>1</v>
      </c>
      <c r="AB33" s="1574">
        <f t="shared" si="4"/>
        <v>1</v>
      </c>
      <c r="AC33" s="1574">
        <f t="shared" si="5"/>
        <v>1</v>
      </c>
    </row>
    <row r="34" spans="1:29" s="1337" customFormat="1" ht="15">
      <c r="A34" s="602"/>
      <c r="B34" s="526" t="s">
        <v>691</v>
      </c>
      <c r="C34" s="878"/>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9"/>
      <c r="M34" s="2170"/>
      <c r="N34" s="2170"/>
      <c r="O34" s="2170"/>
      <c r="P34" s="3399"/>
      <c r="Q34" s="1603" t="str">
        <f t="shared" si="11"/>
        <v>项目建筑规模</v>
      </c>
      <c r="R34" s="1575" t="s">
        <v>8</v>
      </c>
      <c r="S34" s="1576" t="e">
        <f t="shared" si="12"/>
        <v>#N/A</v>
      </c>
      <c r="T34" s="1575" t="s">
        <v>8</v>
      </c>
      <c r="U34" s="1576" t="e">
        <f t="shared" si="13"/>
        <v>#N/A</v>
      </c>
      <c r="V34" s="1575" t="s">
        <v>8</v>
      </c>
      <c r="W34" s="1576" t="e">
        <f t="shared" si="14"/>
        <v>#N/A</v>
      </c>
      <c r="X34" s="1577"/>
      <c r="Y34" s="3399"/>
      <c r="Z34" s="1578" t="str">
        <f t="shared" si="15"/>
        <v>项目建筑规模</v>
      </c>
      <c r="AA34" s="1574" t="e">
        <f t="shared" si="3"/>
        <v>#N/A</v>
      </c>
      <c r="AB34" s="1574" t="e">
        <f t="shared" si="4"/>
        <v>#N/A</v>
      </c>
      <c r="AC34" s="1574" t="e">
        <f t="shared" si="5"/>
        <v>#N/A</v>
      </c>
    </row>
    <row r="35" spans="1:29" ht="15">
      <c r="A35" s="593"/>
      <c r="B35" s="526" t="s">
        <v>692</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1"/>
      <c r="M35" s="2133"/>
      <c r="N35" s="2133"/>
      <c r="O35" s="2133"/>
      <c r="P35" s="3399"/>
      <c r="Q35" s="1570" t="str">
        <f t="shared" si="11"/>
        <v>建筑结构</v>
      </c>
      <c r="R35" s="1571" t="s">
        <v>8</v>
      </c>
      <c r="S35" s="1572">
        <f t="shared" si="12"/>
        <v>100</v>
      </c>
      <c r="T35" s="1571" t="s">
        <v>8</v>
      </c>
      <c r="U35" s="1572">
        <f t="shared" si="13"/>
        <v>100</v>
      </c>
      <c r="V35" s="1571" t="s">
        <v>8</v>
      </c>
      <c r="W35" s="1572">
        <f t="shared" si="14"/>
        <v>100</v>
      </c>
      <c r="X35" s="1565"/>
      <c r="Y35" s="3399"/>
      <c r="Z35" s="1573" t="str">
        <f t="shared" si="15"/>
        <v>建筑结构</v>
      </c>
      <c r="AA35" s="1574">
        <f t="shared" si="3"/>
        <v>1</v>
      </c>
      <c r="AB35" s="1574">
        <f t="shared" si="4"/>
        <v>1</v>
      </c>
      <c r="AC35" s="1574">
        <f t="shared" si="5"/>
        <v>1</v>
      </c>
    </row>
    <row r="36" spans="1:29" ht="15">
      <c r="A36" s="593"/>
      <c r="B36" s="526" t="s">
        <v>728</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1"/>
      <c r="M36" s="2133"/>
      <c r="N36" s="2133"/>
      <c r="O36" s="2133"/>
      <c r="P36" s="3399"/>
      <c r="Q36" s="1570" t="str">
        <f t="shared" si="11"/>
        <v>公共部分装修</v>
      </c>
      <c r="R36" s="1571" t="s">
        <v>8</v>
      </c>
      <c r="S36" s="1572">
        <f t="shared" si="12"/>
        <v>100</v>
      </c>
      <c r="T36" s="1571" t="s">
        <v>8</v>
      </c>
      <c r="U36" s="1572">
        <f t="shared" si="13"/>
        <v>100</v>
      </c>
      <c r="V36" s="1571" t="s">
        <v>8</v>
      </c>
      <c r="W36" s="1572">
        <f t="shared" si="14"/>
        <v>100</v>
      </c>
      <c r="X36" s="1565"/>
      <c r="Y36" s="3399"/>
      <c r="Z36" s="1573" t="str">
        <f t="shared" si="15"/>
        <v>公共部分装修</v>
      </c>
      <c r="AA36" s="1574">
        <f t="shared" si="3"/>
        <v>1</v>
      </c>
      <c r="AB36" s="1574">
        <f t="shared" si="4"/>
        <v>1</v>
      </c>
      <c r="AC36" s="1574">
        <f t="shared" si="5"/>
        <v>1</v>
      </c>
    </row>
    <row r="37" spans="1:29" ht="15">
      <c r="A37" s="593"/>
      <c r="B37" s="526" t="s">
        <v>729</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41"/>
      <c r="M37" s="2133"/>
      <c r="N37" s="2133"/>
      <c r="O37" s="2133"/>
      <c r="P37" s="3399"/>
      <c r="Q37" s="1570" t="str">
        <f t="shared" si="11"/>
        <v>成新度</v>
      </c>
      <c r="R37" s="1571" t="s">
        <v>8</v>
      </c>
      <c r="S37" s="1572" t="e">
        <f t="shared" si="12"/>
        <v>#N/A</v>
      </c>
      <c r="T37" s="1571" t="s">
        <v>8</v>
      </c>
      <c r="U37" s="1572" t="e">
        <f t="shared" si="13"/>
        <v>#N/A</v>
      </c>
      <c r="V37" s="1571" t="s">
        <v>8</v>
      </c>
      <c r="W37" s="1572" t="e">
        <f t="shared" si="14"/>
        <v>#N/A</v>
      </c>
      <c r="X37" s="1565"/>
      <c r="Y37" s="3399"/>
      <c r="Z37" s="1573" t="str">
        <f t="shared" si="15"/>
        <v>成新度</v>
      </c>
      <c r="AA37" s="1574" t="e">
        <f t="shared" si="3"/>
        <v>#N/A</v>
      </c>
      <c r="AB37" s="1574" t="e">
        <f t="shared" si="4"/>
        <v>#N/A</v>
      </c>
      <c r="AC37" s="1574" t="e">
        <f t="shared" si="5"/>
        <v>#N/A</v>
      </c>
    </row>
    <row r="38" spans="1:29" s="1218" customFormat="1" ht="15">
      <c r="A38" s="599"/>
      <c r="B38" s="526" t="s">
        <v>746</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4"/>
      <c r="M38" s="2135"/>
      <c r="N38" s="2135"/>
      <c r="O38" s="2135"/>
      <c r="P38" s="3399"/>
      <c r="Q38" s="1149" t="str">
        <f t="shared" si="11"/>
        <v>写字楼等级</v>
      </c>
      <c r="R38" s="1566" t="s">
        <v>8</v>
      </c>
      <c r="S38" s="1567">
        <f t="shared" si="12"/>
        <v>100</v>
      </c>
      <c r="T38" s="1566" t="s">
        <v>8</v>
      </c>
      <c r="U38" s="1567">
        <f t="shared" si="13"/>
        <v>100</v>
      </c>
      <c r="V38" s="1566" t="s">
        <v>8</v>
      </c>
      <c r="W38" s="1567">
        <f t="shared" si="14"/>
        <v>100</v>
      </c>
      <c r="X38" s="1568"/>
      <c r="Y38" s="3399"/>
      <c r="Z38" s="1148" t="str">
        <f t="shared" si="15"/>
        <v>写字楼等级</v>
      </c>
      <c r="AA38" s="1569">
        <f t="shared" si="3"/>
        <v>1</v>
      </c>
      <c r="AB38" s="1569">
        <f t="shared" si="4"/>
        <v>1</v>
      </c>
      <c r="AC38" s="1569">
        <f t="shared" si="5"/>
        <v>1</v>
      </c>
    </row>
    <row r="39" spans="1:29" ht="15">
      <c r="A39" s="593"/>
      <c r="B39" s="526" t="s">
        <v>747</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1"/>
      <c r="M39" s="2133"/>
      <c r="N39" s="2133"/>
      <c r="O39" s="2133"/>
      <c r="P39" s="3399" t="s">
        <v>515</v>
      </c>
      <c r="Q39" s="1570" t="str">
        <f t="shared" si="11"/>
        <v>物业管理</v>
      </c>
      <c r="R39" s="1571" t="s">
        <v>8</v>
      </c>
      <c r="S39" s="1572">
        <f t="shared" si="12"/>
        <v>100</v>
      </c>
      <c r="T39" s="1571" t="s">
        <v>8</v>
      </c>
      <c r="U39" s="1572">
        <f t="shared" si="13"/>
        <v>100</v>
      </c>
      <c r="V39" s="1571" t="s">
        <v>8</v>
      </c>
      <c r="W39" s="1572">
        <f t="shared" si="14"/>
        <v>100</v>
      </c>
      <c r="X39" s="1565"/>
      <c r="Y39" s="3399" t="s">
        <v>515</v>
      </c>
      <c r="Z39" s="1573" t="str">
        <f t="shared" si="15"/>
        <v>物业管理</v>
      </c>
      <c r="AA39" s="1574">
        <f t="shared" si="3"/>
        <v>1</v>
      </c>
      <c r="AB39" s="1574">
        <f t="shared" si="4"/>
        <v>1</v>
      </c>
      <c r="AC39" s="1574">
        <f t="shared" si="5"/>
        <v>1</v>
      </c>
    </row>
    <row r="40" spans="1:29" ht="15">
      <c r="A40" s="593"/>
      <c r="B40" s="1894" t="s">
        <v>2527</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1"/>
      <c r="M40" s="2133"/>
      <c r="N40" s="2133"/>
      <c r="O40" s="2133"/>
      <c r="P40" s="3399"/>
      <c r="Q40" s="1570" t="str">
        <f t="shared" si="11"/>
        <v>市政基础设施</v>
      </c>
      <c r="R40" s="1571" t="s">
        <v>8</v>
      </c>
      <c r="S40" s="1572">
        <f t="shared" si="12"/>
        <v>100</v>
      </c>
      <c r="T40" s="1571" t="s">
        <v>8</v>
      </c>
      <c r="U40" s="1572">
        <f t="shared" si="13"/>
        <v>100</v>
      </c>
      <c r="V40" s="1571" t="s">
        <v>8</v>
      </c>
      <c r="W40" s="1572">
        <f t="shared" si="14"/>
        <v>100</v>
      </c>
      <c r="X40" s="1565"/>
      <c r="Y40" s="3399"/>
      <c r="Z40" s="1573" t="str">
        <f t="shared" si="15"/>
        <v>市政基础设施</v>
      </c>
      <c r="AA40" s="1574">
        <f t="shared" si="3"/>
        <v>1</v>
      </c>
      <c r="AB40" s="1574">
        <f t="shared" si="4"/>
        <v>1</v>
      </c>
      <c r="AC40" s="1574">
        <f t="shared" si="5"/>
        <v>1</v>
      </c>
    </row>
    <row r="41" spans="1:29" ht="15">
      <c r="A41" s="593"/>
      <c r="B41" s="526" t="s">
        <v>732</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1"/>
      <c r="M41" s="2133"/>
      <c r="N41" s="2133"/>
      <c r="O41" s="2133"/>
      <c r="P41" s="3399"/>
      <c r="Q41" s="1570" t="str">
        <f t="shared" si="11"/>
        <v>层高</v>
      </c>
      <c r="R41" s="1571" t="s">
        <v>8</v>
      </c>
      <c r="S41" s="1572">
        <f t="shared" si="12"/>
        <v>100</v>
      </c>
      <c r="T41" s="1571" t="s">
        <v>8</v>
      </c>
      <c r="U41" s="1572">
        <f t="shared" si="13"/>
        <v>100</v>
      </c>
      <c r="V41" s="1571" t="s">
        <v>8</v>
      </c>
      <c r="W41" s="1572">
        <f t="shared" si="14"/>
        <v>100</v>
      </c>
      <c r="X41" s="1565"/>
      <c r="Y41" s="3399"/>
      <c r="Z41" s="1573" t="str">
        <f t="shared" si="15"/>
        <v>层高</v>
      </c>
      <c r="AA41" s="1574">
        <f t="shared" si="3"/>
        <v>1</v>
      </c>
      <c r="AB41" s="1574">
        <f t="shared" si="4"/>
        <v>1</v>
      </c>
      <c r="AC41" s="1574">
        <f t="shared" si="5"/>
        <v>1</v>
      </c>
    </row>
    <row r="42" spans="1:29" s="1337" customFormat="1" ht="15">
      <c r="A42" s="602"/>
      <c r="B42" s="902" t="s">
        <v>748</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9"/>
      <c r="M42" s="2170"/>
      <c r="N42" s="2170"/>
      <c r="O42" s="2170"/>
      <c r="P42" s="3399"/>
      <c r="Q42" s="1603" t="str">
        <f t="shared" si="11"/>
        <v>单套建筑面积</v>
      </c>
      <c r="R42" s="1575" t="s">
        <v>8</v>
      </c>
      <c r="S42" s="1576">
        <f t="shared" si="12"/>
        <v>100</v>
      </c>
      <c r="T42" s="1575" t="s">
        <v>8</v>
      </c>
      <c r="U42" s="1576">
        <f t="shared" si="13"/>
        <v>100</v>
      </c>
      <c r="V42" s="1575" t="s">
        <v>8</v>
      </c>
      <c r="W42" s="1576">
        <f t="shared" si="14"/>
        <v>100</v>
      </c>
      <c r="X42" s="1577"/>
      <c r="Y42" s="3399"/>
      <c r="Z42" s="1578" t="str">
        <f t="shared" si="15"/>
        <v>单套建筑面积</v>
      </c>
      <c r="AA42" s="1574">
        <f t="shared" si="3"/>
        <v>1</v>
      </c>
      <c r="AB42" s="1574">
        <f t="shared" si="4"/>
        <v>1</v>
      </c>
      <c r="AC42" s="1574">
        <f t="shared" si="5"/>
        <v>1</v>
      </c>
    </row>
    <row r="43" spans="1:29" ht="15">
      <c r="A43" s="593"/>
      <c r="B43" s="526" t="s">
        <v>735</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1"/>
      <c r="M43" s="2133"/>
      <c r="N43" s="2133"/>
      <c r="O43" s="2133"/>
      <c r="P43" s="3399"/>
      <c r="Q43" s="1570" t="str">
        <f t="shared" si="11"/>
        <v>内部装修</v>
      </c>
      <c r="R43" s="1571" t="s">
        <v>8</v>
      </c>
      <c r="S43" s="1572">
        <f t="shared" si="12"/>
        <v>100</v>
      </c>
      <c r="T43" s="1571" t="s">
        <v>8</v>
      </c>
      <c r="U43" s="1572">
        <f t="shared" si="13"/>
        <v>100</v>
      </c>
      <c r="V43" s="1571" t="s">
        <v>8</v>
      </c>
      <c r="W43" s="1572">
        <f t="shared" si="14"/>
        <v>100</v>
      </c>
      <c r="X43" s="1565"/>
      <c r="Y43" s="3399"/>
      <c r="Z43" s="1573" t="str">
        <f t="shared" si="15"/>
        <v>内部装修</v>
      </c>
      <c r="AA43" s="1574">
        <f t="shared" si="3"/>
        <v>1</v>
      </c>
      <c r="AB43" s="1574">
        <f t="shared" si="4"/>
        <v>1</v>
      </c>
      <c r="AC43" s="1574">
        <f t="shared" si="5"/>
        <v>1</v>
      </c>
    </row>
    <row r="44" spans="1:29" ht="28.8">
      <c r="A44" s="593"/>
      <c r="B44" s="526" t="s">
        <v>700</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1"/>
      <c r="M44" s="2133"/>
      <c r="N44" s="2133"/>
      <c r="O44" s="2133"/>
      <c r="P44" s="3399"/>
      <c r="Q44" s="1570" t="str">
        <f t="shared" si="11"/>
        <v>内部装修维护情况</v>
      </c>
      <c r="R44" s="1571" t="s">
        <v>8</v>
      </c>
      <c r="S44" s="1572">
        <f t="shared" si="12"/>
        <v>100</v>
      </c>
      <c r="T44" s="1571" t="s">
        <v>8</v>
      </c>
      <c r="U44" s="1572">
        <f t="shared" si="13"/>
        <v>100</v>
      </c>
      <c r="V44" s="1571" t="s">
        <v>8</v>
      </c>
      <c r="W44" s="1572">
        <f t="shared" si="14"/>
        <v>100</v>
      </c>
      <c r="X44" s="1565"/>
      <c r="Y44" s="3399"/>
      <c r="Z44" s="1573" t="str">
        <f t="shared" si="15"/>
        <v>内部装修维护情况</v>
      </c>
      <c r="AA44" s="1574">
        <f t="shared" si="3"/>
        <v>1</v>
      </c>
      <c r="AB44" s="1574">
        <f t="shared" si="4"/>
        <v>1</v>
      </c>
      <c r="AC44" s="1574">
        <f t="shared" si="5"/>
        <v>1</v>
      </c>
    </row>
    <row r="45" spans="1:29" s="1218" customFormat="1" ht="15">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34"/>
      <c r="M45" s="2135"/>
      <c r="N45" s="2135"/>
      <c r="O45" s="2135"/>
      <c r="P45" s="3399"/>
      <c r="Q45" s="1149">
        <f t="shared" si="11"/>
        <v>111</v>
      </c>
      <c r="R45" s="1566" t="s">
        <v>8</v>
      </c>
      <c r="S45" s="1567">
        <f t="shared" si="12"/>
        <v>100</v>
      </c>
      <c r="T45" s="1566" t="s">
        <v>8</v>
      </c>
      <c r="U45" s="1567">
        <f t="shared" si="13"/>
        <v>100</v>
      </c>
      <c r="V45" s="1566" t="s">
        <v>8</v>
      </c>
      <c r="W45" s="1567">
        <f t="shared" si="14"/>
        <v>100</v>
      </c>
      <c r="X45" s="1568"/>
      <c r="Y45" s="3399"/>
      <c r="Z45" s="1148">
        <f t="shared" si="15"/>
        <v>111</v>
      </c>
      <c r="AA45" s="1569">
        <f t="shared" si="3"/>
        <v>1</v>
      </c>
      <c r="AB45" s="1569">
        <f t="shared" si="4"/>
        <v>1</v>
      </c>
      <c r="AC45" s="1569">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1"/>
      <c r="M46" s="2133"/>
      <c r="N46" s="2133"/>
      <c r="O46" s="2133"/>
      <c r="P46" s="3399"/>
      <c r="Q46" s="1570">
        <f t="shared" si="11"/>
        <v>111</v>
      </c>
      <c r="R46" s="1571" t="s">
        <v>8</v>
      </c>
      <c r="S46" s="1572">
        <f t="shared" si="12"/>
        <v>100</v>
      </c>
      <c r="T46" s="1571" t="s">
        <v>8</v>
      </c>
      <c r="U46" s="1572">
        <f t="shared" si="13"/>
        <v>100</v>
      </c>
      <c r="V46" s="1571" t="s">
        <v>8</v>
      </c>
      <c r="W46" s="1572">
        <f t="shared" si="14"/>
        <v>100</v>
      </c>
      <c r="X46" s="1565"/>
      <c r="Y46" s="3399"/>
      <c r="Z46" s="1573">
        <f t="shared" si="15"/>
        <v>111</v>
      </c>
      <c r="AA46" s="1574">
        <f t="shared" si="3"/>
        <v>1</v>
      </c>
      <c r="AB46" s="1574">
        <f t="shared" si="4"/>
        <v>1</v>
      </c>
      <c r="AC46" s="1574">
        <f t="shared" si="5"/>
        <v>1</v>
      </c>
    </row>
    <row r="47" spans="1:29" ht="15.6"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1"/>
      <c r="M47" s="2133"/>
      <c r="N47" s="2133"/>
      <c r="O47" s="2133"/>
      <c r="P47" s="3478"/>
      <c r="Q47" s="1570">
        <f t="shared" si="11"/>
        <v>111</v>
      </c>
      <c r="R47" s="1571" t="s">
        <v>8</v>
      </c>
      <c r="S47" s="1572">
        <f t="shared" si="12"/>
        <v>100</v>
      </c>
      <c r="T47" s="1571" t="s">
        <v>8</v>
      </c>
      <c r="U47" s="1572">
        <f t="shared" si="13"/>
        <v>100</v>
      </c>
      <c r="V47" s="1571" t="s">
        <v>8</v>
      </c>
      <c r="W47" s="1572">
        <f t="shared" si="14"/>
        <v>100</v>
      </c>
      <c r="X47" s="1565"/>
      <c r="Y47" s="3478"/>
      <c r="Z47" s="1573">
        <f t="shared" si="15"/>
        <v>111</v>
      </c>
      <c r="AA47" s="1574">
        <f t="shared" si="3"/>
        <v>1</v>
      </c>
      <c r="AB47" s="1574">
        <f t="shared" si="4"/>
        <v>1</v>
      </c>
      <c r="AC47" s="1574">
        <f t="shared" si="5"/>
        <v>1</v>
      </c>
    </row>
    <row r="48" spans="1:29" ht="14.4">
      <c r="A48" s="606" t="s">
        <v>701</v>
      </c>
      <c r="B48" s="885"/>
      <c r="C48" s="2626" t="s">
        <v>1</v>
      </c>
      <c r="D48" s="2627"/>
      <c r="E48" s="2628"/>
      <c r="F48" s="2629"/>
      <c r="G48" s="2630"/>
      <c r="H48" s="2631"/>
      <c r="I48" s="2628"/>
      <c r="J48" s="2631"/>
      <c r="K48" s="1609"/>
      <c r="L48" s="2143"/>
      <c r="M48" s="2133"/>
      <c r="N48" s="2133"/>
      <c r="O48" s="2133"/>
      <c r="P48" s="3360" t="str">
        <f>A48</f>
        <v>成交单价（元/平方米）</v>
      </c>
      <c r="Q48" s="3362"/>
      <c r="R48" s="3477">
        <f>E48</f>
        <v>0</v>
      </c>
      <c r="S48" s="3477"/>
      <c r="T48" s="3477">
        <f>G48</f>
        <v>0</v>
      </c>
      <c r="U48" s="3477"/>
      <c r="V48" s="3477">
        <f>I48</f>
        <v>0</v>
      </c>
      <c r="W48" s="3477"/>
      <c r="X48" s="1557"/>
      <c r="Y48" s="1579"/>
      <c r="Z48" s="1557"/>
      <c r="AA48" s="1557"/>
      <c r="AB48" s="1557"/>
      <c r="AC48" s="1557"/>
    </row>
    <row r="49" spans="1:29" ht="15" thickBot="1">
      <c r="A49" s="614" t="s">
        <v>2722</v>
      </c>
      <c r="B49" s="886"/>
      <c r="C49" s="2632" t="e">
        <f>R50</f>
        <v>#DIV/0!</v>
      </c>
      <c r="D49" s="2633"/>
      <c r="E49" s="2634" t="e">
        <f>R49</f>
        <v>#DIV/0!</v>
      </c>
      <c r="F49" s="2634"/>
      <c r="G49" s="2632" t="e">
        <f>T49</f>
        <v>#DIV/0!</v>
      </c>
      <c r="H49" s="2633"/>
      <c r="I49" s="2634" t="e">
        <f>V49</f>
        <v>#DIV/0!</v>
      </c>
      <c r="J49" s="2633"/>
      <c r="K49" s="1610"/>
      <c r="L49" s="2143"/>
      <c r="M49" s="2133"/>
      <c r="N49" s="2133"/>
      <c r="O49" s="2133"/>
      <c r="P49" s="3360" t="str">
        <f>A49</f>
        <v>比较价格（元/平方米）</v>
      </c>
      <c r="Q49" s="3362"/>
      <c r="R49" s="3477" t="e">
        <f>IF(F1="售价",ROUND(PRODUCT(R48,AA7:AA47),0),ROUND(PRODUCT(R48,AA7:AA47),1))</f>
        <v>#DIV/0!</v>
      </c>
      <c r="S49" s="3477"/>
      <c r="T49" s="3477" t="e">
        <f>IF(F1="售价",ROUND(PRODUCT(T48,AB7:AB47),0),ROUND(PRODUCT(T48,AB7:AB47),1))</f>
        <v>#DIV/0!</v>
      </c>
      <c r="U49" s="3477"/>
      <c r="V49" s="3477" t="e">
        <f>IF(F1="售价",ROUND(PRODUCT(V48,AC7:AC47),0),ROUND(PRODUCT(V48,AC7:AC47),1))</f>
        <v>#DIV/0!</v>
      </c>
      <c r="W49" s="3477"/>
      <c r="X49" s="1557"/>
      <c r="Y49" s="1557"/>
      <c r="Z49" s="1557"/>
      <c r="AA49" s="1557"/>
      <c r="AB49" s="1557"/>
      <c r="AC49" s="1557"/>
    </row>
    <row r="50" spans="1:29" ht="15" thickBot="1">
      <c r="A50" s="620" t="s">
        <v>2895</v>
      </c>
      <c r="B50" s="621"/>
      <c r="C50" s="2635" t="e">
        <f>R50</f>
        <v>#DIV/0!</v>
      </c>
      <c r="D50" s="2635"/>
      <c r="E50" s="2635"/>
      <c r="F50" s="2635"/>
      <c r="G50" s="2635"/>
      <c r="H50" s="2635"/>
      <c r="I50" s="2635"/>
      <c r="J50" s="2635"/>
      <c r="K50" s="1611"/>
      <c r="L50" s="2143"/>
      <c r="M50" s="2133"/>
      <c r="N50" s="2133"/>
      <c r="O50" s="2133"/>
      <c r="P50" s="3481" t="str">
        <f>A50</f>
        <v>估价对象XX用房的比较价格（楼面单价，元/平方米）</v>
      </c>
      <c r="Q50" s="3360"/>
      <c r="R50" s="3476" t="e">
        <f>IF(F1="售价",ROUND(AVERAGE(R49:V49),0),ROUND(AVERAGE(R49:V49),1))</f>
        <v>#DIV/0!</v>
      </c>
      <c r="S50" s="3476"/>
      <c r="T50" s="3476"/>
      <c r="U50" s="3476"/>
      <c r="V50" s="3476"/>
      <c r="W50" s="3476"/>
      <c r="X50" s="1557"/>
      <c r="Y50" s="1557"/>
      <c r="Z50" s="1557"/>
      <c r="AA50" s="1557"/>
      <c r="AB50" s="1557"/>
      <c r="AC50" s="1557"/>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3" t="s">
        <v>522</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3" t="s">
        <v>523</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3" customFormat="1" ht="13.5" customHeight="1">
      <c r="A55" s="2145"/>
      <c r="B55" s="2145"/>
      <c r="C55" s="623" t="s">
        <v>524</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3"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2.2" thickBot="1">
      <c r="A58" s="1582" t="s">
        <v>539</v>
      </c>
      <c r="B58" s="1557"/>
      <c r="C58" s="1581"/>
      <c r="D58" s="1581"/>
      <c r="E58" s="1581"/>
      <c r="F58" s="1583"/>
      <c r="G58" s="1583"/>
      <c r="H58" s="1581"/>
      <c r="I58" s="1581"/>
      <c r="J58" s="1581"/>
      <c r="K58" s="1584"/>
      <c r="L58" s="1580"/>
      <c r="M58" s="1581"/>
      <c r="N58" s="1581"/>
      <c r="O58" s="1581"/>
      <c r="P58" s="2209"/>
      <c r="Q58" s="2157"/>
      <c r="R58" s="2144"/>
      <c r="S58" s="2144"/>
      <c r="T58" s="2144"/>
      <c r="U58" s="2144"/>
      <c r="V58" s="2144"/>
      <c r="W58" s="2144"/>
      <c r="X58" s="2144"/>
      <c r="Y58" s="2144"/>
      <c r="Z58" s="2144"/>
      <c r="AA58" s="2144"/>
      <c r="AB58" s="2144"/>
      <c r="AC58" s="2144"/>
    </row>
    <row r="59" spans="1:29" s="1345" customFormat="1" ht="14.4">
      <c r="A59" s="644" t="s">
        <v>494</v>
      </c>
      <c r="B59" s="645"/>
      <c r="C59" s="2801" t="str">
        <f>YEAR(C7)&amp;"-"&amp;MONTH(C7)</f>
        <v>2018-12</v>
      </c>
      <c r="D59" s="2803">
        <f>EDATE(C59,-1)</f>
        <v>43405</v>
      </c>
      <c r="E59" s="2803">
        <f t="shared" ref="E59:O59" si="16">EDATE(D59,-1)</f>
        <v>43374</v>
      </c>
      <c r="F59" s="2803">
        <f t="shared" si="16"/>
        <v>43344</v>
      </c>
      <c r="G59" s="2803">
        <f t="shared" si="16"/>
        <v>43313</v>
      </c>
      <c r="H59" s="2803">
        <f t="shared" si="16"/>
        <v>43282</v>
      </c>
      <c r="I59" s="2803">
        <f t="shared" si="16"/>
        <v>43252</v>
      </c>
      <c r="J59" s="2803">
        <f t="shared" si="16"/>
        <v>43221</v>
      </c>
      <c r="K59" s="2803">
        <f t="shared" si="16"/>
        <v>43191</v>
      </c>
      <c r="L59" s="2803">
        <f t="shared" si="16"/>
        <v>43160</v>
      </c>
      <c r="M59" s="2803">
        <f t="shared" si="16"/>
        <v>43132</v>
      </c>
      <c r="N59" s="2803">
        <f t="shared" si="16"/>
        <v>43101</v>
      </c>
      <c r="O59" s="2803">
        <f t="shared" si="16"/>
        <v>43070</v>
      </c>
      <c r="P59" s="2210"/>
      <c r="Q59" s="2160"/>
      <c r="R59" s="2160"/>
      <c r="S59" s="2160"/>
      <c r="T59" s="2160"/>
      <c r="U59" s="2160"/>
      <c r="V59" s="2160"/>
      <c r="W59" s="2160"/>
      <c r="X59" s="2160"/>
      <c r="Y59" s="2160"/>
      <c r="Z59" s="2160"/>
      <c r="AA59" s="2160"/>
      <c r="AB59" s="2160"/>
      <c r="AC59" s="2160"/>
    </row>
    <row r="60" spans="1:29" s="1218" customFormat="1">
      <c r="A60" s="646"/>
      <c r="B60" s="647"/>
      <c r="C60" s="648">
        <v>100</v>
      </c>
      <c r="D60" s="649"/>
      <c r="E60" s="649"/>
      <c r="F60" s="649"/>
      <c r="G60" s="649"/>
      <c r="H60" s="649"/>
      <c r="I60" s="649"/>
      <c r="J60" s="649"/>
      <c r="K60" s="649"/>
      <c r="L60" s="649"/>
      <c r="M60" s="650"/>
      <c r="N60" s="649"/>
      <c r="O60" s="650"/>
      <c r="P60" s="2211"/>
      <c r="Q60" s="1992"/>
      <c r="R60" s="1992"/>
      <c r="S60" s="1992"/>
      <c r="T60" s="1992"/>
      <c r="U60" s="1992"/>
      <c r="V60" s="1992"/>
      <c r="W60" s="1992"/>
      <c r="X60" s="1992"/>
      <c r="Y60" s="1992"/>
      <c r="Z60" s="1992"/>
      <c r="AA60" s="1992"/>
      <c r="AB60" s="1992"/>
      <c r="AC60" s="1992"/>
    </row>
    <row r="61" spans="1:29" s="1218" customFormat="1" ht="15" thickBot="1">
      <c r="A61" s="652" t="s">
        <v>540</v>
      </c>
      <c r="B61" s="653"/>
      <c r="C61" s="654"/>
      <c r="D61" s="655"/>
      <c r="E61" s="655"/>
      <c r="F61" s="655"/>
      <c r="G61" s="655"/>
      <c r="H61" s="655"/>
      <c r="I61" s="655"/>
      <c r="J61" s="655"/>
      <c r="K61" s="655"/>
      <c r="L61" s="655"/>
      <c r="M61" s="656"/>
      <c r="N61" s="655"/>
      <c r="O61" s="656"/>
      <c r="P61" s="2211"/>
      <c r="Q61" s="2157"/>
      <c r="R61" s="1992"/>
      <c r="S61" s="1992"/>
      <c r="T61" s="1992"/>
      <c r="U61" s="1992"/>
      <c r="V61" s="1992"/>
      <c r="W61" s="1992"/>
      <c r="X61" s="1992"/>
      <c r="Y61" s="1992"/>
      <c r="Z61" s="1992"/>
      <c r="AA61" s="1992"/>
      <c r="AB61" s="1992"/>
      <c r="AC61" s="1992"/>
    </row>
    <row r="62" spans="1:29" s="1218" customFormat="1" ht="14.4">
      <c r="A62" s="658" t="s">
        <v>496</v>
      </c>
      <c r="B62" s="647"/>
      <c r="C62" s="659" t="s">
        <v>541</v>
      </c>
      <c r="D62" s="660"/>
      <c r="E62" s="660"/>
      <c r="F62" s="660"/>
      <c r="G62" s="660"/>
      <c r="H62" s="660"/>
      <c r="I62" s="660"/>
      <c r="J62" s="660"/>
      <c r="K62" s="660"/>
      <c r="L62" s="661"/>
      <c r="M62" s="662"/>
      <c r="N62" s="2161"/>
      <c r="O62" s="2161"/>
      <c r="P62" s="2212"/>
      <c r="Q62" s="2157"/>
      <c r="R62" s="1992"/>
      <c r="S62" s="1992"/>
      <c r="T62" s="1992"/>
      <c r="U62" s="1992"/>
      <c r="V62" s="1992"/>
      <c r="W62" s="1992"/>
      <c r="X62" s="1992"/>
      <c r="Y62" s="1992"/>
      <c r="Z62" s="1992"/>
      <c r="AA62" s="1992"/>
      <c r="AB62" s="1992"/>
      <c r="AC62" s="1992"/>
    </row>
    <row r="63" spans="1:29" s="1218" customFormat="1" ht="14.4" thickBot="1">
      <c r="A63" s="658"/>
      <c r="B63" s="647"/>
      <c r="C63" s="887">
        <v>100</v>
      </c>
      <c r="D63" s="649"/>
      <c r="E63" s="649"/>
      <c r="F63" s="649"/>
      <c r="G63" s="649"/>
      <c r="H63" s="649"/>
      <c r="I63" s="649"/>
      <c r="J63" s="649"/>
      <c r="K63" s="649"/>
      <c r="L63" s="649"/>
      <c r="M63" s="651"/>
      <c r="N63" s="2161"/>
      <c r="O63" s="2161"/>
      <c r="P63" s="2211"/>
      <c r="Q63" s="2157"/>
      <c r="R63" s="1992"/>
      <c r="S63" s="1992"/>
      <c r="T63" s="1992"/>
      <c r="U63" s="1992"/>
      <c r="V63" s="1992"/>
      <c r="W63" s="1992"/>
      <c r="X63" s="1992"/>
      <c r="Y63" s="1992"/>
      <c r="Z63" s="1992"/>
      <c r="AA63" s="1992"/>
      <c r="AB63" s="1992"/>
      <c r="AC63" s="1992"/>
    </row>
    <row r="64" spans="1:29" ht="14.4">
      <c r="A64" s="663" t="s">
        <v>542</v>
      </c>
      <c r="B64" s="664" t="s">
        <v>499</v>
      </c>
      <c r="C64" s="703">
        <f>C9</f>
        <v>0</v>
      </c>
      <c r="D64" s="597"/>
      <c r="E64" s="597"/>
      <c r="F64" s="597"/>
      <c r="G64" s="597"/>
      <c r="H64" s="597"/>
      <c r="I64" s="597"/>
      <c r="J64" s="597"/>
      <c r="K64" s="665"/>
      <c r="L64" s="666"/>
      <c r="M64" s="667"/>
      <c r="N64" s="2163"/>
      <c r="O64" s="2163"/>
      <c r="P64" s="2213"/>
      <c r="Q64" s="2157"/>
      <c r="R64" s="2144"/>
      <c r="S64" s="2144"/>
      <c r="T64" s="2144"/>
      <c r="U64" s="2144"/>
      <c r="V64" s="2144"/>
      <c r="W64" s="2144"/>
      <c r="X64" s="2144"/>
      <c r="Y64" s="2144"/>
      <c r="Z64" s="2144"/>
      <c r="AA64" s="2144"/>
      <c r="AB64" s="2144"/>
      <c r="AC64" s="2144"/>
    </row>
    <row r="65" spans="1:29" ht="14.4" thickBot="1">
      <c r="A65" s="668"/>
      <c r="B65" s="669"/>
      <c r="C65" s="670"/>
      <c r="D65" s="670"/>
      <c r="E65" s="670"/>
      <c r="F65" s="670"/>
      <c r="G65" s="670"/>
      <c r="H65" s="670"/>
      <c r="I65" s="670"/>
      <c r="J65" s="670"/>
      <c r="K65" s="670"/>
      <c r="L65" s="670"/>
      <c r="M65" s="671"/>
      <c r="N65" s="2165"/>
      <c r="O65" s="2165"/>
      <c r="P65" s="2213"/>
      <c r="Q65" s="2157"/>
      <c r="R65" s="2144"/>
      <c r="S65" s="2144"/>
      <c r="T65" s="2144"/>
      <c r="U65" s="2144"/>
      <c r="V65" s="2144"/>
      <c r="W65" s="2144"/>
      <c r="X65" s="2144"/>
      <c r="Y65" s="2144"/>
      <c r="Z65" s="2144"/>
      <c r="AA65" s="2144"/>
      <c r="AB65" s="2144"/>
      <c r="AC65" s="2144"/>
    </row>
    <row r="66" spans="1:29" ht="29.4" thickTop="1">
      <c r="A66" s="668"/>
      <c r="B66" s="672" t="s">
        <v>502</v>
      </c>
      <c r="C66" s="673" t="s">
        <v>702</v>
      </c>
      <c r="D66" s="673" t="s">
        <v>703</v>
      </c>
      <c r="E66" s="673" t="s">
        <v>704</v>
      </c>
      <c r="F66" s="673" t="s">
        <v>705</v>
      </c>
      <c r="G66" s="673" t="s">
        <v>706</v>
      </c>
      <c r="H66" s="673" t="s">
        <v>707</v>
      </c>
      <c r="I66" s="673" t="s">
        <v>708</v>
      </c>
      <c r="J66" s="673"/>
      <c r="K66" s="674"/>
      <c r="L66" s="675"/>
      <c r="M66" s="676"/>
      <c r="N66" s="2163"/>
      <c r="O66" s="2163"/>
      <c r="P66" s="2213"/>
      <c r="Q66" s="2157"/>
      <c r="R66" s="2144"/>
      <c r="S66" s="2144"/>
      <c r="T66" s="2144"/>
      <c r="U66" s="2144"/>
      <c r="V66" s="2144"/>
      <c r="W66" s="2144"/>
      <c r="X66" s="2144"/>
      <c r="Y66" s="2144"/>
      <c r="Z66" s="2144"/>
      <c r="AA66" s="2144"/>
      <c r="AB66" s="2144"/>
      <c r="AC66" s="2144"/>
    </row>
    <row r="67" spans="1:29" ht="14.4" thickBot="1">
      <c r="A67" s="668"/>
      <c r="B67" s="677"/>
      <c r="C67" s="678" t="s">
        <v>13</v>
      </c>
      <c r="D67" s="678" t="s">
        <v>14</v>
      </c>
      <c r="E67" s="678">
        <v>100</v>
      </c>
      <c r="F67" s="678">
        <f>E67-$K10</f>
        <v>100</v>
      </c>
      <c r="G67" s="678">
        <f>F67-$K10</f>
        <v>100</v>
      </c>
      <c r="H67" s="678">
        <f>G67-$K10</f>
        <v>100</v>
      </c>
      <c r="I67" s="678">
        <f>H67-$K10</f>
        <v>100</v>
      </c>
      <c r="J67" s="678"/>
      <c r="K67" s="678"/>
      <c r="L67" s="678"/>
      <c r="M67" s="679"/>
      <c r="N67" s="2165"/>
      <c r="O67" s="2165"/>
      <c r="P67" s="2213"/>
      <c r="Q67" s="2157"/>
      <c r="R67" s="2144"/>
      <c r="S67" s="2144"/>
      <c r="T67" s="2144"/>
      <c r="U67" s="2144"/>
      <c r="V67" s="2144"/>
      <c r="W67" s="2144"/>
      <c r="X67" s="2144"/>
      <c r="Y67" s="2144"/>
      <c r="Z67" s="2144"/>
      <c r="AA67" s="2144"/>
      <c r="AB67" s="2144"/>
      <c r="AC67" s="2144"/>
    </row>
    <row r="68" spans="1:29" ht="15" thickTop="1">
      <c r="A68" s="668"/>
      <c r="B68" s="680" t="s">
        <v>503</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5"/>
      <c r="O68" s="2165"/>
      <c r="P68" s="2213"/>
      <c r="Q68" s="2157"/>
      <c r="R68" s="2144"/>
      <c r="S68" s="2144"/>
      <c r="T68" s="2144"/>
      <c r="U68" s="2144"/>
      <c r="V68" s="2144"/>
      <c r="W68" s="2144"/>
      <c r="X68" s="2144"/>
      <c r="Y68" s="2144"/>
      <c r="Z68" s="2144"/>
      <c r="AA68" s="2144"/>
      <c r="AB68" s="2144"/>
      <c r="AC68" s="2144"/>
    </row>
    <row r="69" spans="1:29">
      <c r="A69" s="668"/>
      <c r="B69" s="682"/>
      <c r="C69" s="540"/>
      <c r="D69" s="540"/>
      <c r="E69" s="540"/>
      <c r="F69" s="540"/>
      <c r="G69" s="540"/>
      <c r="H69" s="540"/>
      <c r="I69" s="540"/>
      <c r="J69" s="540"/>
      <c r="K69" s="683"/>
      <c r="L69" s="684"/>
      <c r="M69" s="685"/>
      <c r="N69" s="2163"/>
      <c r="O69" s="2163"/>
      <c r="P69" s="2213"/>
      <c r="Q69" s="2157"/>
      <c r="R69" s="2144"/>
      <c r="S69" s="2144"/>
      <c r="T69" s="2144"/>
      <c r="U69" s="2144"/>
      <c r="V69" s="2144"/>
      <c r="W69" s="2144"/>
      <c r="X69" s="2144"/>
      <c r="Y69" s="2144"/>
      <c r="Z69" s="2144"/>
      <c r="AA69" s="2144"/>
      <c r="AB69" s="2144"/>
      <c r="AC69" s="2144"/>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5"/>
      <c r="O70" s="2165"/>
      <c r="P70" s="2213"/>
      <c r="Q70" s="2157"/>
      <c r="R70" s="2144"/>
      <c r="S70" s="2144"/>
      <c r="T70" s="2144"/>
      <c r="U70" s="2144"/>
      <c r="V70" s="2144"/>
      <c r="W70" s="2144"/>
      <c r="X70" s="2144"/>
      <c r="Y70" s="2144"/>
      <c r="Z70" s="2144"/>
      <c r="AA70" s="2144"/>
      <c r="AB70" s="2144"/>
      <c r="AC70" s="2144"/>
    </row>
    <row r="71" spans="1:29" s="1337" customFormat="1" ht="14.4" thickTop="1">
      <c r="A71" s="686"/>
      <c r="B71" s="672">
        <f>B12</f>
        <v>111</v>
      </c>
      <c r="C71" s="687"/>
      <c r="D71" s="687"/>
      <c r="E71" s="687"/>
      <c r="F71" s="687"/>
      <c r="G71" s="687"/>
      <c r="H71" s="688"/>
      <c r="I71" s="688"/>
      <c r="J71" s="688"/>
      <c r="K71" s="688"/>
      <c r="L71" s="689"/>
      <c r="M71" s="690"/>
      <c r="N71" s="2166"/>
      <c r="O71" s="2166"/>
      <c r="P71" s="2214"/>
      <c r="Q71" s="2168"/>
      <c r="R71" s="2169"/>
      <c r="S71" s="2169"/>
      <c r="T71" s="2169"/>
      <c r="U71" s="2169"/>
      <c r="V71" s="2169"/>
      <c r="W71" s="2169"/>
      <c r="X71" s="2169"/>
      <c r="Y71" s="2169"/>
      <c r="Z71" s="2169"/>
      <c r="AA71" s="2169"/>
      <c r="AB71" s="2169"/>
      <c r="AC71" s="2169"/>
    </row>
    <row r="72" spans="1:29" s="1337" customFormat="1" ht="14.4" thickBot="1">
      <c r="A72" s="686"/>
      <c r="B72" s="677"/>
      <c r="C72" s="691"/>
      <c r="D72" s="670"/>
      <c r="E72" s="670"/>
      <c r="F72" s="670"/>
      <c r="G72" s="670"/>
      <c r="H72" s="670"/>
      <c r="I72" s="670"/>
      <c r="J72" s="670"/>
      <c r="K72" s="670"/>
      <c r="L72" s="670"/>
      <c r="M72" s="671"/>
      <c r="N72" s="2165"/>
      <c r="O72" s="2165"/>
      <c r="P72" s="2214"/>
      <c r="Q72" s="2168"/>
      <c r="R72" s="2169"/>
      <c r="S72" s="2169"/>
      <c r="T72" s="2169"/>
      <c r="U72" s="2169"/>
      <c r="V72" s="2169"/>
      <c r="W72" s="2169"/>
      <c r="X72" s="2169"/>
      <c r="Y72" s="2169"/>
      <c r="Z72" s="2169"/>
      <c r="AA72" s="2169"/>
      <c r="AB72" s="2169"/>
      <c r="AC72" s="2169"/>
    </row>
    <row r="73" spans="1:29" s="1337" customFormat="1" ht="14.4" thickTop="1">
      <c r="A73" s="686"/>
      <c r="B73" s="672">
        <f>B13</f>
        <v>111</v>
      </c>
      <c r="C73" s="687"/>
      <c r="D73" s="687"/>
      <c r="E73" s="687"/>
      <c r="F73" s="687"/>
      <c r="G73" s="687"/>
      <c r="H73" s="688"/>
      <c r="I73" s="688"/>
      <c r="J73" s="688"/>
      <c r="K73" s="688"/>
      <c r="L73" s="689"/>
      <c r="M73" s="690"/>
      <c r="N73" s="2166"/>
      <c r="O73" s="2166"/>
      <c r="P73" s="2215"/>
      <c r="Q73" s="2171"/>
      <c r="R73" s="2169"/>
      <c r="S73" s="2169"/>
      <c r="T73" s="2169"/>
      <c r="U73" s="2169"/>
      <c r="V73" s="2169"/>
      <c r="W73" s="2169"/>
      <c r="X73" s="2169"/>
      <c r="Y73" s="2169"/>
      <c r="Z73" s="2169"/>
      <c r="AA73" s="2169"/>
      <c r="AB73" s="2169"/>
      <c r="AC73" s="2169"/>
    </row>
    <row r="74" spans="1:29" s="1337" customFormat="1" ht="14.4" thickBot="1">
      <c r="A74" s="686"/>
      <c r="B74" s="677"/>
      <c r="C74" s="691"/>
      <c r="D74" s="691"/>
      <c r="E74" s="691"/>
      <c r="F74" s="691"/>
      <c r="G74" s="691"/>
      <c r="H74" s="692"/>
      <c r="I74" s="692"/>
      <c r="J74" s="692"/>
      <c r="K74" s="692"/>
      <c r="L74" s="692"/>
      <c r="M74" s="693"/>
      <c r="N74" s="2166"/>
      <c r="O74" s="2166"/>
      <c r="P74" s="2214"/>
      <c r="Q74" s="2168"/>
      <c r="R74" s="2169"/>
      <c r="S74" s="2169"/>
      <c r="T74" s="2169"/>
      <c r="U74" s="2169"/>
      <c r="V74" s="2169"/>
      <c r="W74" s="2169"/>
      <c r="X74" s="2169"/>
      <c r="Y74" s="2169"/>
      <c r="Z74" s="2169"/>
      <c r="AA74" s="2169"/>
      <c r="AB74" s="2169"/>
      <c r="AC74" s="2169"/>
    </row>
    <row r="75" spans="1:29" s="1337" customFormat="1" ht="14.4" thickTop="1">
      <c r="A75" s="686"/>
      <c r="B75" s="680">
        <f>B14</f>
        <v>111</v>
      </c>
      <c r="C75" s="660"/>
      <c r="D75" s="660"/>
      <c r="E75" s="660"/>
      <c r="F75" s="660"/>
      <c r="G75" s="660"/>
      <c r="H75" s="694"/>
      <c r="I75" s="694"/>
      <c r="J75" s="694"/>
      <c r="K75" s="694"/>
      <c r="L75" s="695"/>
      <c r="M75" s="696"/>
      <c r="N75" s="2166"/>
      <c r="O75" s="2166"/>
      <c r="P75" s="2216"/>
      <c r="Q75" s="2168"/>
      <c r="R75" s="2169"/>
      <c r="S75" s="2169"/>
      <c r="T75" s="2169"/>
      <c r="U75" s="2169"/>
      <c r="V75" s="2169"/>
      <c r="W75" s="2169"/>
      <c r="X75" s="2169"/>
      <c r="Y75" s="2169"/>
      <c r="Z75" s="2169"/>
      <c r="AA75" s="2169"/>
      <c r="AB75" s="2169"/>
      <c r="AC75" s="2169"/>
    </row>
    <row r="76" spans="1:29" s="1337" customFormat="1" ht="14.4" thickBot="1">
      <c r="A76" s="697"/>
      <c r="B76" s="698"/>
      <c r="C76" s="699"/>
      <c r="D76" s="699"/>
      <c r="E76" s="699"/>
      <c r="F76" s="699"/>
      <c r="G76" s="699"/>
      <c r="H76" s="700"/>
      <c r="I76" s="700"/>
      <c r="J76" s="700"/>
      <c r="K76" s="700"/>
      <c r="L76" s="700"/>
      <c r="M76" s="701"/>
      <c r="N76" s="2166"/>
      <c r="O76" s="2166"/>
      <c r="P76" s="2214"/>
      <c r="Q76" s="2168"/>
      <c r="R76" s="2169"/>
      <c r="S76" s="2169"/>
      <c r="T76" s="2169"/>
      <c r="U76" s="2169"/>
      <c r="V76" s="2169"/>
      <c r="W76" s="2169"/>
      <c r="X76" s="2169"/>
      <c r="Y76" s="2169"/>
      <c r="Z76" s="2169"/>
      <c r="AA76" s="2169"/>
      <c r="AB76" s="2169"/>
      <c r="AC76" s="2169"/>
    </row>
    <row r="77" spans="1:29" ht="14.4">
      <c r="A77" s="663" t="s">
        <v>504</v>
      </c>
      <c r="B77" s="664" t="s">
        <v>550</v>
      </c>
      <c r="C77" s="702" t="s">
        <v>544</v>
      </c>
      <c r="D77" s="702" t="s">
        <v>545</v>
      </c>
      <c r="E77" s="702" t="s">
        <v>546</v>
      </c>
      <c r="F77" s="702" t="s">
        <v>547</v>
      </c>
      <c r="G77" s="702" t="s">
        <v>548</v>
      </c>
      <c r="H77" s="703"/>
      <c r="I77" s="703"/>
      <c r="J77" s="703"/>
      <c r="K77" s="704"/>
      <c r="L77" s="705"/>
      <c r="M77" s="706"/>
      <c r="N77" s="2163"/>
      <c r="O77" s="2163"/>
      <c r="P77" s="2217"/>
      <c r="Q77" s="2157"/>
      <c r="R77" s="2144"/>
      <c r="S77" s="2144"/>
      <c r="T77" s="2144"/>
      <c r="U77" s="2144"/>
      <c r="V77" s="2144"/>
      <c r="W77" s="2144"/>
      <c r="X77" s="2144"/>
      <c r="Y77" s="2144"/>
      <c r="Z77" s="2144"/>
      <c r="AA77" s="2144"/>
      <c r="AB77" s="2144"/>
      <c r="AC77" s="2144"/>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65"/>
      <c r="O78" s="2165"/>
      <c r="P78" s="2213"/>
      <c r="Q78" s="2157"/>
      <c r="R78" s="2144"/>
      <c r="S78" s="2144"/>
      <c r="T78" s="2144"/>
      <c r="U78" s="2144"/>
      <c r="V78" s="2144"/>
      <c r="W78" s="2144"/>
      <c r="X78" s="2144"/>
      <c r="Y78" s="2144"/>
      <c r="Z78" s="2144"/>
      <c r="AA78" s="2144"/>
      <c r="AB78" s="2144"/>
      <c r="AC78" s="2144"/>
    </row>
    <row r="79" spans="1:29" ht="15" thickTop="1">
      <c r="A79" s="668"/>
      <c r="B79" s="672" t="s">
        <v>551</v>
      </c>
      <c r="C79" s="707" t="s">
        <v>544</v>
      </c>
      <c r="D79" s="707" t="s">
        <v>545</v>
      </c>
      <c r="E79" s="707" t="s">
        <v>546</v>
      </c>
      <c r="F79" s="707" t="s">
        <v>547</v>
      </c>
      <c r="G79" s="707" t="s">
        <v>548</v>
      </c>
      <c r="H79" s="673"/>
      <c r="I79" s="673"/>
      <c r="J79" s="673"/>
      <c r="K79" s="674"/>
      <c r="L79" s="675"/>
      <c r="M79" s="676"/>
      <c r="N79" s="2163"/>
      <c r="O79" s="2163"/>
      <c r="P79" s="2213"/>
      <c r="Q79" s="2157"/>
      <c r="R79" s="2144"/>
      <c r="S79" s="2144"/>
      <c r="T79" s="2144"/>
      <c r="U79" s="2144"/>
      <c r="V79" s="2144"/>
      <c r="W79" s="2144"/>
      <c r="X79" s="2144"/>
      <c r="Y79" s="2144"/>
      <c r="Z79" s="2144"/>
      <c r="AA79" s="2144"/>
      <c r="AB79" s="2144"/>
      <c r="AC79" s="2144"/>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65"/>
      <c r="O80" s="2165"/>
      <c r="P80" s="2213"/>
      <c r="Q80" s="2157"/>
      <c r="R80" s="2144"/>
      <c r="S80" s="2144"/>
      <c r="T80" s="2144"/>
      <c r="U80" s="2144"/>
      <c r="V80" s="2144"/>
      <c r="W80" s="2144"/>
      <c r="X80" s="2144"/>
      <c r="Y80" s="2144"/>
      <c r="Z80" s="2144"/>
      <c r="AA80" s="2144"/>
      <c r="AB80" s="2144"/>
      <c r="AC80" s="2144"/>
    </row>
    <row r="81" spans="1:29" ht="15" thickTop="1">
      <c r="A81" s="668"/>
      <c r="B81" s="1895" t="s">
        <v>2519</v>
      </c>
      <c r="C81" s="707" t="s">
        <v>544</v>
      </c>
      <c r="D81" s="707" t="s">
        <v>545</v>
      </c>
      <c r="E81" s="707" t="s">
        <v>546</v>
      </c>
      <c r="F81" s="707" t="s">
        <v>547</v>
      </c>
      <c r="G81" s="707" t="s">
        <v>548</v>
      </c>
      <c r="H81" s="673"/>
      <c r="I81" s="673"/>
      <c r="J81" s="673"/>
      <c r="K81" s="674"/>
      <c r="L81" s="675"/>
      <c r="M81" s="676"/>
      <c r="N81" s="2163"/>
      <c r="O81" s="2163"/>
      <c r="P81" s="2213"/>
      <c r="Q81" s="2157"/>
      <c r="R81" s="2144"/>
      <c r="S81" s="2144"/>
      <c r="T81" s="2144"/>
      <c r="U81" s="2144"/>
      <c r="V81" s="2144"/>
      <c r="W81" s="2144"/>
      <c r="X81" s="2144"/>
      <c r="Y81" s="2144"/>
      <c r="Z81" s="2144"/>
      <c r="AA81" s="2144"/>
      <c r="AB81" s="2144"/>
      <c r="AC81" s="2144"/>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65"/>
      <c r="O82" s="2165"/>
      <c r="P82" s="2213"/>
      <c r="Q82" s="2157"/>
      <c r="R82" s="2144"/>
      <c r="S82" s="2144"/>
      <c r="T82" s="2144"/>
      <c r="U82" s="2144"/>
      <c r="V82" s="2144"/>
      <c r="W82" s="2144"/>
      <c r="X82" s="2144"/>
      <c r="Y82" s="2144"/>
      <c r="Z82" s="2144"/>
      <c r="AA82" s="2144"/>
      <c r="AB82" s="2144"/>
      <c r="AC82" s="2144"/>
    </row>
    <row r="83" spans="1:29" ht="15" thickTop="1">
      <c r="A83" s="668"/>
      <c r="B83" s="2596" t="s">
        <v>2520</v>
      </c>
      <c r="C83" s="2597" t="s">
        <v>2521</v>
      </c>
      <c r="D83" s="2597" t="s">
        <v>2522</v>
      </c>
      <c r="E83" s="2597" t="s">
        <v>2523</v>
      </c>
      <c r="F83" s="2597" t="s">
        <v>2524</v>
      </c>
      <c r="G83" s="2597" t="s">
        <v>2525</v>
      </c>
      <c r="H83" s="673"/>
      <c r="I83" s="673"/>
      <c r="J83" s="673"/>
      <c r="K83" s="673"/>
      <c r="L83" s="673"/>
      <c r="M83" s="2600"/>
      <c r="N83" s="2165"/>
      <c r="O83" s="2165"/>
      <c r="P83" s="2213"/>
      <c r="Q83" s="2157"/>
      <c r="R83" s="2144"/>
      <c r="S83" s="2144"/>
      <c r="T83" s="2144"/>
      <c r="U83" s="2144"/>
      <c r="V83" s="2144"/>
      <c r="W83" s="2144"/>
      <c r="X83" s="2144"/>
      <c r="Y83" s="2144"/>
      <c r="Z83" s="2144"/>
      <c r="AA83" s="2144"/>
      <c r="AB83" s="2144"/>
      <c r="AC83" s="2144"/>
    </row>
    <row r="84" spans="1:29" ht="14.4" thickBot="1">
      <c r="A84" s="668"/>
      <c r="B84" s="680"/>
      <c r="C84" s="678">
        <v>100</v>
      </c>
      <c r="D84" s="678">
        <f>C84-$K21</f>
        <v>100</v>
      </c>
      <c r="E84" s="678">
        <f>D84-$K21</f>
        <v>100</v>
      </c>
      <c r="F84" s="678">
        <f>E84-$K21</f>
        <v>100</v>
      </c>
      <c r="G84" s="678">
        <f>F84-$K21</f>
        <v>100</v>
      </c>
      <c r="H84" s="933"/>
      <c r="I84" s="933"/>
      <c r="J84" s="933"/>
      <c r="K84" s="933"/>
      <c r="L84" s="933"/>
      <c r="M84" s="558"/>
      <c r="N84" s="2165"/>
      <c r="O84" s="2165"/>
      <c r="P84" s="2213"/>
      <c r="Q84" s="2157"/>
      <c r="R84" s="2144"/>
      <c r="S84" s="2144"/>
      <c r="T84" s="2144"/>
      <c r="U84" s="2144"/>
      <c r="V84" s="2144"/>
      <c r="W84" s="2144"/>
      <c r="X84" s="2144"/>
      <c r="Y84" s="2144"/>
      <c r="Z84" s="2144"/>
      <c r="AA84" s="2144"/>
      <c r="AB84" s="2144"/>
      <c r="AC84" s="2144"/>
    </row>
    <row r="85" spans="1:29" ht="15" thickTop="1">
      <c r="A85" s="668"/>
      <c r="B85" s="672" t="s">
        <v>749</v>
      </c>
      <c r="C85" s="707" t="s">
        <v>544</v>
      </c>
      <c r="D85" s="707" t="s">
        <v>545</v>
      </c>
      <c r="E85" s="707" t="s">
        <v>546</v>
      </c>
      <c r="F85" s="707" t="s">
        <v>547</v>
      </c>
      <c r="G85" s="707" t="s">
        <v>548</v>
      </c>
      <c r="H85" s="673"/>
      <c r="I85" s="673"/>
      <c r="J85" s="673"/>
      <c r="K85" s="674"/>
      <c r="L85" s="675"/>
      <c r="M85" s="676"/>
      <c r="N85" s="2163"/>
      <c r="O85" s="2163"/>
      <c r="P85" s="2213"/>
      <c r="Q85" s="2157"/>
      <c r="R85" s="2144"/>
      <c r="S85" s="2144"/>
      <c r="T85" s="2144"/>
      <c r="U85" s="2144"/>
      <c r="V85" s="2144"/>
      <c r="W85" s="2144"/>
      <c r="X85" s="2144"/>
      <c r="Y85" s="2144"/>
      <c r="Z85" s="2144"/>
      <c r="AA85" s="2144"/>
      <c r="AB85" s="2144"/>
      <c r="AC85" s="2144"/>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65"/>
      <c r="O86" s="2165"/>
      <c r="P86" s="2213"/>
      <c r="Q86" s="2157"/>
      <c r="R86" s="2144"/>
      <c r="S86" s="2144"/>
      <c r="T86" s="2144"/>
      <c r="U86" s="2144"/>
      <c r="V86" s="2144"/>
      <c r="W86" s="2144"/>
      <c r="X86" s="2144"/>
      <c r="Y86" s="2144"/>
      <c r="Z86" s="2144"/>
      <c r="AA86" s="2144"/>
      <c r="AB86" s="2144"/>
      <c r="AC86" s="2144"/>
    </row>
    <row r="87" spans="1:29" s="1218" customFormat="1" ht="29.4" thickTop="1">
      <c r="A87" s="708"/>
      <c r="B87" s="672" t="s">
        <v>750</v>
      </c>
      <c r="C87" s="687"/>
      <c r="D87" s="687"/>
      <c r="E87" s="687"/>
      <c r="F87" s="687"/>
      <c r="G87" s="687"/>
      <c r="H87" s="687"/>
      <c r="I87" s="687"/>
      <c r="J87" s="687"/>
      <c r="K87" s="687"/>
      <c r="L87" s="888"/>
      <c r="M87" s="889"/>
      <c r="N87" s="2161"/>
      <c r="O87" s="2161"/>
      <c r="P87" s="2213"/>
      <c r="Q87" s="2157"/>
      <c r="R87" s="1992"/>
      <c r="S87" s="1992"/>
      <c r="T87" s="1992"/>
      <c r="U87" s="1992"/>
      <c r="V87" s="1992"/>
      <c r="W87" s="1992"/>
      <c r="X87" s="1992"/>
      <c r="Y87" s="1992"/>
      <c r="Z87" s="1992"/>
      <c r="AA87" s="1992"/>
      <c r="AB87" s="1992"/>
      <c r="AC87" s="1992"/>
    </row>
    <row r="88" spans="1:29" s="1218"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5"/>
      <c r="O88" s="2165"/>
      <c r="P88" s="2213"/>
      <c r="Q88" s="2157"/>
      <c r="R88" s="1992"/>
      <c r="S88" s="1992"/>
      <c r="T88" s="1992"/>
      <c r="U88" s="1992"/>
      <c r="V88" s="1992"/>
      <c r="W88" s="1992"/>
      <c r="X88" s="1992"/>
      <c r="Y88" s="1992"/>
      <c r="Z88" s="1992"/>
      <c r="AA88" s="1992"/>
      <c r="AB88" s="1992"/>
      <c r="AC88" s="1992"/>
    </row>
    <row r="89" spans="1:29" s="1218" customFormat="1" ht="14.4" thickTop="1">
      <c r="A89" s="708"/>
      <c r="B89" s="672" t="str">
        <f>B27</f>
        <v>楼层</v>
      </c>
      <c r="C89" s="687"/>
      <c r="D89" s="687"/>
      <c r="E89" s="687"/>
      <c r="F89" s="890"/>
      <c r="G89" s="687"/>
      <c r="H89" s="687"/>
      <c r="I89" s="687"/>
      <c r="J89" s="687"/>
      <c r="K89" s="687"/>
      <c r="L89" s="687"/>
      <c r="M89" s="889"/>
      <c r="N89" s="2161"/>
      <c r="O89" s="2161"/>
      <c r="P89" s="2213"/>
      <c r="Q89" s="2157"/>
      <c r="R89" s="1992"/>
      <c r="S89" s="1992"/>
      <c r="T89" s="1992"/>
      <c r="U89" s="1992"/>
      <c r="V89" s="1992"/>
      <c r="W89" s="1992"/>
      <c r="X89" s="1992"/>
      <c r="Y89" s="1992"/>
      <c r="Z89" s="1992"/>
      <c r="AA89" s="1992"/>
      <c r="AB89" s="1992"/>
      <c r="AC89" s="1992"/>
    </row>
    <row r="90" spans="1:29" s="1218"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5"/>
      <c r="O90" s="2165"/>
      <c r="P90" s="2213"/>
      <c r="Q90" s="2157"/>
      <c r="R90" s="1992"/>
      <c r="S90" s="1992"/>
      <c r="T90" s="1992"/>
      <c r="U90" s="1992"/>
      <c r="V90" s="1992"/>
      <c r="W90" s="1992"/>
      <c r="X90" s="1992"/>
      <c r="Y90" s="1992"/>
      <c r="Z90" s="1992"/>
      <c r="AA90" s="1992"/>
      <c r="AB90" s="1992"/>
      <c r="AC90" s="1992"/>
    </row>
    <row r="91" spans="1:29" s="1337" customFormat="1" ht="14.4" thickTop="1">
      <c r="A91" s="686"/>
      <c r="B91" s="672" t="str">
        <f>B28</f>
        <v>朝向</v>
      </c>
      <c r="C91" s="687"/>
      <c r="D91" s="687"/>
      <c r="E91" s="687"/>
      <c r="F91" s="687"/>
      <c r="G91" s="687"/>
      <c r="H91" s="688"/>
      <c r="I91" s="688"/>
      <c r="J91" s="688"/>
      <c r="K91" s="688"/>
      <c r="L91" s="689"/>
      <c r="M91" s="690"/>
      <c r="N91" s="2166"/>
      <c r="O91" s="2166"/>
      <c r="P91" s="2214"/>
      <c r="Q91" s="2168"/>
      <c r="R91" s="2169"/>
      <c r="S91" s="2169"/>
      <c r="T91" s="2169"/>
      <c r="U91" s="2169"/>
      <c r="V91" s="2169"/>
      <c r="W91" s="2169"/>
      <c r="X91" s="2169"/>
      <c r="Y91" s="2169"/>
      <c r="Z91" s="2169"/>
      <c r="AA91" s="2169"/>
      <c r="AB91" s="2169"/>
      <c r="AC91" s="2169"/>
    </row>
    <row r="92" spans="1:29" s="1337"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6"/>
      <c r="O92" s="2166"/>
      <c r="P92" s="2214"/>
      <c r="Q92" s="2168"/>
      <c r="R92" s="2169"/>
      <c r="S92" s="2169"/>
      <c r="T92" s="2169"/>
      <c r="U92" s="2169"/>
      <c r="V92" s="2169"/>
      <c r="W92" s="2169"/>
      <c r="X92" s="2169"/>
      <c r="Y92" s="2169"/>
      <c r="Z92" s="2169"/>
      <c r="AA92" s="2169"/>
      <c r="AB92" s="2169"/>
      <c r="AC92" s="2169"/>
    </row>
    <row r="93" spans="1:29" ht="14.4" thickTop="1">
      <c r="A93" s="668"/>
      <c r="B93" s="672">
        <f>B29</f>
        <v>111</v>
      </c>
      <c r="C93" s="687"/>
      <c r="D93" s="687"/>
      <c r="E93" s="687"/>
      <c r="F93" s="687"/>
      <c r="G93" s="687"/>
      <c r="H93" s="687"/>
      <c r="I93" s="687"/>
      <c r="J93" s="687"/>
      <c r="K93" s="687"/>
      <c r="L93" s="888"/>
      <c r="M93" s="889"/>
      <c r="N93" s="2163"/>
      <c r="O93" s="2163"/>
      <c r="P93" s="2213"/>
      <c r="Q93" s="2157"/>
      <c r="R93" s="2144"/>
      <c r="S93" s="2144"/>
      <c r="T93" s="2144"/>
      <c r="U93" s="2144"/>
      <c r="V93" s="2144"/>
      <c r="W93" s="2144"/>
      <c r="X93" s="2144"/>
      <c r="Y93" s="2144"/>
      <c r="Z93" s="2144"/>
      <c r="AA93" s="2144"/>
      <c r="AB93" s="2144"/>
      <c r="AC93" s="2144"/>
    </row>
    <row r="94" spans="1:29" ht="14.4" thickBot="1">
      <c r="A94" s="668"/>
      <c r="B94" s="677"/>
      <c r="C94" s="691"/>
      <c r="D94" s="670"/>
      <c r="E94" s="670"/>
      <c r="F94" s="670"/>
      <c r="G94" s="670"/>
      <c r="H94" s="670"/>
      <c r="I94" s="670"/>
      <c r="J94" s="670"/>
      <c r="K94" s="670"/>
      <c r="L94" s="670"/>
      <c r="M94" s="671"/>
      <c r="N94" s="2165"/>
      <c r="O94" s="2165"/>
      <c r="P94" s="2213"/>
      <c r="Q94" s="2157"/>
      <c r="R94" s="2144"/>
      <c r="S94" s="2144"/>
      <c r="T94" s="2144"/>
      <c r="U94" s="2144"/>
      <c r="V94" s="2144"/>
      <c r="W94" s="2144"/>
      <c r="X94" s="2144"/>
      <c r="Y94" s="2144"/>
      <c r="Z94" s="2144"/>
      <c r="AA94" s="2144"/>
      <c r="AB94" s="2144"/>
      <c r="AC94" s="2144"/>
    </row>
    <row r="95" spans="1:29" ht="14.4" thickTop="1">
      <c r="A95" s="668"/>
      <c r="B95" s="672">
        <f>B30</f>
        <v>111</v>
      </c>
      <c r="C95" s="687"/>
      <c r="D95" s="687"/>
      <c r="E95" s="687"/>
      <c r="F95" s="687"/>
      <c r="G95" s="717"/>
      <c r="H95" s="717"/>
      <c r="I95" s="717"/>
      <c r="J95" s="717"/>
      <c r="K95" s="718"/>
      <c r="L95" s="719"/>
      <c r="M95" s="720"/>
      <c r="N95" s="2163"/>
      <c r="O95" s="2163"/>
      <c r="P95" s="2213"/>
      <c r="Q95" s="2157"/>
      <c r="R95" s="2144"/>
      <c r="S95" s="2144"/>
      <c r="T95" s="2144"/>
      <c r="U95" s="2144"/>
      <c r="V95" s="2144"/>
      <c r="W95" s="2144"/>
      <c r="X95" s="2144"/>
      <c r="Y95" s="2144"/>
      <c r="Z95" s="2144"/>
      <c r="AA95" s="2144"/>
      <c r="AB95" s="2144"/>
      <c r="AC95" s="2144"/>
    </row>
    <row r="96" spans="1:29" ht="14.4" thickBot="1">
      <c r="A96" s="668"/>
      <c r="B96" s="677"/>
      <c r="C96" s="691"/>
      <c r="D96" s="691"/>
      <c r="E96" s="691"/>
      <c r="F96" s="691"/>
      <c r="G96" s="670"/>
      <c r="H96" s="670"/>
      <c r="I96" s="670"/>
      <c r="J96" s="670"/>
      <c r="K96" s="670"/>
      <c r="L96" s="670"/>
      <c r="M96" s="671"/>
      <c r="N96" s="2165"/>
      <c r="O96" s="2165"/>
      <c r="P96" s="2213"/>
      <c r="Q96" s="2157"/>
      <c r="R96" s="2144"/>
      <c r="S96" s="2144"/>
      <c r="T96" s="2144"/>
      <c r="U96" s="2144"/>
      <c r="V96" s="2144"/>
      <c r="W96" s="2144"/>
      <c r="X96" s="2144"/>
      <c r="Y96" s="2144"/>
      <c r="Z96" s="2144"/>
      <c r="AA96" s="2144"/>
      <c r="AB96" s="2144"/>
      <c r="AC96" s="2144"/>
    </row>
    <row r="97" spans="1:29" ht="14.4" thickTop="1">
      <c r="A97" s="668"/>
      <c r="B97" s="672">
        <f>B31</f>
        <v>111</v>
      </c>
      <c r="C97" s="687"/>
      <c r="D97" s="687"/>
      <c r="E97" s="687"/>
      <c r="F97" s="687"/>
      <c r="G97" s="717"/>
      <c r="H97" s="717"/>
      <c r="I97" s="717"/>
      <c r="J97" s="717"/>
      <c r="K97" s="718"/>
      <c r="L97" s="719"/>
      <c r="M97" s="720"/>
      <c r="N97" s="2163"/>
      <c r="O97" s="2163"/>
      <c r="P97" s="2213"/>
      <c r="Q97" s="2157"/>
      <c r="R97" s="2144"/>
      <c r="S97" s="2144"/>
      <c r="T97" s="2144"/>
      <c r="U97" s="2144"/>
      <c r="V97" s="2144"/>
      <c r="W97" s="2144"/>
      <c r="X97" s="2144"/>
      <c r="Y97" s="2144"/>
      <c r="Z97" s="2144"/>
      <c r="AA97" s="2144"/>
      <c r="AB97" s="2144"/>
      <c r="AC97" s="2144"/>
    </row>
    <row r="98" spans="1:29" ht="14.4" thickBot="1">
      <c r="A98" s="668"/>
      <c r="B98" s="677"/>
      <c r="C98" s="691"/>
      <c r="D98" s="670"/>
      <c r="E98" s="670"/>
      <c r="F98" s="670"/>
      <c r="G98" s="670"/>
      <c r="H98" s="670"/>
      <c r="I98" s="670"/>
      <c r="J98" s="670"/>
      <c r="K98" s="670"/>
      <c r="L98" s="670"/>
      <c r="M98" s="671"/>
      <c r="N98" s="2165"/>
      <c r="O98" s="2165"/>
      <c r="P98" s="2213"/>
      <c r="Q98" s="2157"/>
      <c r="R98" s="2144"/>
      <c r="S98" s="2144"/>
      <c r="T98" s="2144"/>
      <c r="U98" s="2144"/>
      <c r="V98" s="2144"/>
      <c r="W98" s="2144"/>
      <c r="X98" s="2144"/>
      <c r="Y98" s="2144"/>
      <c r="Z98" s="2144"/>
      <c r="AA98" s="2144"/>
      <c r="AB98" s="2144"/>
      <c r="AC98" s="2144"/>
    </row>
    <row r="99" spans="1:29" ht="14.4" thickTop="1">
      <c r="A99" s="668"/>
      <c r="B99" s="680">
        <f>B32</f>
        <v>111</v>
      </c>
      <c r="C99" s="660"/>
      <c r="D99" s="660"/>
      <c r="E99" s="660"/>
      <c r="F99" s="660"/>
      <c r="G99" s="721"/>
      <c r="H99" s="721"/>
      <c r="I99" s="721"/>
      <c r="J99" s="721"/>
      <c r="K99" s="722"/>
      <c r="L99" s="723"/>
      <c r="M99" s="724"/>
      <c r="N99" s="2163"/>
      <c r="O99" s="2163"/>
      <c r="P99" s="2213"/>
      <c r="Q99" s="2157"/>
      <c r="R99" s="2144"/>
      <c r="S99" s="2144"/>
      <c r="T99" s="2144"/>
      <c r="U99" s="2144"/>
      <c r="V99" s="2144"/>
      <c r="W99" s="2144"/>
      <c r="X99" s="2144"/>
      <c r="Y99" s="2144"/>
      <c r="Z99" s="2144"/>
      <c r="AA99" s="2144"/>
      <c r="AB99" s="2144"/>
      <c r="AC99" s="2144"/>
    </row>
    <row r="100" spans="1:29" ht="14.4" thickBot="1">
      <c r="A100" s="891"/>
      <c r="B100" s="698"/>
      <c r="C100" s="699"/>
      <c r="D100" s="699"/>
      <c r="E100" s="699"/>
      <c r="F100" s="699"/>
      <c r="G100" s="725"/>
      <c r="H100" s="725"/>
      <c r="I100" s="725"/>
      <c r="J100" s="725"/>
      <c r="K100" s="725"/>
      <c r="L100" s="725"/>
      <c r="M100" s="726"/>
      <c r="N100" s="2165"/>
      <c r="O100" s="2165"/>
      <c r="P100" s="2213"/>
      <c r="Q100" s="2157"/>
      <c r="R100" s="2144"/>
      <c r="S100" s="2144"/>
      <c r="T100" s="2144"/>
      <c r="U100" s="2144"/>
      <c r="V100" s="2144"/>
      <c r="W100" s="2144"/>
      <c r="X100" s="2144"/>
      <c r="Y100" s="2144"/>
      <c r="Z100" s="2144"/>
      <c r="AA100" s="2144"/>
      <c r="AB100" s="2144"/>
      <c r="AC100" s="2144"/>
    </row>
    <row r="101" spans="1:29" ht="14.4">
      <c r="A101" s="663" t="s">
        <v>516</v>
      </c>
      <c r="B101" s="664" t="s">
        <v>712</v>
      </c>
      <c r="C101" s="597"/>
      <c r="D101" s="597"/>
      <c r="E101" s="597"/>
      <c r="F101" s="597"/>
      <c r="G101" s="597"/>
      <c r="H101" s="597"/>
      <c r="I101" s="597"/>
      <c r="J101" s="597"/>
      <c r="K101" s="665"/>
      <c r="L101" s="666"/>
      <c r="M101" s="667"/>
      <c r="N101" s="2163"/>
      <c r="O101" s="2163"/>
      <c r="P101" s="2213"/>
      <c r="Q101" s="2157"/>
      <c r="R101" s="2144"/>
      <c r="S101" s="2144"/>
      <c r="T101" s="2144"/>
      <c r="U101" s="2144"/>
      <c r="V101" s="2144"/>
      <c r="W101" s="2144"/>
      <c r="X101" s="2144"/>
      <c r="Y101" s="2144"/>
      <c r="Z101" s="2144"/>
      <c r="AA101" s="2144"/>
      <c r="AB101" s="2144"/>
      <c r="AC101" s="2144"/>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5"/>
      <c r="O102" s="2165"/>
      <c r="P102" s="2213"/>
      <c r="Q102" s="2157"/>
      <c r="R102" s="2144"/>
      <c r="S102" s="2144"/>
      <c r="T102" s="2144"/>
      <c r="U102" s="2144"/>
      <c r="V102" s="2144"/>
      <c r="W102" s="2144"/>
      <c r="X102" s="2144"/>
      <c r="Y102" s="2144"/>
      <c r="Z102" s="2144"/>
      <c r="AA102" s="2144"/>
      <c r="AB102" s="2144"/>
      <c r="AC102" s="2144"/>
    </row>
    <row r="103" spans="1:29" ht="15" thickTop="1">
      <c r="A103" s="668"/>
      <c r="B103" s="672" t="s">
        <v>713</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7" customFormat="1">
      <c r="A104" s="727"/>
      <c r="B104" s="728"/>
      <c r="C104" s="729"/>
      <c r="D104" s="729"/>
      <c r="E104" s="729"/>
      <c r="F104" s="729"/>
      <c r="G104" s="729"/>
      <c r="H104" s="729"/>
      <c r="I104" s="729"/>
      <c r="J104" s="730"/>
      <c r="K104" s="730"/>
      <c r="L104" s="731"/>
      <c r="M104" s="732"/>
      <c r="N104" s="2166"/>
      <c r="O104" s="2166"/>
      <c r="P104" s="2214"/>
      <c r="Q104" s="2168"/>
      <c r="R104" s="2169"/>
      <c r="S104" s="2169"/>
      <c r="T104" s="2169"/>
      <c r="U104" s="2169"/>
      <c r="V104" s="2169"/>
      <c r="W104" s="2169"/>
      <c r="X104" s="2169"/>
      <c r="Y104" s="2169"/>
      <c r="Z104" s="2169"/>
      <c r="AA104" s="2169"/>
      <c r="AB104" s="2169"/>
      <c r="AC104" s="2169"/>
    </row>
    <row r="105" spans="1:29" s="1337" customFormat="1" ht="14.4" thickBot="1">
      <c r="A105" s="686"/>
      <c r="B105" s="677"/>
      <c r="C105" s="691"/>
      <c r="D105" s="670"/>
      <c r="E105" s="670"/>
      <c r="F105" s="670"/>
      <c r="G105" s="670"/>
      <c r="H105" s="670"/>
      <c r="I105" s="670"/>
      <c r="J105" s="670"/>
      <c r="K105" s="670"/>
      <c r="L105" s="670"/>
      <c r="M105" s="671"/>
      <c r="N105" s="2165"/>
      <c r="O105" s="2165"/>
      <c r="P105" s="2214"/>
      <c r="Q105" s="2168"/>
      <c r="R105" s="2169"/>
      <c r="S105" s="2169"/>
      <c r="T105" s="2169"/>
      <c r="U105" s="2169"/>
      <c r="V105" s="2169"/>
      <c r="W105" s="2169"/>
      <c r="X105" s="2169"/>
      <c r="Y105" s="2169"/>
      <c r="Z105" s="2169"/>
      <c r="AA105" s="2169"/>
      <c r="AB105" s="2169"/>
      <c r="AC105" s="2169"/>
    </row>
    <row r="106" spans="1:29" ht="15" thickTop="1">
      <c r="A106" s="734"/>
      <c r="B106" s="672" t="s">
        <v>714</v>
      </c>
      <c r="C106" s="687"/>
      <c r="D106" s="687"/>
      <c r="E106" s="717"/>
      <c r="F106" s="717"/>
      <c r="G106" s="717"/>
      <c r="H106" s="717"/>
      <c r="I106" s="717"/>
      <c r="J106" s="717"/>
      <c r="K106" s="718"/>
      <c r="L106" s="719"/>
      <c r="M106" s="720"/>
      <c r="N106" s="2163"/>
      <c r="O106" s="2163"/>
      <c r="P106" s="2213"/>
      <c r="Q106" s="2157"/>
      <c r="R106" s="2144"/>
      <c r="S106" s="2144"/>
      <c r="T106" s="2144"/>
      <c r="U106" s="2144"/>
      <c r="V106" s="2144"/>
      <c r="W106" s="2144"/>
      <c r="X106" s="2144"/>
      <c r="Y106" s="2144"/>
      <c r="Z106" s="2144"/>
      <c r="AA106" s="2144"/>
      <c r="AB106" s="2144"/>
      <c r="AC106" s="2144"/>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4"/>
      <c r="B108" s="672" t="s">
        <v>716</v>
      </c>
      <c r="C108" s="687"/>
      <c r="D108" s="687"/>
      <c r="E108" s="687"/>
      <c r="F108" s="717"/>
      <c r="G108" s="717"/>
      <c r="H108" s="717"/>
      <c r="I108" s="717"/>
      <c r="J108" s="717"/>
      <c r="K108" s="718"/>
      <c r="L108" s="719"/>
      <c r="M108" s="720"/>
      <c r="N108" s="2163"/>
      <c r="O108" s="2163"/>
      <c r="P108" s="2213"/>
      <c r="Q108" s="2157"/>
      <c r="R108" s="2144"/>
      <c r="S108" s="2144"/>
      <c r="T108" s="2144"/>
      <c r="U108" s="2144"/>
      <c r="V108" s="2144"/>
      <c r="W108" s="2144"/>
      <c r="X108" s="2144"/>
      <c r="Y108" s="2144"/>
      <c r="Z108" s="2144"/>
      <c r="AA108" s="2144"/>
      <c r="AB108" s="2144"/>
      <c r="AC108" s="2144"/>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4"/>
      <c r="B110" s="672" t="s">
        <v>717</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3"/>
      <c r="O110" s="2163"/>
      <c r="P110" s="2213"/>
      <c r="Q110" s="2157"/>
      <c r="R110" s="2144"/>
      <c r="S110" s="2144"/>
      <c r="T110" s="2144"/>
      <c r="U110" s="2144"/>
      <c r="V110" s="2144"/>
      <c r="W110" s="2144"/>
      <c r="X110" s="2144"/>
      <c r="Y110" s="2144"/>
      <c r="Z110" s="2144"/>
      <c r="AA110" s="2144"/>
      <c r="AB110" s="2144"/>
      <c r="AC110" s="2144"/>
    </row>
    <row r="111" spans="1:29">
      <c r="A111" s="734"/>
      <c r="B111" s="680"/>
      <c r="C111" s="892">
        <v>0.5</v>
      </c>
      <c r="D111" s="892">
        <v>0.6</v>
      </c>
      <c r="E111" s="892">
        <v>0.7</v>
      </c>
      <c r="F111" s="892">
        <v>0.8</v>
      </c>
      <c r="G111" s="892">
        <v>0.9</v>
      </c>
      <c r="H111" s="892">
        <v>1.0001</v>
      </c>
      <c r="I111" s="903"/>
      <c r="J111" s="903"/>
      <c r="K111" s="904"/>
      <c r="L111" s="905"/>
      <c r="M111" s="906"/>
      <c r="N111" s="2163"/>
      <c r="O111" s="2163"/>
      <c r="P111" s="2213"/>
      <c r="Q111" s="2157"/>
      <c r="R111" s="2144"/>
      <c r="S111" s="2144"/>
      <c r="T111" s="2144"/>
      <c r="U111" s="2144"/>
      <c r="V111" s="2144"/>
      <c r="W111" s="2144"/>
      <c r="X111" s="2144"/>
      <c r="Y111" s="2144"/>
      <c r="Z111" s="2144"/>
      <c r="AA111" s="2144"/>
      <c r="AB111" s="2144"/>
      <c r="AC111" s="2144"/>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5"/>
      <c r="O112" s="2165"/>
      <c r="P112" s="2213"/>
      <c r="Q112" s="2157"/>
      <c r="R112" s="2144"/>
      <c r="S112" s="2144"/>
      <c r="T112" s="2144"/>
      <c r="U112" s="2144"/>
      <c r="V112" s="2144"/>
      <c r="W112" s="2144"/>
      <c r="X112" s="2144"/>
      <c r="Y112" s="2144"/>
      <c r="Z112" s="2144"/>
      <c r="AA112" s="2144"/>
      <c r="AB112" s="2144"/>
      <c r="AC112" s="2144"/>
    </row>
    <row r="113" spans="1:29" s="1337" customFormat="1" ht="15" thickTop="1">
      <c r="A113" s="727"/>
      <c r="B113" s="672" t="s">
        <v>751</v>
      </c>
      <c r="C113" s="687"/>
      <c r="D113" s="687"/>
      <c r="E113" s="687"/>
      <c r="F113" s="687"/>
      <c r="G113" s="687"/>
      <c r="H113" s="717"/>
      <c r="I113" s="717"/>
      <c r="J113" s="717"/>
      <c r="K113" s="718"/>
      <c r="L113" s="719"/>
      <c r="M113" s="720"/>
      <c r="N113" s="2166"/>
      <c r="O113" s="2166"/>
      <c r="P113" s="2214"/>
      <c r="Q113" s="2168"/>
      <c r="R113" s="2169"/>
      <c r="S113" s="2169"/>
      <c r="T113" s="2169"/>
      <c r="U113" s="2169"/>
      <c r="V113" s="2169"/>
      <c r="W113" s="2169"/>
      <c r="X113" s="2169"/>
      <c r="Y113" s="2169"/>
      <c r="Z113" s="2169"/>
      <c r="AA113" s="2169"/>
      <c r="AB113" s="2169"/>
      <c r="AC113" s="2169"/>
    </row>
    <row r="114" spans="1:29" s="1337"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4"/>
      <c r="B115" s="672" t="s">
        <v>718</v>
      </c>
      <c r="C115" s="687"/>
      <c r="D115" s="687"/>
      <c r="E115" s="717"/>
      <c r="F115" s="717"/>
      <c r="G115" s="717"/>
      <c r="H115" s="717"/>
      <c r="I115" s="717"/>
      <c r="J115" s="717"/>
      <c r="K115" s="718"/>
      <c r="L115" s="719"/>
      <c r="M115" s="720"/>
      <c r="N115" s="2163"/>
      <c r="O115" s="2163"/>
      <c r="P115" s="2213"/>
      <c r="Q115" s="2157"/>
      <c r="R115" s="2144"/>
      <c r="S115" s="2144"/>
      <c r="T115" s="2144"/>
      <c r="U115" s="2144"/>
      <c r="V115" s="2144"/>
      <c r="W115" s="2144"/>
      <c r="X115" s="2144"/>
      <c r="Y115" s="2144"/>
      <c r="Z115" s="2144"/>
      <c r="AA115" s="2144"/>
      <c r="AB115" s="2144"/>
      <c r="AC115" s="2144"/>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4"/>
      <c r="B117" s="1895" t="s">
        <v>2518</v>
      </c>
      <c r="C117" s="687"/>
      <c r="D117" s="687"/>
      <c r="E117" s="687"/>
      <c r="F117" s="687"/>
      <c r="G117" s="687"/>
      <c r="H117" s="717"/>
      <c r="I117" s="717"/>
      <c r="J117" s="717"/>
      <c r="K117" s="718"/>
      <c r="L117" s="719"/>
      <c r="M117" s="720"/>
      <c r="N117" s="2163"/>
      <c r="O117" s="2163"/>
      <c r="P117" s="2213"/>
      <c r="Q117" s="2157"/>
      <c r="R117" s="2144"/>
      <c r="S117" s="2144"/>
      <c r="T117" s="2144"/>
      <c r="U117" s="2144"/>
      <c r="V117" s="2144"/>
      <c r="W117" s="2144"/>
      <c r="X117" s="2144"/>
      <c r="Y117" s="2144"/>
      <c r="Z117" s="2144"/>
      <c r="AA117" s="2144"/>
      <c r="AB117" s="2144"/>
      <c r="AC117" s="2144"/>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65"/>
      <c r="O118" s="2165"/>
      <c r="P118" s="2213"/>
      <c r="Q118" s="2157"/>
      <c r="R118" s="2144"/>
      <c r="S118" s="2144"/>
      <c r="T118" s="2144"/>
      <c r="U118" s="2144"/>
      <c r="V118" s="2144"/>
      <c r="W118" s="2144"/>
      <c r="X118" s="2144"/>
      <c r="Y118" s="2144"/>
      <c r="Z118" s="2144"/>
      <c r="AA118" s="2144"/>
      <c r="AB118" s="2144"/>
      <c r="AC118" s="2144"/>
    </row>
    <row r="119" spans="1:29" ht="15" thickTop="1">
      <c r="A119" s="734"/>
      <c r="B119" s="915" t="s">
        <v>752</v>
      </c>
      <c r="C119" s="717"/>
      <c r="D119" s="717"/>
      <c r="E119" s="717"/>
      <c r="F119" s="717"/>
      <c r="G119" s="717"/>
      <c r="H119" s="717"/>
      <c r="I119" s="717"/>
      <c r="J119" s="717"/>
      <c r="K119" s="717"/>
      <c r="L119" s="916"/>
      <c r="M119" s="917"/>
      <c r="N119" s="2165"/>
      <c r="O119" s="2165"/>
      <c r="P119" s="2218"/>
      <c r="Q119" s="2205"/>
      <c r="R119" s="2144"/>
      <c r="S119" s="2144"/>
      <c r="T119" s="2144"/>
      <c r="U119" s="2144"/>
      <c r="V119" s="2144"/>
      <c r="W119" s="2144"/>
      <c r="X119" s="2144"/>
      <c r="Y119" s="2144"/>
      <c r="Z119" s="2144"/>
      <c r="AA119" s="2144"/>
      <c r="AB119" s="2144"/>
      <c r="AC119" s="2144"/>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5"/>
      <c r="O120" s="2165"/>
      <c r="P120" s="2213"/>
      <c r="Q120" s="2157"/>
      <c r="R120" s="2144"/>
      <c r="S120" s="2144"/>
      <c r="T120" s="2144"/>
      <c r="U120" s="2144"/>
      <c r="V120" s="2144"/>
      <c r="W120" s="2144"/>
      <c r="X120" s="2144"/>
      <c r="Y120" s="2144"/>
      <c r="Z120" s="2144"/>
      <c r="AA120" s="2144"/>
      <c r="AB120" s="2144"/>
      <c r="AC120" s="2144"/>
    </row>
    <row r="121" spans="1:29" s="1337" customFormat="1" ht="15" thickTop="1">
      <c r="A121" s="727"/>
      <c r="B121" s="672" t="s">
        <v>740</v>
      </c>
      <c r="C121" s="687"/>
      <c r="D121" s="687"/>
      <c r="E121" s="687"/>
      <c r="F121" s="717"/>
      <c r="G121" s="688"/>
      <c r="H121" s="688"/>
      <c r="I121" s="688"/>
      <c r="J121" s="688"/>
      <c r="K121" s="688"/>
      <c r="L121" s="689"/>
      <c r="M121" s="690"/>
      <c r="N121" s="2166"/>
      <c r="O121" s="2166"/>
      <c r="P121" s="2214"/>
      <c r="Q121" s="2168"/>
      <c r="R121" s="2169"/>
      <c r="S121" s="2169"/>
      <c r="T121" s="2169"/>
      <c r="U121" s="2169"/>
      <c r="V121" s="2169"/>
      <c r="W121" s="2169"/>
      <c r="X121" s="2169"/>
      <c r="Y121" s="2169"/>
      <c r="Z121" s="2169"/>
      <c r="AA121" s="2169"/>
      <c r="AB121" s="2169"/>
      <c r="AC121" s="2169"/>
    </row>
    <row r="122" spans="1:29" s="1337" customFormat="1" ht="14.4" thickBot="1">
      <c r="A122" s="686"/>
      <c r="B122" s="669"/>
      <c r="C122" s="691"/>
      <c r="D122" s="691"/>
      <c r="E122" s="691"/>
      <c r="F122" s="691"/>
      <c r="G122" s="691"/>
      <c r="H122" s="691"/>
      <c r="I122" s="691"/>
      <c r="J122" s="691"/>
      <c r="K122" s="691"/>
      <c r="L122" s="691"/>
      <c r="M122" s="691"/>
      <c r="N122" s="2166"/>
      <c r="O122" s="2166"/>
      <c r="P122" s="2214"/>
      <c r="Q122" s="2168"/>
      <c r="R122" s="2169"/>
      <c r="S122" s="2169"/>
      <c r="T122" s="2169"/>
      <c r="U122" s="2169"/>
      <c r="V122" s="2169"/>
      <c r="W122" s="2169"/>
      <c r="X122" s="2169"/>
      <c r="Y122" s="2169"/>
      <c r="Z122" s="2169"/>
      <c r="AA122" s="2169"/>
      <c r="AB122" s="2169"/>
      <c r="AC122" s="2169"/>
    </row>
    <row r="123" spans="1:29" ht="15" thickTop="1">
      <c r="A123" s="734"/>
      <c r="B123" s="672" t="s">
        <v>720</v>
      </c>
      <c r="C123" s="687"/>
      <c r="D123" s="687"/>
      <c r="E123" s="687"/>
      <c r="F123" s="717"/>
      <c r="G123" s="717"/>
      <c r="H123" s="717"/>
      <c r="I123" s="717"/>
      <c r="J123" s="717"/>
      <c r="K123" s="718"/>
      <c r="L123" s="719"/>
      <c r="M123" s="720"/>
      <c r="N123" s="2163"/>
      <c r="O123" s="2163"/>
      <c r="P123" s="2213"/>
      <c r="Q123" s="2157"/>
      <c r="R123" s="2144"/>
      <c r="S123" s="2144"/>
      <c r="T123" s="2144"/>
      <c r="U123" s="2144"/>
      <c r="V123" s="2144"/>
      <c r="W123" s="2144"/>
      <c r="X123" s="2144"/>
      <c r="Y123" s="2144"/>
      <c r="Z123" s="2144"/>
      <c r="AA123" s="2144"/>
      <c r="AB123" s="2144"/>
      <c r="AC123" s="2144"/>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5"/>
      <c r="O124" s="2165"/>
      <c r="P124" s="2213"/>
      <c r="Q124" s="2157"/>
      <c r="R124" s="2144"/>
      <c r="S124" s="2144"/>
      <c r="T124" s="2144"/>
      <c r="U124" s="2144"/>
      <c r="V124" s="2144"/>
      <c r="W124" s="2144"/>
      <c r="X124" s="2144"/>
      <c r="Y124" s="2144"/>
      <c r="Z124" s="2144"/>
      <c r="AA124" s="2144"/>
      <c r="AB124" s="2144"/>
      <c r="AC124" s="2144"/>
    </row>
    <row r="125" spans="1:29" ht="29.4" thickTop="1">
      <c r="A125" s="734"/>
      <c r="B125" s="672" t="s">
        <v>721</v>
      </c>
      <c r="C125" s="707" t="s">
        <v>544</v>
      </c>
      <c r="D125" s="707" t="s">
        <v>545</v>
      </c>
      <c r="E125" s="707" t="s">
        <v>546</v>
      </c>
      <c r="F125" s="707" t="s">
        <v>547</v>
      </c>
      <c r="G125" s="707" t="s">
        <v>548</v>
      </c>
      <c r="H125" s="673"/>
      <c r="I125" s="673"/>
      <c r="J125" s="673"/>
      <c r="K125" s="674"/>
      <c r="L125" s="675"/>
      <c r="M125" s="676"/>
      <c r="N125" s="2163"/>
      <c r="O125" s="2163"/>
      <c r="P125" s="2214"/>
      <c r="Q125" s="2157"/>
      <c r="R125" s="2144"/>
      <c r="S125" s="2144"/>
      <c r="T125" s="2144"/>
      <c r="U125" s="2144"/>
      <c r="V125" s="2144"/>
      <c r="W125" s="2144"/>
      <c r="X125" s="2144"/>
      <c r="Y125" s="2144"/>
      <c r="Z125" s="2144"/>
      <c r="AA125" s="2144"/>
      <c r="AB125" s="2144"/>
      <c r="AC125" s="2144"/>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65"/>
      <c r="O126" s="2165"/>
      <c r="P126" s="2213"/>
      <c r="Q126" s="2157"/>
      <c r="R126" s="2144"/>
      <c r="S126" s="2144"/>
      <c r="T126" s="2144"/>
      <c r="U126" s="2144"/>
      <c r="V126" s="2144"/>
      <c r="W126" s="2144"/>
      <c r="X126" s="2144"/>
      <c r="Y126" s="2144"/>
      <c r="Z126" s="2144"/>
      <c r="AA126" s="2144"/>
      <c r="AB126" s="2144"/>
      <c r="AC126" s="2144"/>
    </row>
    <row r="127" spans="1:29" s="1337" customFormat="1" ht="14.4" thickTop="1">
      <c r="A127" s="727"/>
      <c r="B127" s="672">
        <f>B45</f>
        <v>111</v>
      </c>
      <c r="C127" s="687"/>
      <c r="D127" s="687"/>
      <c r="E127" s="687"/>
      <c r="F127" s="687"/>
      <c r="G127" s="687"/>
      <c r="H127" s="688"/>
      <c r="I127" s="688"/>
      <c r="J127" s="688"/>
      <c r="K127" s="688"/>
      <c r="L127" s="689"/>
      <c r="M127" s="690"/>
      <c r="N127" s="2166"/>
      <c r="O127" s="2166"/>
      <c r="P127" s="2214"/>
      <c r="Q127" s="2168"/>
      <c r="R127" s="2169"/>
      <c r="S127" s="2169"/>
      <c r="T127" s="2169"/>
      <c r="U127" s="2169"/>
      <c r="V127" s="2169"/>
      <c r="W127" s="2169"/>
      <c r="X127" s="2169"/>
      <c r="Y127" s="2169"/>
      <c r="Z127" s="2169"/>
      <c r="AA127" s="2169"/>
      <c r="AB127" s="2169"/>
      <c r="AC127" s="2169"/>
    </row>
    <row r="128" spans="1:29" s="1337" customFormat="1" ht="14.4" thickBot="1">
      <c r="A128" s="686"/>
      <c r="B128" s="677"/>
      <c r="C128" s="691"/>
      <c r="D128" s="670"/>
      <c r="E128" s="670"/>
      <c r="F128" s="670"/>
      <c r="G128" s="691"/>
      <c r="H128" s="692"/>
      <c r="I128" s="692"/>
      <c r="J128" s="692"/>
      <c r="K128" s="692"/>
      <c r="L128" s="692"/>
      <c r="M128" s="693"/>
      <c r="N128" s="2166"/>
      <c r="O128" s="2166"/>
      <c r="P128" s="2214"/>
      <c r="Q128" s="2168"/>
      <c r="R128" s="2169"/>
      <c r="S128" s="2169"/>
      <c r="T128" s="2169"/>
      <c r="U128" s="2169"/>
      <c r="V128" s="2169"/>
      <c r="W128" s="2169"/>
      <c r="X128" s="2169"/>
      <c r="Y128" s="2169"/>
      <c r="Z128" s="2169"/>
      <c r="AA128" s="2169"/>
      <c r="AB128" s="2169"/>
      <c r="AC128" s="2169"/>
    </row>
    <row r="129" spans="1:29" ht="14.4" thickTop="1">
      <c r="A129" s="734"/>
      <c r="B129" s="672">
        <f>B46</f>
        <v>111</v>
      </c>
      <c r="C129" s="687"/>
      <c r="D129" s="687"/>
      <c r="E129" s="687"/>
      <c r="F129" s="687"/>
      <c r="G129" s="717"/>
      <c r="H129" s="717"/>
      <c r="I129" s="717"/>
      <c r="J129" s="717"/>
      <c r="K129" s="718"/>
      <c r="L129" s="719"/>
      <c r="M129" s="720"/>
      <c r="N129" s="2163"/>
      <c r="O129" s="2163"/>
      <c r="P129" s="2213"/>
      <c r="Q129" s="2157"/>
      <c r="R129" s="2144"/>
      <c r="S129" s="2144"/>
      <c r="T129" s="2144"/>
      <c r="U129" s="2144"/>
      <c r="V129" s="2144"/>
      <c r="W129" s="2144"/>
      <c r="X129" s="2144"/>
      <c r="Y129" s="2144"/>
      <c r="Z129" s="2144"/>
      <c r="AA129" s="2144"/>
      <c r="AB129" s="2144"/>
      <c r="AC129" s="2144"/>
    </row>
    <row r="130" spans="1:29" ht="14.4" thickBot="1">
      <c r="A130" s="668"/>
      <c r="B130" s="677"/>
      <c r="C130" s="691"/>
      <c r="D130" s="691"/>
      <c r="E130" s="691"/>
      <c r="F130" s="691"/>
      <c r="G130" s="670"/>
      <c r="H130" s="670"/>
      <c r="I130" s="670"/>
      <c r="J130" s="670"/>
      <c r="K130" s="670"/>
      <c r="L130" s="670"/>
      <c r="M130" s="671"/>
      <c r="N130" s="2165"/>
      <c r="O130" s="2165"/>
      <c r="P130" s="2213"/>
      <c r="Q130" s="2157"/>
      <c r="R130" s="2144"/>
      <c r="S130" s="2144"/>
      <c r="T130" s="2144"/>
      <c r="U130" s="2144"/>
      <c r="V130" s="2144"/>
      <c r="W130" s="2144"/>
      <c r="X130" s="2144"/>
      <c r="Y130" s="2144"/>
      <c r="Z130" s="2144"/>
      <c r="AA130" s="2144"/>
      <c r="AB130" s="2144"/>
      <c r="AC130" s="2144"/>
    </row>
    <row r="131" spans="1:29" ht="14.4" thickTop="1">
      <c r="A131" s="734"/>
      <c r="B131" s="680">
        <f>B47</f>
        <v>111</v>
      </c>
      <c r="C131" s="660"/>
      <c r="D131" s="660"/>
      <c r="E131" s="660"/>
      <c r="F131" s="660"/>
      <c r="G131" s="721"/>
      <c r="H131" s="721"/>
      <c r="I131" s="721"/>
      <c r="J131" s="721"/>
      <c r="K131" s="660"/>
      <c r="L131" s="661"/>
      <c r="M131" s="724"/>
      <c r="N131" s="2163"/>
      <c r="O131" s="2163"/>
      <c r="P131" s="2213"/>
      <c r="Q131" s="2157"/>
      <c r="R131" s="2144"/>
      <c r="S131" s="2144"/>
      <c r="T131" s="2144"/>
      <c r="U131" s="2144"/>
      <c r="V131" s="2144"/>
      <c r="W131" s="2144"/>
      <c r="X131" s="2144"/>
      <c r="Y131" s="2144"/>
      <c r="Z131" s="2144"/>
      <c r="AA131" s="2144"/>
      <c r="AB131" s="2144"/>
      <c r="AC131" s="2144"/>
    </row>
    <row r="132" spans="1:29" ht="14.4" thickBot="1">
      <c r="A132" s="891"/>
      <c r="B132" s="698"/>
      <c r="C132" s="699"/>
      <c r="D132" s="699"/>
      <c r="E132" s="699"/>
      <c r="F132" s="699"/>
      <c r="G132" s="725"/>
      <c r="H132" s="725"/>
      <c r="I132" s="725"/>
      <c r="J132" s="725"/>
      <c r="K132" s="725"/>
      <c r="L132" s="725"/>
      <c r="M132" s="726"/>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683</v>
      </c>
      <c r="B1" s="502" t="s">
        <v>753</v>
      </c>
      <c r="C1" s="503" t="s">
        <v>685</v>
      </c>
      <c r="D1" s="848"/>
      <c r="E1" s="505"/>
      <c r="F1" s="2806"/>
      <c r="G1" s="1599" t="s">
        <v>686</v>
      </c>
      <c r="H1" s="505"/>
      <c r="I1" s="505"/>
      <c r="J1" s="505"/>
      <c r="K1" s="506"/>
      <c r="L1" s="1560"/>
      <c r="M1" s="1561"/>
      <c r="N1" s="1561"/>
      <c r="O1" s="1561"/>
      <c r="P1" s="1562"/>
      <c r="Q1" s="1562"/>
      <c r="R1" s="1562"/>
      <c r="S1" s="1562"/>
      <c r="T1" s="1562"/>
      <c r="U1" s="1562"/>
      <c r="V1" s="1562"/>
      <c r="W1" s="1562"/>
      <c r="X1" s="1562"/>
      <c r="Y1" s="1562"/>
      <c r="Z1" s="1562"/>
      <c r="AA1" s="1562"/>
      <c r="AB1" s="1562"/>
      <c r="AC1" s="427"/>
    </row>
    <row r="2" spans="1:29" s="1334" customFormat="1" ht="28.5" customHeight="1">
      <c r="A2" s="422" t="s">
        <v>432</v>
      </c>
      <c r="B2" s="849" t="e">
        <f>ROUND(B3*D3/10000,0)</f>
        <v>#DIV/0!</v>
      </c>
      <c r="C2" s="2126"/>
      <c r="D2" s="2126"/>
      <c r="E2" s="2127"/>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427"/>
    </row>
    <row r="3" spans="1:29" s="1334" customFormat="1" ht="28.5" customHeight="1" thickBot="1">
      <c r="A3" s="508" t="s">
        <v>484</v>
      </c>
      <c r="B3" s="509" t="e">
        <f>C43</f>
        <v>#DIV/0!</v>
      </c>
      <c r="C3" s="851" t="s">
        <v>687</v>
      </c>
      <c r="D3" s="850">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7"/>
    </row>
    <row r="4" spans="1:29" ht="14.4">
      <c r="A4" s="511" t="s">
        <v>486</v>
      </c>
      <c r="B4" s="512"/>
      <c r="C4" s="3368" t="s">
        <v>487</v>
      </c>
      <c r="D4" s="3369"/>
      <c r="E4" s="3404" t="s">
        <v>488</v>
      </c>
      <c r="F4" s="3405"/>
      <c r="G4" s="3368" t="s">
        <v>489</v>
      </c>
      <c r="H4" s="3369"/>
      <c r="I4" s="3368" t="s">
        <v>490</v>
      </c>
      <c r="J4" s="3369"/>
      <c r="K4" s="513" t="s">
        <v>491</v>
      </c>
      <c r="L4" s="2132"/>
      <c r="M4" s="2133"/>
      <c r="N4" s="2133"/>
      <c r="O4" s="2133"/>
      <c r="P4" s="3370" t="s">
        <v>492</v>
      </c>
      <c r="Q4" s="3371"/>
      <c r="R4" s="3376" t="s">
        <v>488</v>
      </c>
      <c r="S4" s="3377"/>
      <c r="T4" s="3376" t="s">
        <v>489</v>
      </c>
      <c r="U4" s="3377"/>
      <c r="V4" s="3363" t="s">
        <v>490</v>
      </c>
      <c r="W4" s="3363"/>
      <c r="X4" s="1565"/>
      <c r="Y4" s="3376" t="s">
        <v>492</v>
      </c>
      <c r="Z4" s="3377"/>
      <c r="AA4" s="3365" t="s">
        <v>488</v>
      </c>
      <c r="AB4" s="3366" t="s">
        <v>489</v>
      </c>
      <c r="AC4" s="3365" t="s">
        <v>490</v>
      </c>
    </row>
    <row r="5" spans="1:29">
      <c r="A5" s="514"/>
      <c r="B5" s="515"/>
      <c r="C5" s="3400" t="s">
        <v>2889</v>
      </c>
      <c r="D5" s="3385"/>
      <c r="E5" s="3406" t="s">
        <v>2890</v>
      </c>
      <c r="F5" s="3407"/>
      <c r="G5" s="3400" t="s">
        <v>2891</v>
      </c>
      <c r="H5" s="3385"/>
      <c r="I5" s="3400" t="s">
        <v>2892</v>
      </c>
      <c r="J5" s="3385"/>
      <c r="K5" s="513"/>
      <c r="L5" s="2132"/>
      <c r="M5" s="2133"/>
      <c r="N5" s="2133"/>
      <c r="O5" s="2133"/>
      <c r="P5" s="3372"/>
      <c r="Q5" s="3373"/>
      <c r="R5" s="3378"/>
      <c r="S5" s="3379"/>
      <c r="T5" s="3378"/>
      <c r="U5" s="3379"/>
      <c r="V5" s="3363"/>
      <c r="W5" s="3363"/>
      <c r="X5" s="1565"/>
      <c r="Y5" s="3378"/>
      <c r="Z5" s="3379"/>
      <c r="AA5" s="3366"/>
      <c r="AB5" s="3366"/>
      <c r="AC5" s="3366"/>
    </row>
    <row r="6" spans="1:29" ht="15" thickBot="1">
      <c r="A6" s="516"/>
      <c r="B6" s="517"/>
      <c r="C6" s="3401" t="s">
        <v>2893</v>
      </c>
      <c r="D6" s="3383"/>
      <c r="E6" s="3402" t="s">
        <v>2893</v>
      </c>
      <c r="F6" s="3403"/>
      <c r="G6" s="3401" t="s">
        <v>2893</v>
      </c>
      <c r="H6" s="3383"/>
      <c r="I6" s="3401" t="s">
        <v>2893</v>
      </c>
      <c r="J6" s="3383"/>
      <c r="K6" s="513" t="s">
        <v>493</v>
      </c>
      <c r="L6" s="2132"/>
      <c r="M6" s="2133"/>
      <c r="N6" s="2133"/>
      <c r="O6" s="2133"/>
      <c r="P6" s="3374"/>
      <c r="Q6" s="3375"/>
      <c r="R6" s="3378"/>
      <c r="S6" s="3379"/>
      <c r="T6" s="3380"/>
      <c r="U6" s="3381"/>
      <c r="V6" s="3363"/>
      <c r="W6" s="3363"/>
      <c r="X6" s="1565"/>
      <c r="Y6" s="3380"/>
      <c r="Z6" s="3381"/>
      <c r="AA6" s="3367"/>
      <c r="AB6" s="3367"/>
      <c r="AC6" s="3367"/>
    </row>
    <row r="7" spans="1:29" s="1218" customFormat="1" ht="15" thickBot="1">
      <c r="A7" s="2911"/>
      <c r="B7" s="2918" t="s">
        <v>494</v>
      </c>
      <c r="C7" s="518">
        <f>'数据-取费表'!B2</f>
        <v>43458</v>
      </c>
      <c r="D7" s="519">
        <v>100</v>
      </c>
      <c r="E7" s="520"/>
      <c r="F7" s="521">
        <f>SUMIF(52:52,YEAR(E7)&amp;"-"&amp;MONTH(E7),53:53)</f>
        <v>0</v>
      </c>
      <c r="G7" s="520"/>
      <c r="H7" s="519">
        <f>SUMIF(52:52,YEAR(G7)&amp;"-"&amp;MONTH(G7),53:53)</f>
        <v>0</v>
      </c>
      <c r="I7" s="520"/>
      <c r="J7" s="519">
        <f>SUMIF(52:52,YEAR(I7)&amp;"-"&amp;MONTH(I7),53:53)</f>
        <v>0</v>
      </c>
      <c r="K7" s="523"/>
      <c r="L7" s="2134"/>
      <c r="M7" s="2135"/>
      <c r="N7" s="2135"/>
      <c r="O7" s="2135"/>
      <c r="P7" s="3393" t="s">
        <v>495</v>
      </c>
      <c r="Q7" s="3395"/>
      <c r="R7" s="1566" t="s">
        <v>8</v>
      </c>
      <c r="S7" s="1567">
        <f t="shared" ref="S7:S15" si="0">F7</f>
        <v>0</v>
      </c>
      <c r="T7" s="1566" t="s">
        <v>8</v>
      </c>
      <c r="U7" s="1567">
        <f t="shared" ref="U7:U15" si="1">H7</f>
        <v>0</v>
      </c>
      <c r="V7" s="1566" t="s">
        <v>8</v>
      </c>
      <c r="W7" s="1567">
        <f t="shared" ref="W7:W15" si="2">J7</f>
        <v>0</v>
      </c>
      <c r="X7" s="1568"/>
      <c r="Y7" s="3393" t="s">
        <v>495</v>
      </c>
      <c r="Z7" s="3394"/>
      <c r="AA7" s="1569" t="e">
        <f>D7/F7</f>
        <v>#DIV/0!</v>
      </c>
      <c r="AB7" s="1569" t="e">
        <f>D7/H7</f>
        <v>#DIV/0!</v>
      </c>
      <c r="AC7" s="1569" t="e">
        <f>D7/J7</f>
        <v>#DIV/0!</v>
      </c>
    </row>
    <row r="8" spans="1:29" s="1218" customFormat="1" ht="15" thickBot="1">
      <c r="A8" s="2912"/>
      <c r="B8" s="2919" t="s">
        <v>496</v>
      </c>
      <c r="C8" s="524" t="s">
        <v>541</v>
      </c>
      <c r="D8" s="519">
        <v>100</v>
      </c>
      <c r="E8" s="524"/>
      <c r="F8" s="521">
        <f>SUMIF(55:55,E8,56:56)-SUMIF(55:55,C8,56:56)+100</f>
        <v>0</v>
      </c>
      <c r="G8" s="524"/>
      <c r="H8" s="519">
        <f>SUMIF(55:55,G8,56:56)-SUMIF(55:55,C8,56:56)+100</f>
        <v>0</v>
      </c>
      <c r="I8" s="524"/>
      <c r="J8" s="519">
        <f>SUMIF(55:55,I8,56:56)-SUMIF(55:55,C8,56:56)+100</f>
        <v>0</v>
      </c>
      <c r="K8" s="523"/>
      <c r="L8" s="2134"/>
      <c r="M8" s="2135"/>
      <c r="N8" s="2135"/>
      <c r="O8" s="2135"/>
      <c r="P8" s="3393" t="s">
        <v>498</v>
      </c>
      <c r="Q8" s="3394"/>
      <c r="R8" s="1566" t="s">
        <v>8</v>
      </c>
      <c r="S8" s="1567">
        <f t="shared" si="0"/>
        <v>0</v>
      </c>
      <c r="T8" s="1566" t="s">
        <v>8</v>
      </c>
      <c r="U8" s="1567">
        <f t="shared" si="1"/>
        <v>0</v>
      </c>
      <c r="V8" s="1566" t="s">
        <v>8</v>
      </c>
      <c r="W8" s="1567">
        <f t="shared" si="2"/>
        <v>0</v>
      </c>
      <c r="X8" s="1568"/>
      <c r="Y8" s="3393" t="s">
        <v>498</v>
      </c>
      <c r="Z8" s="3394"/>
      <c r="AA8" s="1569" t="e">
        <f t="shared" ref="AA8:AA40" si="3">D8/F8</f>
        <v>#DIV/0!</v>
      </c>
      <c r="AB8" s="1569" t="e">
        <f t="shared" ref="AB8:AB40" si="4">D8/H8</f>
        <v>#DIV/0!</v>
      </c>
      <c r="AC8" s="1569" t="e">
        <f t="shared" ref="AC8:AC40" si="5">D8/J8</f>
        <v>#DIV/0!</v>
      </c>
    </row>
    <row r="9" spans="1:29" s="1218" customFormat="1" ht="14.4">
      <c r="A9" s="2913"/>
      <c r="B9" s="2920" t="s">
        <v>2718</v>
      </c>
      <c r="C9" s="856"/>
      <c r="D9" s="253">
        <v>100</v>
      </c>
      <c r="E9" s="859"/>
      <c r="F9" s="253">
        <f>SUMIF(57:57,E9,58:58)-SUMIF(57:57,C9,58:58)+100</f>
        <v>100</v>
      </c>
      <c r="G9" s="857"/>
      <c r="H9" s="253">
        <f>SUMIF(57:57,G9,58:58)-SUMIF(57:57,C9,58:58)+100</f>
        <v>100</v>
      </c>
      <c r="I9" s="857"/>
      <c r="J9" s="253">
        <f>SUMIF(57:57,I9,58:58)-SUMIF(57:57,C9,58:58)+100</f>
        <v>100</v>
      </c>
      <c r="K9" s="523"/>
      <c r="L9" s="2134"/>
      <c r="M9" s="2135"/>
      <c r="N9" s="2135"/>
      <c r="O9" s="2136"/>
      <c r="P9" s="3362" t="s">
        <v>500</v>
      </c>
      <c r="Q9" s="1149" t="str">
        <f t="shared" ref="Q9:Q15" si="6">B9</f>
        <v>用途</v>
      </c>
      <c r="R9" s="1566" t="s">
        <v>8</v>
      </c>
      <c r="S9" s="1567">
        <f t="shared" si="0"/>
        <v>100</v>
      </c>
      <c r="T9" s="1566" t="s">
        <v>8</v>
      </c>
      <c r="U9" s="1567">
        <f t="shared" si="1"/>
        <v>100</v>
      </c>
      <c r="V9" s="1566" t="s">
        <v>8</v>
      </c>
      <c r="W9" s="1567">
        <f t="shared" si="2"/>
        <v>100</v>
      </c>
      <c r="X9" s="1568"/>
      <c r="Y9" s="3308" t="s">
        <v>501</v>
      </c>
      <c r="Z9" s="1148" t="str">
        <f t="shared" ref="Z9:Z15" si="7">Q9</f>
        <v>用途</v>
      </c>
      <c r="AA9" s="1569">
        <f t="shared" si="3"/>
        <v>1</v>
      </c>
      <c r="AB9" s="1569">
        <f t="shared" si="4"/>
        <v>1</v>
      </c>
      <c r="AC9" s="1569">
        <f t="shared" si="5"/>
        <v>1</v>
      </c>
    </row>
    <row r="10" spans="1:29" s="1336" customFormat="1" ht="28.8">
      <c r="A10" s="2914"/>
      <c r="B10" s="2919" t="s">
        <v>2719</v>
      </c>
      <c r="C10" s="860"/>
      <c r="D10" s="254">
        <v>100</v>
      </c>
      <c r="E10" s="860"/>
      <c r="F10" s="254">
        <f>SUMIF(59:59,E10,60:60)-SUMIF(59:59,C10,60:60)+100</f>
        <v>100</v>
      </c>
      <c r="G10" s="861"/>
      <c r="H10" s="254">
        <f>SUMIF(59:59,G10,60:60)-SUMIF(59:59,C10,60:60)+100</f>
        <v>100</v>
      </c>
      <c r="I10" s="860"/>
      <c r="J10" s="254">
        <f>SUMIF(59:59,I10,60:60)-SUMIF(59:59,C10,60:60)+100</f>
        <v>100</v>
      </c>
      <c r="K10" s="583"/>
      <c r="L10" s="2137"/>
      <c r="M10" s="2177"/>
      <c r="N10" s="2177"/>
      <c r="O10" s="2138"/>
      <c r="P10" s="3362"/>
      <c r="Q10" s="1149" t="str">
        <f t="shared" si="6"/>
        <v>土地使用年限（年）</v>
      </c>
      <c r="R10" s="1566" t="s">
        <v>8</v>
      </c>
      <c r="S10" s="1567">
        <f t="shared" si="0"/>
        <v>100</v>
      </c>
      <c r="T10" s="1566" t="s">
        <v>8</v>
      </c>
      <c r="U10" s="1567">
        <f t="shared" si="1"/>
        <v>100</v>
      </c>
      <c r="V10" s="1566" t="s">
        <v>8</v>
      </c>
      <c r="W10" s="1567">
        <f t="shared" si="2"/>
        <v>100</v>
      </c>
      <c r="X10" s="1568"/>
      <c r="Y10" s="3308"/>
      <c r="Z10" s="1148" t="str">
        <f t="shared" si="7"/>
        <v>土地使用年限（年）</v>
      </c>
      <c r="AA10" s="1569">
        <f t="shared" si="3"/>
        <v>1</v>
      </c>
      <c r="AB10" s="1569">
        <f t="shared" si="4"/>
        <v>1</v>
      </c>
      <c r="AC10" s="1569">
        <f t="shared" si="5"/>
        <v>1</v>
      </c>
    </row>
    <row r="11" spans="1:29" ht="15">
      <c r="A11" s="2915"/>
      <c r="B11" s="2919" t="s">
        <v>2720</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9"/>
      <c r="M11" s="2133"/>
      <c r="N11" s="2133"/>
      <c r="O11" s="2140"/>
      <c r="P11" s="3362"/>
      <c r="Q11" s="1149" t="str">
        <f t="shared" si="6"/>
        <v>容积率</v>
      </c>
      <c r="R11" s="1566" t="s">
        <v>8</v>
      </c>
      <c r="S11" s="1567" t="e">
        <f t="shared" si="0"/>
        <v>#N/A</v>
      </c>
      <c r="T11" s="1566" t="s">
        <v>8</v>
      </c>
      <c r="U11" s="1567" t="e">
        <f t="shared" si="1"/>
        <v>#N/A</v>
      </c>
      <c r="V11" s="1566" t="s">
        <v>8</v>
      </c>
      <c r="W11" s="1567" t="e">
        <f t="shared" si="2"/>
        <v>#N/A</v>
      </c>
      <c r="X11" s="1568"/>
      <c r="Y11" s="3308"/>
      <c r="Z11" s="1148" t="str">
        <f t="shared" si="7"/>
        <v>容积率</v>
      </c>
      <c r="AA11" s="1569" t="e">
        <f t="shared" si="3"/>
        <v>#N/A</v>
      </c>
      <c r="AB11" s="1569" t="e">
        <f t="shared" si="4"/>
        <v>#N/A</v>
      </c>
      <c r="AC11" s="1569" t="e">
        <f t="shared" si="5"/>
        <v>#N/A</v>
      </c>
    </row>
    <row r="12" spans="1:29" s="1218" customFormat="1" ht="15">
      <c r="A12" s="2916"/>
      <c r="B12" s="2922">
        <v>111</v>
      </c>
      <c r="C12" s="527"/>
      <c r="D12" s="537">
        <v>100</v>
      </c>
      <c r="E12" s="538"/>
      <c r="F12" s="254">
        <f>SUMIF(64:64,E12,65:65)-SUMIF(64:64,C12,65:65)+100</f>
        <v>100</v>
      </c>
      <c r="G12" s="918"/>
      <c r="H12" s="254">
        <f>SUMIF(64:64,G12,65:65)-SUMIF(64:64,C12,65:65)+100</f>
        <v>100</v>
      </c>
      <c r="I12" s="878"/>
      <c r="J12" s="254">
        <f>SUMIF(64:64,I12,65:65)-SUMIF(64:64,C12,65:65)+100</f>
        <v>100</v>
      </c>
      <c r="K12" s="580"/>
      <c r="L12" s="2134"/>
      <c r="M12" s="2135"/>
      <c r="N12" s="2135"/>
      <c r="O12" s="2136"/>
      <c r="P12" s="3362"/>
      <c r="Q12" s="1149">
        <f t="shared" si="6"/>
        <v>111</v>
      </c>
      <c r="R12" s="1566" t="s">
        <v>8</v>
      </c>
      <c r="S12" s="1567">
        <f t="shared" si="0"/>
        <v>100</v>
      </c>
      <c r="T12" s="1566" t="s">
        <v>8</v>
      </c>
      <c r="U12" s="1567">
        <f t="shared" si="1"/>
        <v>100</v>
      </c>
      <c r="V12" s="1566" t="s">
        <v>8</v>
      </c>
      <c r="W12" s="1567">
        <f t="shared" si="2"/>
        <v>100</v>
      </c>
      <c r="X12" s="1568"/>
      <c r="Y12" s="3308"/>
      <c r="Z12" s="1148">
        <f t="shared" si="7"/>
        <v>111</v>
      </c>
      <c r="AA12" s="1569">
        <f>D12/F12</f>
        <v>1</v>
      </c>
      <c r="AB12" s="1569">
        <f>D12/H12</f>
        <v>1</v>
      </c>
      <c r="AC12" s="1569">
        <f>D12/J12</f>
        <v>1</v>
      </c>
    </row>
    <row r="13" spans="1:29" ht="15">
      <c r="A13" s="2916"/>
      <c r="B13" s="2922">
        <v>111</v>
      </c>
      <c r="C13" s="538"/>
      <c r="D13" s="539">
        <v>100</v>
      </c>
      <c r="E13" s="538"/>
      <c r="F13" s="254">
        <f>SUMIF(66:66,E13,67:67)-SUMIF(66:66,C13,67:67)+100</f>
        <v>100</v>
      </c>
      <c r="G13" s="918"/>
      <c r="H13" s="539">
        <f>SUMIF(66:66,G13,67:67)-SUMIF(66:66,C13,67:67)+100</f>
        <v>100</v>
      </c>
      <c r="I13" s="878"/>
      <c r="J13" s="539">
        <f>SUMIF(66:66,I13,67:67)-SUMIF(66:66,C13,67:67)+100</f>
        <v>100</v>
      </c>
      <c r="K13" s="580"/>
      <c r="L13" s="2141"/>
      <c r="M13" s="2133"/>
      <c r="N13" s="2133"/>
      <c r="O13" s="2140"/>
      <c r="P13" s="3362"/>
      <c r="Q13" s="1149">
        <f t="shared" si="6"/>
        <v>111</v>
      </c>
      <c r="R13" s="1566" t="s">
        <v>8</v>
      </c>
      <c r="S13" s="1567">
        <f t="shared" si="0"/>
        <v>100</v>
      </c>
      <c r="T13" s="1566" t="s">
        <v>8</v>
      </c>
      <c r="U13" s="1567">
        <f t="shared" si="1"/>
        <v>100</v>
      </c>
      <c r="V13" s="1566" t="s">
        <v>8</v>
      </c>
      <c r="W13" s="1567">
        <f t="shared" si="2"/>
        <v>100</v>
      </c>
      <c r="X13" s="1568"/>
      <c r="Y13" s="3308"/>
      <c r="Z13" s="1148">
        <f t="shared" si="7"/>
        <v>111</v>
      </c>
      <c r="AA13" s="1569">
        <f t="shared" si="3"/>
        <v>1</v>
      </c>
      <c r="AB13" s="1569">
        <f t="shared" si="4"/>
        <v>1</v>
      </c>
      <c r="AC13" s="1569">
        <f t="shared" si="5"/>
        <v>1</v>
      </c>
    </row>
    <row r="14" spans="1:29" ht="15.6" thickBot="1">
      <c r="A14" s="2917"/>
      <c r="B14" s="2923">
        <v>111</v>
      </c>
      <c r="C14" s="544"/>
      <c r="D14" s="545">
        <v>100</v>
      </c>
      <c r="E14" s="544"/>
      <c r="F14" s="545">
        <f>SUMIF(68:68,E14,69:69)-SUMIF(68:68,C14,69:69)+100</f>
        <v>100</v>
      </c>
      <c r="G14" s="918"/>
      <c r="H14" s="545">
        <f>SUMIF(68:68,G14,69:69)-SUMIF(68:68,C14,69:69)+100</f>
        <v>100</v>
      </c>
      <c r="I14" s="878"/>
      <c r="J14" s="545">
        <f>SUMIF(68:68,I14,69:69)-SUMIF(68:68,C14,69:69)+100</f>
        <v>100</v>
      </c>
      <c r="K14" s="580"/>
      <c r="L14" s="2141"/>
      <c r="M14" s="2133"/>
      <c r="N14" s="2133"/>
      <c r="O14" s="2140"/>
      <c r="P14" s="3362"/>
      <c r="Q14" s="1149">
        <f t="shared" si="6"/>
        <v>111</v>
      </c>
      <c r="R14" s="1566" t="s">
        <v>8</v>
      </c>
      <c r="S14" s="1567">
        <f t="shared" si="0"/>
        <v>100</v>
      </c>
      <c r="T14" s="1566" t="s">
        <v>8</v>
      </c>
      <c r="U14" s="1567">
        <f t="shared" si="1"/>
        <v>100</v>
      </c>
      <c r="V14" s="1566" t="s">
        <v>8</v>
      </c>
      <c r="W14" s="1567">
        <f t="shared" si="2"/>
        <v>100</v>
      </c>
      <c r="X14" s="1568"/>
      <c r="Y14" s="3308"/>
      <c r="Z14" s="1148">
        <f t="shared" si="7"/>
        <v>111</v>
      </c>
      <c r="AA14" s="1569">
        <f t="shared" si="3"/>
        <v>1</v>
      </c>
      <c r="AB14" s="1569">
        <f t="shared" si="4"/>
        <v>1</v>
      </c>
      <c r="AC14" s="1569">
        <f t="shared" si="5"/>
        <v>1</v>
      </c>
    </row>
    <row r="15" spans="1:29" ht="69">
      <c r="A15" s="2909" t="s">
        <v>2716</v>
      </c>
      <c r="B15" s="165" t="s">
        <v>754</v>
      </c>
      <c r="C15" s="919"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6"/>
      <c r="L15" s="2141"/>
      <c r="M15" s="2133"/>
      <c r="N15" s="2133"/>
      <c r="O15" s="2140"/>
      <c r="P15" s="3396" t="s">
        <v>505</v>
      </c>
      <c r="Q15" s="1570" t="str">
        <f t="shared" si="6"/>
        <v>产业集聚程度</v>
      </c>
      <c r="R15" s="1571" t="s">
        <v>8</v>
      </c>
      <c r="S15" s="1572">
        <f t="shared" si="0"/>
        <v>100</v>
      </c>
      <c r="T15" s="1571" t="s">
        <v>8</v>
      </c>
      <c r="U15" s="1572">
        <f t="shared" si="1"/>
        <v>100</v>
      </c>
      <c r="V15" s="1571" t="s">
        <v>8</v>
      </c>
      <c r="W15" s="1572">
        <f t="shared" si="2"/>
        <v>100</v>
      </c>
      <c r="X15" s="1565"/>
      <c r="Y15" s="3396" t="s">
        <v>505</v>
      </c>
      <c r="Z15" s="1573" t="str">
        <f t="shared" si="7"/>
        <v>产业集聚程度</v>
      </c>
      <c r="AA15" s="1574">
        <f t="shared" si="3"/>
        <v>1</v>
      </c>
      <c r="AB15" s="1574">
        <f t="shared" si="4"/>
        <v>1</v>
      </c>
      <c r="AC15" s="1574">
        <f t="shared" si="5"/>
        <v>1</v>
      </c>
    </row>
    <row r="16" spans="1:29" ht="15">
      <c r="A16" s="531"/>
      <c r="B16" s="868"/>
      <c r="C16" s="575"/>
      <c r="D16" s="554"/>
      <c r="E16" s="575"/>
      <c r="F16" s="556"/>
      <c r="G16" s="575"/>
      <c r="H16" s="558"/>
      <c r="I16" s="575"/>
      <c r="J16" s="554"/>
      <c r="K16" s="897"/>
      <c r="L16" s="2141"/>
      <c r="M16" s="2133"/>
      <c r="N16" s="2133"/>
      <c r="O16" s="2140"/>
      <c r="P16" s="3397"/>
      <c r="Q16" s="1570"/>
      <c r="R16" s="1571"/>
      <c r="S16" s="1572"/>
      <c r="T16" s="1571"/>
      <c r="U16" s="1572"/>
      <c r="V16" s="1571"/>
      <c r="W16" s="1572"/>
      <c r="X16" s="1565"/>
      <c r="Y16" s="3397"/>
      <c r="Z16" s="1573"/>
      <c r="AA16" s="1574">
        <v>1</v>
      </c>
      <c r="AB16" s="1574">
        <v>1</v>
      </c>
      <c r="AC16" s="1574">
        <v>1</v>
      </c>
    </row>
    <row r="17" spans="1:29" ht="96.6">
      <c r="A17" s="531"/>
      <c r="B17" s="870" t="s">
        <v>261</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6"/>
      <c r="L17" s="2141"/>
      <c r="M17" s="2133"/>
      <c r="N17" s="2133"/>
      <c r="O17" s="2140"/>
      <c r="P17" s="3397"/>
      <c r="Q17" s="1570" t="str">
        <f>B17</f>
        <v>交通便捷度</v>
      </c>
      <c r="R17" s="1571" t="s">
        <v>8</v>
      </c>
      <c r="S17" s="1572">
        <f>F17</f>
        <v>100</v>
      </c>
      <c r="T17" s="1571" t="s">
        <v>8</v>
      </c>
      <c r="U17" s="1572">
        <f>H17</f>
        <v>100</v>
      </c>
      <c r="V17" s="1571" t="s">
        <v>8</v>
      </c>
      <c r="W17" s="1572">
        <f>J17</f>
        <v>100</v>
      </c>
      <c r="X17" s="1565"/>
      <c r="Y17" s="3397"/>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7"/>
      <c r="L18" s="2141"/>
      <c r="M18" s="2133"/>
      <c r="N18" s="2133"/>
      <c r="O18" s="2140"/>
      <c r="P18" s="3397"/>
      <c r="Q18" s="1570"/>
      <c r="R18" s="1571"/>
      <c r="S18" s="1572"/>
      <c r="T18" s="1571"/>
      <c r="U18" s="1572"/>
      <c r="V18" s="1571"/>
      <c r="W18" s="1572"/>
      <c r="X18" s="1565"/>
      <c r="Y18" s="3397"/>
      <c r="Z18" s="1573"/>
      <c r="AA18" s="1574">
        <v>1</v>
      </c>
      <c r="AB18" s="1574">
        <v>1</v>
      </c>
      <c r="AC18" s="1574">
        <v>1</v>
      </c>
    </row>
    <row r="19" spans="1:29" ht="41.4">
      <c r="A19" s="531"/>
      <c r="B19" s="2602" t="s">
        <v>2508</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6"/>
      <c r="L19" s="2141"/>
      <c r="M19" s="2133"/>
      <c r="N19" s="2133"/>
      <c r="O19" s="2140"/>
      <c r="P19" s="3397"/>
      <c r="Q19" s="1570" t="str">
        <f>B19</f>
        <v>公共配套设施</v>
      </c>
      <c r="R19" s="1571" t="s">
        <v>8</v>
      </c>
      <c r="S19" s="1572">
        <f>F19</f>
        <v>100</v>
      </c>
      <c r="T19" s="1571" t="s">
        <v>8</v>
      </c>
      <c r="U19" s="1572">
        <f>H19</f>
        <v>100</v>
      </c>
      <c r="V19" s="1571" t="s">
        <v>8</v>
      </c>
      <c r="W19" s="1572">
        <f>J19</f>
        <v>100</v>
      </c>
      <c r="X19" s="1565"/>
      <c r="Y19" s="3397"/>
      <c r="Z19" s="1573" t="str">
        <f>Q19</f>
        <v>公共配套设施</v>
      </c>
      <c r="AA19" s="1574">
        <f t="shared" si="3"/>
        <v>1</v>
      </c>
      <c r="AB19" s="1574">
        <f t="shared" si="4"/>
        <v>1</v>
      </c>
      <c r="AC19" s="1574">
        <f t="shared" si="5"/>
        <v>1</v>
      </c>
    </row>
    <row r="20" spans="1:29" ht="15">
      <c r="A20" s="531"/>
      <c r="B20" s="565"/>
      <c r="C20" s="575"/>
      <c r="D20" s="554"/>
      <c r="E20" s="555"/>
      <c r="F20" s="556"/>
      <c r="G20" s="557"/>
      <c r="H20" s="554"/>
      <c r="I20" s="555"/>
      <c r="J20" s="554"/>
      <c r="K20" s="897"/>
      <c r="L20" s="2141"/>
      <c r="M20" s="2133"/>
      <c r="N20" s="2133"/>
      <c r="O20" s="2140"/>
      <c r="P20" s="3397"/>
      <c r="Q20" s="1570"/>
      <c r="R20" s="1571"/>
      <c r="S20" s="1572"/>
      <c r="T20" s="1571"/>
      <c r="U20" s="1572"/>
      <c r="V20" s="1571"/>
      <c r="W20" s="1572"/>
      <c r="X20" s="1565"/>
      <c r="Y20" s="3397"/>
      <c r="Z20" s="1573"/>
      <c r="AA20" s="1574">
        <v>1</v>
      </c>
      <c r="AB20" s="1574">
        <v>1</v>
      </c>
      <c r="AC20" s="1574">
        <v>1</v>
      </c>
    </row>
    <row r="21" spans="1:29" ht="41.4">
      <c r="A21" s="531"/>
      <c r="B21" s="2590" t="s">
        <v>2520</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6"/>
      <c r="L21" s="2141"/>
      <c r="M21" s="2133"/>
      <c r="N21" s="2133"/>
      <c r="O21" s="2140"/>
      <c r="P21" s="3397"/>
      <c r="Q21" s="2578" t="str">
        <f>B21</f>
        <v>基础设施水平</v>
      </c>
      <c r="R21" s="1571" t="s">
        <v>8</v>
      </c>
      <c r="S21" s="1572">
        <f>F21</f>
        <v>100</v>
      </c>
      <c r="T21" s="1571" t="s">
        <v>8</v>
      </c>
      <c r="U21" s="1572">
        <f>H21</f>
        <v>100</v>
      </c>
      <c r="V21" s="1571" t="s">
        <v>8</v>
      </c>
      <c r="W21" s="1572">
        <f>J21</f>
        <v>100</v>
      </c>
      <c r="X21" s="2580"/>
      <c r="Y21" s="3397"/>
      <c r="Z21" s="2579" t="str">
        <f>Q21</f>
        <v>基础设施水平</v>
      </c>
      <c r="AA21" s="1574">
        <f t="shared" ref="AA21" si="8">D21/F21</f>
        <v>1</v>
      </c>
      <c r="AB21" s="1574">
        <f t="shared" ref="AB21" si="9">D21/H21</f>
        <v>1</v>
      </c>
      <c r="AC21" s="1574">
        <f t="shared" ref="AC21" si="10">D21/J21</f>
        <v>1</v>
      </c>
    </row>
    <row r="22" spans="1:29" ht="15">
      <c r="A22" s="531"/>
      <c r="B22" s="577"/>
      <c r="C22" s="872"/>
      <c r="D22" s="554"/>
      <c r="E22" s="575"/>
      <c r="F22" s="556"/>
      <c r="G22" s="575"/>
      <c r="H22" s="554"/>
      <c r="I22" s="575"/>
      <c r="J22" s="554"/>
      <c r="K22" s="2601"/>
      <c r="L22" s="2141"/>
      <c r="M22" s="2133"/>
      <c r="N22" s="2133"/>
      <c r="O22" s="2140"/>
      <c r="P22" s="3397"/>
      <c r="Q22" s="2578"/>
      <c r="R22" s="1571"/>
      <c r="S22" s="1572"/>
      <c r="T22" s="1571"/>
      <c r="U22" s="1572"/>
      <c r="V22" s="1571"/>
      <c r="W22" s="1572"/>
      <c r="X22" s="2580"/>
      <c r="Y22" s="3397"/>
      <c r="Z22" s="2579"/>
      <c r="AA22" s="1574">
        <v>1</v>
      </c>
      <c r="AB22" s="1574">
        <v>1</v>
      </c>
      <c r="AC22" s="1574">
        <v>1</v>
      </c>
    </row>
    <row r="23" spans="1:29" ht="82.8">
      <c r="A23" s="531"/>
      <c r="B23" s="870" t="s">
        <v>743</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6"/>
      <c r="L23" s="2141"/>
      <c r="M23" s="2133"/>
      <c r="N23" s="2133"/>
      <c r="O23" s="2140"/>
      <c r="P23" s="3397"/>
      <c r="Q23" s="1570" t="str">
        <f>B23</f>
        <v>环境质量</v>
      </c>
      <c r="R23" s="1571" t="s">
        <v>8</v>
      </c>
      <c r="S23" s="1572">
        <f>F23</f>
        <v>100</v>
      </c>
      <c r="T23" s="1571" t="s">
        <v>8</v>
      </c>
      <c r="U23" s="1572">
        <f>H23</f>
        <v>100</v>
      </c>
      <c r="V23" s="1571" t="s">
        <v>8</v>
      </c>
      <c r="W23" s="1572">
        <f>J23</f>
        <v>100</v>
      </c>
      <c r="X23" s="1565"/>
      <c r="Y23" s="3397"/>
      <c r="Z23" s="1573" t="str">
        <f>Q23</f>
        <v>环境质量</v>
      </c>
      <c r="AA23" s="1574">
        <f t="shared" si="3"/>
        <v>1</v>
      </c>
      <c r="AB23" s="1574">
        <f t="shared" si="4"/>
        <v>1</v>
      </c>
      <c r="AC23" s="1574">
        <f t="shared" si="5"/>
        <v>1</v>
      </c>
    </row>
    <row r="24" spans="1:29" ht="15">
      <c r="A24" s="531"/>
      <c r="B24" s="920"/>
      <c r="C24" s="575"/>
      <c r="D24" s="554"/>
      <c r="E24" s="555"/>
      <c r="F24" s="556"/>
      <c r="G24" s="557"/>
      <c r="H24" s="554"/>
      <c r="I24" s="555"/>
      <c r="J24" s="554"/>
      <c r="K24" s="897"/>
      <c r="L24" s="2141"/>
      <c r="M24" s="2133"/>
      <c r="N24" s="2133"/>
      <c r="O24" s="2140"/>
      <c r="P24" s="3397"/>
      <c r="Q24" s="1570"/>
      <c r="R24" s="1571"/>
      <c r="S24" s="1572"/>
      <c r="T24" s="1571"/>
      <c r="U24" s="1572"/>
      <c r="V24" s="1571"/>
      <c r="W24" s="1572"/>
      <c r="X24" s="1565"/>
      <c r="Y24" s="3397"/>
      <c r="Z24" s="1573"/>
      <c r="AA24" s="1574">
        <v>1</v>
      </c>
      <c r="AB24" s="1574">
        <v>1</v>
      </c>
      <c r="AC24" s="1574">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1"/>
      <c r="M25" s="2133"/>
      <c r="N25" s="2133"/>
      <c r="O25" s="2140"/>
      <c r="P25" s="3397"/>
      <c r="Q25" s="1570">
        <f>B25</f>
        <v>111</v>
      </c>
      <c r="R25" s="1571" t="s">
        <v>8</v>
      </c>
      <c r="S25" s="1572">
        <f>F25</f>
        <v>100</v>
      </c>
      <c r="T25" s="1571" t="s">
        <v>8</v>
      </c>
      <c r="U25" s="1572">
        <f>H25</f>
        <v>100</v>
      </c>
      <c r="V25" s="1571" t="s">
        <v>8</v>
      </c>
      <c r="W25" s="1572">
        <f>J25</f>
        <v>100</v>
      </c>
      <c r="X25" s="1565"/>
      <c r="Y25" s="3397"/>
      <c r="Z25" s="1573">
        <f>Q25</f>
        <v>111</v>
      </c>
      <c r="AA25" s="1574">
        <f t="shared" si="3"/>
        <v>1</v>
      </c>
      <c r="AB25" s="1574">
        <f t="shared" si="4"/>
        <v>1</v>
      </c>
      <c r="AC25" s="1574">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1"/>
      <c r="M26" s="2133"/>
      <c r="N26" s="2133"/>
      <c r="O26" s="2140"/>
      <c r="P26" s="3397"/>
      <c r="Q26" s="1570">
        <f t="shared" ref="Q26:Q40" si="11">B26</f>
        <v>111</v>
      </c>
      <c r="R26" s="1571" t="s">
        <v>8</v>
      </c>
      <c r="S26" s="1572">
        <f>F26</f>
        <v>100</v>
      </c>
      <c r="T26" s="1571" t="s">
        <v>8</v>
      </c>
      <c r="U26" s="1572">
        <f>H26</f>
        <v>100</v>
      </c>
      <c r="V26" s="1571" t="s">
        <v>8</v>
      </c>
      <c r="W26" s="1572">
        <f>J26</f>
        <v>100</v>
      </c>
      <c r="X26" s="1565"/>
      <c r="Y26" s="3397"/>
      <c r="Z26" s="1573">
        <f>Q26</f>
        <v>111</v>
      </c>
      <c r="AA26" s="1574">
        <f t="shared" si="3"/>
        <v>1</v>
      </c>
      <c r="AB26" s="1574">
        <f t="shared" si="4"/>
        <v>1</v>
      </c>
      <c r="AC26" s="1574">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4"/>
      <c r="M27" s="2135"/>
      <c r="N27" s="2135"/>
      <c r="O27" s="2136"/>
      <c r="P27" s="3397"/>
      <c r="Q27" s="1149">
        <f t="shared" si="11"/>
        <v>111</v>
      </c>
      <c r="R27" s="1566" t="s">
        <v>8</v>
      </c>
      <c r="S27" s="1567">
        <f>F27</f>
        <v>100</v>
      </c>
      <c r="T27" s="1566" t="s">
        <v>8</v>
      </c>
      <c r="U27" s="1567">
        <f>H27</f>
        <v>100</v>
      </c>
      <c r="V27" s="1566" t="s">
        <v>8</v>
      </c>
      <c r="W27" s="1567">
        <f>J27</f>
        <v>100</v>
      </c>
      <c r="X27" s="1568"/>
      <c r="Y27" s="3397"/>
      <c r="Z27" s="1148">
        <f>Q27</f>
        <v>111</v>
      </c>
      <c r="AA27" s="1574">
        <f>D27/F27</f>
        <v>1</v>
      </c>
      <c r="AB27" s="1574">
        <f>D27/H27</f>
        <v>1</v>
      </c>
      <c r="AC27" s="1574">
        <f>D27/J27</f>
        <v>1</v>
      </c>
    </row>
    <row r="28" spans="1:29" ht="15.6"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41"/>
      <c r="M28" s="2133"/>
      <c r="N28" s="2133"/>
      <c r="O28" s="2140"/>
      <c r="P28" s="3397"/>
      <c r="Q28" s="1570">
        <f t="shared" si="11"/>
        <v>111</v>
      </c>
      <c r="R28" s="1571" t="s">
        <v>8</v>
      </c>
      <c r="S28" s="1572">
        <f t="shared" ref="S28:S40" si="12">F28</f>
        <v>100</v>
      </c>
      <c r="T28" s="1571" t="s">
        <v>8</v>
      </c>
      <c r="U28" s="1572">
        <f t="shared" ref="U28:U40" si="13">H28</f>
        <v>100</v>
      </c>
      <c r="V28" s="1571" t="s">
        <v>8</v>
      </c>
      <c r="W28" s="1572">
        <f t="shared" ref="W28:W40" si="14">J28</f>
        <v>100</v>
      </c>
      <c r="X28" s="1565"/>
      <c r="Y28" s="3397"/>
      <c r="Z28" s="1573">
        <f t="shared" ref="Z28:Z40" si="15">Q28</f>
        <v>111</v>
      </c>
      <c r="AA28" s="1574">
        <f t="shared" si="3"/>
        <v>1</v>
      </c>
      <c r="AB28" s="1574">
        <f t="shared" si="4"/>
        <v>1</v>
      </c>
      <c r="AC28" s="1574">
        <f t="shared" si="5"/>
        <v>1</v>
      </c>
    </row>
    <row r="29" spans="1:29" ht="15">
      <c r="A29" s="2906" t="s">
        <v>2717</v>
      </c>
      <c r="B29" s="171" t="s">
        <v>745</v>
      </c>
      <c r="C29" s="914"/>
      <c r="D29" s="596">
        <v>100</v>
      </c>
      <c r="E29" s="914"/>
      <c r="F29" s="574">
        <f>SUMIF(88:88,E29,89:89)-SUMIF(88:88,C29,89:89)+100</f>
        <v>100</v>
      </c>
      <c r="G29" s="914"/>
      <c r="H29" s="539">
        <f>SUMIF(88:88,G29,89:89)-SUMIF(88:88,C29,89:89)+100</f>
        <v>100</v>
      </c>
      <c r="I29" s="914"/>
      <c r="J29" s="596">
        <f>SUMIF(88:88,I29,89:89)-SUMIF(88:88,C29,89:89)+100</f>
        <v>100</v>
      </c>
      <c r="K29" s="583"/>
      <c r="L29" s="2141"/>
      <c r="M29" s="2133"/>
      <c r="N29" s="2133"/>
      <c r="O29" s="2140"/>
      <c r="P29" s="3398" t="s">
        <v>515</v>
      </c>
      <c r="Q29" s="1570" t="str">
        <f t="shared" si="11"/>
        <v>建筑类型</v>
      </c>
      <c r="R29" s="1571" t="s">
        <v>8</v>
      </c>
      <c r="S29" s="1572">
        <f t="shared" si="12"/>
        <v>100</v>
      </c>
      <c r="T29" s="1571" t="s">
        <v>8</v>
      </c>
      <c r="U29" s="1572">
        <f t="shared" si="13"/>
        <v>100</v>
      </c>
      <c r="V29" s="1571" t="s">
        <v>8</v>
      </c>
      <c r="W29" s="1572">
        <f t="shared" si="14"/>
        <v>100</v>
      </c>
      <c r="X29" s="1565"/>
      <c r="Y29" s="3399" t="s">
        <v>515</v>
      </c>
      <c r="Z29" s="1573" t="str">
        <f t="shared" si="15"/>
        <v>建筑类型</v>
      </c>
      <c r="AA29" s="1574">
        <f t="shared" si="3"/>
        <v>1</v>
      </c>
      <c r="AB29" s="1574">
        <f t="shared" si="4"/>
        <v>1</v>
      </c>
      <c r="AC29" s="1574">
        <f t="shared" si="5"/>
        <v>1</v>
      </c>
    </row>
    <row r="30" spans="1:29" s="1337" customFormat="1" ht="15">
      <c r="A30" s="602"/>
      <c r="B30" s="526" t="s">
        <v>691</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39"/>
      <c r="M30" s="2170"/>
      <c r="N30" s="2170"/>
      <c r="O30" s="2142"/>
      <c r="P30" s="3399"/>
      <c r="Q30" s="1603" t="str">
        <f t="shared" si="11"/>
        <v>项目建筑规模</v>
      </c>
      <c r="R30" s="1575" t="s">
        <v>8</v>
      </c>
      <c r="S30" s="1576" t="e">
        <f t="shared" si="12"/>
        <v>#N/A</v>
      </c>
      <c r="T30" s="1575" t="s">
        <v>8</v>
      </c>
      <c r="U30" s="1576" t="e">
        <f t="shared" si="13"/>
        <v>#N/A</v>
      </c>
      <c r="V30" s="1575" t="s">
        <v>8</v>
      </c>
      <c r="W30" s="1576" t="e">
        <f t="shared" si="14"/>
        <v>#N/A</v>
      </c>
      <c r="X30" s="1577"/>
      <c r="Y30" s="3399"/>
      <c r="Z30" s="1578" t="str">
        <f t="shared" si="15"/>
        <v>项目建筑规模</v>
      </c>
      <c r="AA30" s="1574" t="e">
        <f t="shared" si="3"/>
        <v>#N/A</v>
      </c>
      <c r="AB30" s="1574" t="e">
        <f t="shared" si="4"/>
        <v>#N/A</v>
      </c>
      <c r="AC30" s="1574" t="e">
        <f t="shared" si="5"/>
        <v>#N/A</v>
      </c>
    </row>
    <row r="31" spans="1:29" ht="15">
      <c r="A31" s="593"/>
      <c r="B31" s="526" t="s">
        <v>692</v>
      </c>
      <c r="C31" s="573"/>
      <c r="D31" s="539">
        <v>100</v>
      </c>
      <c r="E31" s="573"/>
      <c r="F31" s="574">
        <f>SUMIF(93:93,E31,94:94)-SUMIF(93:93,C31,94:94)+100</f>
        <v>100</v>
      </c>
      <c r="G31" s="573"/>
      <c r="H31" s="539">
        <f>SUMIF(93:93,G31,94:94)-SUMIF(93:93,C31,94:94)+100</f>
        <v>100</v>
      </c>
      <c r="I31" s="573"/>
      <c r="J31" s="539">
        <f>SUMIF(93:93,I31,94:94)-SUMIF(93:93,C31,94:94)+100</f>
        <v>100</v>
      </c>
      <c r="K31" s="583"/>
      <c r="L31" s="2141"/>
      <c r="M31" s="2133"/>
      <c r="N31" s="2133"/>
      <c r="O31" s="2140"/>
      <c r="P31" s="3399"/>
      <c r="Q31" s="1570" t="str">
        <f t="shared" si="11"/>
        <v>建筑结构</v>
      </c>
      <c r="R31" s="1571" t="s">
        <v>8</v>
      </c>
      <c r="S31" s="1572">
        <f t="shared" si="12"/>
        <v>100</v>
      </c>
      <c r="T31" s="1571" t="s">
        <v>8</v>
      </c>
      <c r="U31" s="1572">
        <f t="shared" si="13"/>
        <v>100</v>
      </c>
      <c r="V31" s="1571" t="s">
        <v>8</v>
      </c>
      <c r="W31" s="1572">
        <f t="shared" si="14"/>
        <v>100</v>
      </c>
      <c r="X31" s="1565"/>
      <c r="Y31" s="3399"/>
      <c r="Z31" s="1573" t="str">
        <f t="shared" si="15"/>
        <v>建筑结构</v>
      </c>
      <c r="AA31" s="1574">
        <f t="shared" si="3"/>
        <v>1</v>
      </c>
      <c r="AB31" s="1574">
        <f t="shared" si="4"/>
        <v>1</v>
      </c>
      <c r="AC31" s="1574">
        <f t="shared" si="5"/>
        <v>1</v>
      </c>
    </row>
    <row r="32" spans="1:29" ht="15">
      <c r="A32" s="593"/>
      <c r="B32" s="526" t="s">
        <v>728</v>
      </c>
      <c r="C32" s="573"/>
      <c r="D32" s="539">
        <v>100</v>
      </c>
      <c r="E32" s="573"/>
      <c r="F32" s="574">
        <f>SUMIF(95:95,E32,96:96)-SUMIF(95:95,C32,96:96)+100</f>
        <v>100</v>
      </c>
      <c r="G32" s="573"/>
      <c r="H32" s="539">
        <f>SUMIF(95:95,G32,96:96)-SUMIF(95:95,C32,96:96)+100</f>
        <v>100</v>
      </c>
      <c r="I32" s="573"/>
      <c r="J32" s="539">
        <f>SUMIF(95:95,I32,96:96)-SUMIF(95:95,C32,96:96)+100</f>
        <v>100</v>
      </c>
      <c r="K32" s="583"/>
      <c r="L32" s="2141"/>
      <c r="M32" s="2133"/>
      <c r="N32" s="2133"/>
      <c r="O32" s="2140"/>
      <c r="P32" s="3399"/>
      <c r="Q32" s="1570" t="str">
        <f t="shared" si="11"/>
        <v>公共部分装修</v>
      </c>
      <c r="R32" s="1571" t="s">
        <v>8</v>
      </c>
      <c r="S32" s="1572">
        <f t="shared" si="12"/>
        <v>100</v>
      </c>
      <c r="T32" s="1571" t="s">
        <v>8</v>
      </c>
      <c r="U32" s="1572">
        <f t="shared" si="13"/>
        <v>100</v>
      </c>
      <c r="V32" s="1571" t="s">
        <v>8</v>
      </c>
      <c r="W32" s="1572">
        <f t="shared" si="14"/>
        <v>100</v>
      </c>
      <c r="X32" s="1565"/>
      <c r="Y32" s="3399"/>
      <c r="Z32" s="1573" t="str">
        <f t="shared" si="15"/>
        <v>公共部分装修</v>
      </c>
      <c r="AA32" s="1574">
        <f t="shared" si="3"/>
        <v>1</v>
      </c>
      <c r="AB32" s="1574">
        <f t="shared" si="4"/>
        <v>1</v>
      </c>
      <c r="AC32" s="1574">
        <f t="shared" si="5"/>
        <v>1</v>
      </c>
    </row>
    <row r="33" spans="1:29" ht="15">
      <c r="A33" s="593"/>
      <c r="B33" s="526" t="s">
        <v>729</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41"/>
      <c r="M33" s="2133"/>
      <c r="N33" s="2133"/>
      <c r="O33" s="2140"/>
      <c r="P33" s="3399"/>
      <c r="Q33" s="1570" t="str">
        <f t="shared" si="11"/>
        <v>成新度</v>
      </c>
      <c r="R33" s="1571" t="s">
        <v>8</v>
      </c>
      <c r="S33" s="1572" t="e">
        <f t="shared" si="12"/>
        <v>#N/A</v>
      </c>
      <c r="T33" s="1571" t="s">
        <v>8</v>
      </c>
      <c r="U33" s="1572" t="e">
        <f t="shared" si="13"/>
        <v>#N/A</v>
      </c>
      <c r="V33" s="1571" t="s">
        <v>8</v>
      </c>
      <c r="W33" s="1572" t="e">
        <f t="shared" si="14"/>
        <v>#N/A</v>
      </c>
      <c r="X33" s="1565"/>
      <c r="Y33" s="3399"/>
      <c r="Z33" s="1573" t="str">
        <f t="shared" si="15"/>
        <v>成新度</v>
      </c>
      <c r="AA33" s="1574" t="e">
        <f t="shared" si="3"/>
        <v>#N/A</v>
      </c>
      <c r="AB33" s="1574" t="e">
        <f t="shared" si="4"/>
        <v>#N/A</v>
      </c>
      <c r="AC33" s="1574" t="e">
        <f t="shared" si="5"/>
        <v>#N/A</v>
      </c>
    </row>
    <row r="34" spans="1:29" s="1218" customFormat="1" ht="15">
      <c r="A34" s="599"/>
      <c r="B34" s="526" t="s">
        <v>747</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4"/>
      <c r="M34" s="2135"/>
      <c r="N34" s="2135"/>
      <c r="O34" s="2136"/>
      <c r="P34" s="3399"/>
      <c r="Q34" s="1149" t="str">
        <f t="shared" si="11"/>
        <v>物业管理</v>
      </c>
      <c r="R34" s="1566" t="s">
        <v>8</v>
      </c>
      <c r="S34" s="1567">
        <f t="shared" si="12"/>
        <v>100</v>
      </c>
      <c r="T34" s="1566" t="s">
        <v>8</v>
      </c>
      <c r="U34" s="1567">
        <f t="shared" si="13"/>
        <v>100</v>
      </c>
      <c r="V34" s="1566" t="s">
        <v>8</v>
      </c>
      <c r="W34" s="1567">
        <f t="shared" si="14"/>
        <v>100</v>
      </c>
      <c r="X34" s="1568"/>
      <c r="Y34" s="3399"/>
      <c r="Z34" s="1148" t="str">
        <f t="shared" si="15"/>
        <v>物业管理</v>
      </c>
      <c r="AA34" s="1569">
        <f t="shared" si="3"/>
        <v>1</v>
      </c>
      <c r="AB34" s="1569">
        <f t="shared" si="4"/>
        <v>1</v>
      </c>
      <c r="AC34" s="1569">
        <f t="shared" si="5"/>
        <v>1</v>
      </c>
    </row>
    <row r="35" spans="1:29" ht="15">
      <c r="A35" s="593"/>
      <c r="B35" s="1894" t="s">
        <v>2527</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1"/>
      <c r="M35" s="2133"/>
      <c r="N35" s="2133"/>
      <c r="O35" s="2140"/>
      <c r="P35" s="3399" t="s">
        <v>515</v>
      </c>
      <c r="Q35" s="1570" t="str">
        <f t="shared" si="11"/>
        <v>市政基础设施</v>
      </c>
      <c r="R35" s="1571" t="s">
        <v>8</v>
      </c>
      <c r="S35" s="1572">
        <f t="shared" si="12"/>
        <v>100</v>
      </c>
      <c r="T35" s="1571" t="s">
        <v>8</v>
      </c>
      <c r="U35" s="1572">
        <f t="shared" si="13"/>
        <v>100</v>
      </c>
      <c r="V35" s="1571" t="s">
        <v>8</v>
      </c>
      <c r="W35" s="1572">
        <f t="shared" si="14"/>
        <v>100</v>
      </c>
      <c r="X35" s="1565"/>
      <c r="Y35" s="3399" t="s">
        <v>515</v>
      </c>
      <c r="Z35" s="1573" t="str">
        <f t="shared" si="15"/>
        <v>市政基础设施</v>
      </c>
      <c r="AA35" s="1574">
        <f t="shared" si="3"/>
        <v>1</v>
      </c>
      <c r="AB35" s="1574">
        <f t="shared" si="4"/>
        <v>1</v>
      </c>
      <c r="AC35" s="1574">
        <f t="shared" si="5"/>
        <v>1</v>
      </c>
    </row>
    <row r="36" spans="1:29" ht="15">
      <c r="A36" s="593"/>
      <c r="B36" s="526" t="s">
        <v>735</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1"/>
      <c r="M36" s="2133"/>
      <c r="N36" s="2133"/>
      <c r="O36" s="2140"/>
      <c r="P36" s="3399"/>
      <c r="Q36" s="1570" t="str">
        <f t="shared" si="11"/>
        <v>内部装修</v>
      </c>
      <c r="R36" s="1571" t="s">
        <v>8</v>
      </c>
      <c r="S36" s="1572">
        <f t="shared" si="12"/>
        <v>100</v>
      </c>
      <c r="T36" s="1571" t="s">
        <v>8</v>
      </c>
      <c r="U36" s="1572">
        <f t="shared" si="13"/>
        <v>100</v>
      </c>
      <c r="V36" s="1571" t="s">
        <v>8</v>
      </c>
      <c r="W36" s="1572">
        <f t="shared" si="14"/>
        <v>100</v>
      </c>
      <c r="X36" s="1565"/>
      <c r="Y36" s="3399"/>
      <c r="Z36" s="1573" t="str">
        <f t="shared" si="15"/>
        <v>内部装修</v>
      </c>
      <c r="AA36" s="1574">
        <f t="shared" si="3"/>
        <v>1</v>
      </c>
      <c r="AB36" s="1574">
        <f t="shared" si="4"/>
        <v>1</v>
      </c>
      <c r="AC36" s="1574">
        <f t="shared" si="5"/>
        <v>1</v>
      </c>
    </row>
    <row r="37" spans="1:29" ht="15">
      <c r="A37" s="593"/>
      <c r="B37" s="526" t="s">
        <v>755</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1"/>
      <c r="M37" s="2133"/>
      <c r="N37" s="2133"/>
      <c r="O37" s="2140"/>
      <c r="P37" s="3399"/>
      <c r="Q37" s="1570" t="str">
        <f t="shared" si="11"/>
        <v>内部装修状况</v>
      </c>
      <c r="R37" s="1571" t="s">
        <v>8</v>
      </c>
      <c r="S37" s="1572">
        <f t="shared" si="12"/>
        <v>100</v>
      </c>
      <c r="T37" s="1571" t="s">
        <v>8</v>
      </c>
      <c r="U37" s="1572">
        <f t="shared" si="13"/>
        <v>100</v>
      </c>
      <c r="V37" s="1571" t="s">
        <v>8</v>
      </c>
      <c r="W37" s="1572">
        <f t="shared" si="14"/>
        <v>100</v>
      </c>
      <c r="X37" s="1565"/>
      <c r="Y37" s="3399"/>
      <c r="Z37" s="1573" t="str">
        <f t="shared" si="15"/>
        <v>内部装修状况</v>
      </c>
      <c r="AA37" s="1574">
        <f t="shared" si="3"/>
        <v>1</v>
      </c>
      <c r="AB37" s="1574">
        <f t="shared" si="4"/>
        <v>1</v>
      </c>
      <c r="AC37" s="1574">
        <f t="shared" si="5"/>
        <v>1</v>
      </c>
    </row>
    <row r="38" spans="1:29" s="1337"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39"/>
      <c r="M38" s="2170"/>
      <c r="N38" s="2170"/>
      <c r="O38" s="2142"/>
      <c r="P38" s="3399"/>
      <c r="Q38" s="1603">
        <f t="shared" si="11"/>
        <v>111</v>
      </c>
      <c r="R38" s="1575" t="s">
        <v>8</v>
      </c>
      <c r="S38" s="1576">
        <f t="shared" si="12"/>
        <v>100</v>
      </c>
      <c r="T38" s="1575" t="s">
        <v>8</v>
      </c>
      <c r="U38" s="1576">
        <f t="shared" si="13"/>
        <v>100</v>
      </c>
      <c r="V38" s="1575" t="s">
        <v>8</v>
      </c>
      <c r="W38" s="1576">
        <f t="shared" si="14"/>
        <v>100</v>
      </c>
      <c r="X38" s="1577"/>
      <c r="Y38" s="3399"/>
      <c r="Z38" s="1578">
        <f t="shared" si="15"/>
        <v>111</v>
      </c>
      <c r="AA38" s="1574">
        <f t="shared" si="3"/>
        <v>1</v>
      </c>
      <c r="AB38" s="1574">
        <f t="shared" si="4"/>
        <v>1</v>
      </c>
      <c r="AC38" s="1574">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41"/>
      <c r="M39" s="2133"/>
      <c r="N39" s="2133"/>
      <c r="O39" s="2140"/>
      <c r="P39" s="3399"/>
      <c r="Q39" s="1570">
        <f t="shared" si="11"/>
        <v>111</v>
      </c>
      <c r="R39" s="1571" t="s">
        <v>8</v>
      </c>
      <c r="S39" s="1572">
        <f t="shared" si="12"/>
        <v>100</v>
      </c>
      <c r="T39" s="1571" t="s">
        <v>8</v>
      </c>
      <c r="U39" s="1572">
        <f t="shared" si="13"/>
        <v>100</v>
      </c>
      <c r="V39" s="1571" t="s">
        <v>8</v>
      </c>
      <c r="W39" s="1572">
        <f t="shared" si="14"/>
        <v>100</v>
      </c>
      <c r="X39" s="1565"/>
      <c r="Y39" s="3399"/>
      <c r="Z39" s="1573">
        <f t="shared" si="15"/>
        <v>111</v>
      </c>
      <c r="AA39" s="1574">
        <f t="shared" si="3"/>
        <v>1</v>
      </c>
      <c r="AB39" s="1574">
        <f t="shared" si="4"/>
        <v>1</v>
      </c>
      <c r="AC39" s="1574">
        <f t="shared" si="5"/>
        <v>1</v>
      </c>
    </row>
    <row r="40" spans="1:29" ht="15.6"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41"/>
      <c r="M40" s="2133"/>
      <c r="N40" s="2133"/>
      <c r="O40" s="2140"/>
      <c r="P40" s="3478"/>
      <c r="Q40" s="1570">
        <f t="shared" si="11"/>
        <v>111</v>
      </c>
      <c r="R40" s="1571" t="s">
        <v>8</v>
      </c>
      <c r="S40" s="1572">
        <f t="shared" si="12"/>
        <v>100</v>
      </c>
      <c r="T40" s="1571" t="s">
        <v>8</v>
      </c>
      <c r="U40" s="1572">
        <f t="shared" si="13"/>
        <v>100</v>
      </c>
      <c r="V40" s="1571" t="s">
        <v>8</v>
      </c>
      <c r="W40" s="1572">
        <f t="shared" si="14"/>
        <v>100</v>
      </c>
      <c r="X40" s="1565"/>
      <c r="Y40" s="3478"/>
      <c r="Z40" s="1573">
        <f t="shared" si="15"/>
        <v>111</v>
      </c>
      <c r="AA40" s="1574">
        <f t="shared" si="3"/>
        <v>1</v>
      </c>
      <c r="AB40" s="1574">
        <f t="shared" si="4"/>
        <v>1</v>
      </c>
      <c r="AC40" s="1574">
        <f t="shared" si="5"/>
        <v>1</v>
      </c>
    </row>
    <row r="41" spans="1:29" ht="14.4">
      <c r="A41" s="606" t="s">
        <v>701</v>
      </c>
      <c r="B41" s="885"/>
      <c r="C41" s="2626" t="s">
        <v>1</v>
      </c>
      <c r="D41" s="2627"/>
      <c r="E41" s="2628"/>
      <c r="F41" s="2629"/>
      <c r="G41" s="2630"/>
      <c r="H41" s="2631"/>
      <c r="I41" s="2628"/>
      <c r="J41" s="2631"/>
      <c r="K41" s="1609"/>
      <c r="L41" s="2143"/>
      <c r="M41" s="2144"/>
      <c r="N41" s="2133"/>
      <c r="O41" s="2144"/>
      <c r="P41" s="3362" t="str">
        <f>A41</f>
        <v>成交单价（元/平方米）</v>
      </c>
      <c r="Q41" s="3362"/>
      <c r="R41" s="3477">
        <f>E41</f>
        <v>0</v>
      </c>
      <c r="S41" s="3477"/>
      <c r="T41" s="3477">
        <f>G41</f>
        <v>0</v>
      </c>
      <c r="U41" s="3477"/>
      <c r="V41" s="3477">
        <f>I41</f>
        <v>0</v>
      </c>
      <c r="W41" s="3477"/>
      <c r="X41" s="1557"/>
      <c r="Y41" s="1579"/>
      <c r="Z41" s="1557"/>
      <c r="AA41" s="1557"/>
      <c r="AB41" s="1557"/>
      <c r="AC41" s="1557"/>
    </row>
    <row r="42" spans="1:29" ht="15" thickBot="1">
      <c r="A42" s="614" t="s">
        <v>2722</v>
      </c>
      <c r="B42" s="886"/>
      <c r="C42" s="2632" t="e">
        <f>R43</f>
        <v>#DIV/0!</v>
      </c>
      <c r="D42" s="2633"/>
      <c r="E42" s="2634" t="e">
        <f>R42</f>
        <v>#DIV/0!</v>
      </c>
      <c r="F42" s="2634"/>
      <c r="G42" s="2632" t="e">
        <f>T42</f>
        <v>#DIV/0!</v>
      </c>
      <c r="H42" s="2633"/>
      <c r="I42" s="2634" t="e">
        <f>V42</f>
        <v>#DIV/0!</v>
      </c>
      <c r="J42" s="2633"/>
      <c r="K42" s="1610"/>
      <c r="L42" s="2143"/>
      <c r="M42" s="2144"/>
      <c r="N42" s="2133"/>
      <c r="O42" s="2144"/>
      <c r="P42" s="3362" t="str">
        <f>A42</f>
        <v>比较价格（元/平方米）</v>
      </c>
      <c r="Q42" s="3362"/>
      <c r="R42" s="3477" t="e">
        <f>IF(F1="售价",ROUND(PRODUCT(R41,AA7:AA40),0),ROUND(PRODUCT(R41,AA7:AA40),1))</f>
        <v>#DIV/0!</v>
      </c>
      <c r="S42" s="3477"/>
      <c r="T42" s="3477" t="e">
        <f>IF(F1="售价",ROUND(PRODUCT(T41,AB7:AB40),0),ROUND(PRODUCT(T41,AB7:AB40),1))</f>
        <v>#DIV/0!</v>
      </c>
      <c r="U42" s="3477"/>
      <c r="V42" s="3477" t="e">
        <f>IF(F1="售价",ROUND(PRODUCT(V41,AC7:AC40),0),ROUND(PRODUCT(V41,AC7:AC40),1))</f>
        <v>#DIV/0!</v>
      </c>
      <c r="W42" s="3477"/>
      <c r="X42" s="1557"/>
      <c r="Y42" s="1557"/>
      <c r="Z42" s="1557"/>
      <c r="AA42" s="1557"/>
      <c r="AB42" s="1557"/>
      <c r="AC42" s="1557"/>
    </row>
    <row r="43" spans="1:29" ht="15" thickBot="1">
      <c r="A43" s="620" t="s">
        <v>2895</v>
      </c>
      <c r="B43" s="621"/>
      <c r="C43" s="2635" t="e">
        <f>R43</f>
        <v>#DIV/0!</v>
      </c>
      <c r="D43" s="2635"/>
      <c r="E43" s="2635"/>
      <c r="F43" s="2635"/>
      <c r="G43" s="2635"/>
      <c r="H43" s="2635"/>
      <c r="I43" s="2635"/>
      <c r="J43" s="2635"/>
      <c r="K43" s="1611"/>
      <c r="L43" s="2143"/>
      <c r="M43" s="2144"/>
      <c r="N43" s="2144"/>
      <c r="O43" s="2144"/>
      <c r="P43" s="3359" t="str">
        <f>A43</f>
        <v>估价对象XX用房的比较价格（楼面单价，元/平方米）</v>
      </c>
      <c r="Q43" s="3360"/>
      <c r="R43" s="3476" t="e">
        <f>IF(F1="售价",ROUND(AVERAGE(R42:V42),0),ROUND(AVERAGE(R42:V42),1))</f>
        <v>#DIV/0!</v>
      </c>
      <c r="S43" s="3476"/>
      <c r="T43" s="3476"/>
      <c r="U43" s="3476"/>
      <c r="V43" s="3476"/>
      <c r="W43" s="3476"/>
      <c r="X43" s="1557"/>
      <c r="Y43" s="1557"/>
      <c r="Z43" s="1557"/>
      <c r="AA43" s="1557"/>
      <c r="AB43" s="1557"/>
      <c r="AC43" s="1557"/>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3" t="s">
        <v>522</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3" t="s">
        <v>523</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3" customFormat="1" ht="13.5" customHeight="1">
      <c r="A48" s="2145"/>
      <c r="B48" s="2145"/>
      <c r="C48" s="623" t="s">
        <v>524</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3"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2.2" thickBot="1">
      <c r="A51" s="1582" t="s">
        <v>539</v>
      </c>
      <c r="B51" s="1557"/>
      <c r="C51" s="1581"/>
      <c r="D51" s="1581"/>
      <c r="E51" s="1581"/>
      <c r="F51" s="1583"/>
      <c r="G51" s="1583"/>
      <c r="H51" s="1581"/>
      <c r="I51" s="1581"/>
      <c r="J51" s="1581"/>
      <c r="K51" s="1584"/>
      <c r="L51" s="1580"/>
      <c r="M51" s="1581"/>
      <c r="N51" s="1581"/>
      <c r="O51" s="1581"/>
      <c r="P51" s="2156"/>
      <c r="Q51" s="2157"/>
      <c r="R51" s="2144"/>
      <c r="S51" s="2144"/>
      <c r="T51" s="2144"/>
      <c r="U51" s="2144"/>
      <c r="V51" s="2144"/>
      <c r="W51" s="2144"/>
      <c r="X51" s="2144"/>
      <c r="Y51" s="2144"/>
      <c r="Z51" s="2144"/>
      <c r="AA51" s="2144"/>
      <c r="AB51" s="2144"/>
      <c r="AC51" s="2144"/>
    </row>
    <row r="52" spans="1:29" s="1345" customFormat="1" ht="14.4">
      <c r="A52" s="644" t="s">
        <v>494</v>
      </c>
      <c r="B52" s="645"/>
      <c r="C52" s="2801" t="str">
        <f>YEAR(C7)&amp;"-"&amp;MONTH(C7)</f>
        <v>2018-12</v>
      </c>
      <c r="D52" s="2803">
        <f>EDATE(C52,-1)</f>
        <v>43405</v>
      </c>
      <c r="E52" s="2803">
        <f t="shared" ref="E52:O52" si="16">EDATE(D52,-1)</f>
        <v>43374</v>
      </c>
      <c r="F52" s="2803">
        <f t="shared" si="16"/>
        <v>43344</v>
      </c>
      <c r="G52" s="2803">
        <f t="shared" si="16"/>
        <v>43313</v>
      </c>
      <c r="H52" s="2803">
        <f t="shared" si="16"/>
        <v>43282</v>
      </c>
      <c r="I52" s="2803">
        <f t="shared" si="16"/>
        <v>43252</v>
      </c>
      <c r="J52" s="2803">
        <f t="shared" si="16"/>
        <v>43221</v>
      </c>
      <c r="K52" s="2803">
        <f t="shared" si="16"/>
        <v>43191</v>
      </c>
      <c r="L52" s="2803">
        <f t="shared" si="16"/>
        <v>43160</v>
      </c>
      <c r="M52" s="2803">
        <f t="shared" si="16"/>
        <v>43132</v>
      </c>
      <c r="N52" s="2803">
        <f t="shared" si="16"/>
        <v>43101</v>
      </c>
      <c r="O52" s="2803">
        <f t="shared" si="16"/>
        <v>43070</v>
      </c>
      <c r="P52" s="2159"/>
      <c r="Q52" s="2160"/>
      <c r="R52" s="2160"/>
      <c r="S52" s="2160"/>
      <c r="T52" s="2160"/>
      <c r="U52" s="2160"/>
      <c r="V52" s="2160"/>
      <c r="W52" s="2160"/>
      <c r="X52" s="2160"/>
      <c r="Y52" s="2160"/>
      <c r="Z52" s="2160"/>
      <c r="AA52" s="2160"/>
      <c r="AB52" s="2160"/>
      <c r="AC52" s="2160"/>
    </row>
    <row r="53" spans="1:29" s="1218" customFormat="1">
      <c r="A53" s="646"/>
      <c r="B53" s="647"/>
      <c r="C53" s="648">
        <v>100</v>
      </c>
      <c r="D53" s="649"/>
      <c r="E53" s="649"/>
      <c r="F53" s="649"/>
      <c r="G53" s="649"/>
      <c r="H53" s="649"/>
      <c r="I53" s="649"/>
      <c r="J53" s="649"/>
      <c r="K53" s="649"/>
      <c r="L53" s="649"/>
      <c r="M53" s="650"/>
      <c r="N53" s="649"/>
      <c r="O53" s="651"/>
      <c r="P53" s="2157"/>
      <c r="Q53" s="1992"/>
      <c r="R53" s="1992"/>
      <c r="S53" s="1992"/>
      <c r="T53" s="1992"/>
      <c r="U53" s="1992"/>
      <c r="V53" s="1992"/>
      <c r="W53" s="1992"/>
      <c r="X53" s="1992"/>
      <c r="Y53" s="1992"/>
      <c r="Z53" s="1992"/>
      <c r="AA53" s="1992"/>
      <c r="AB53" s="1992"/>
      <c r="AC53" s="1992"/>
    </row>
    <row r="54" spans="1:29" s="1218" customFormat="1" ht="15" thickBot="1">
      <c r="A54" s="652" t="s">
        <v>540</v>
      </c>
      <c r="B54" s="653"/>
      <c r="C54" s="654"/>
      <c r="D54" s="655"/>
      <c r="E54" s="655"/>
      <c r="F54" s="655"/>
      <c r="G54" s="655"/>
      <c r="H54" s="655"/>
      <c r="I54" s="655"/>
      <c r="J54" s="655"/>
      <c r="K54" s="655"/>
      <c r="L54" s="655"/>
      <c r="M54" s="656"/>
      <c r="N54" s="655"/>
      <c r="O54" s="657"/>
      <c r="P54" s="2157"/>
      <c r="Q54" s="2157"/>
      <c r="R54" s="1992"/>
      <c r="S54" s="1992"/>
      <c r="T54" s="1992"/>
      <c r="U54" s="1992"/>
      <c r="V54" s="1992"/>
      <c r="W54" s="1992"/>
      <c r="X54" s="1992"/>
      <c r="Y54" s="1992"/>
      <c r="Z54" s="1992"/>
      <c r="AA54" s="1992"/>
      <c r="AB54" s="1992"/>
      <c r="AC54" s="1992"/>
    </row>
    <row r="55" spans="1:29" s="1218" customFormat="1" ht="14.4">
      <c r="A55" s="658" t="s">
        <v>496</v>
      </c>
      <c r="B55" s="647"/>
      <c r="C55" s="659" t="s">
        <v>541</v>
      </c>
      <c r="D55" s="660"/>
      <c r="E55" s="660"/>
      <c r="F55" s="660"/>
      <c r="G55" s="660"/>
      <c r="H55" s="660"/>
      <c r="I55" s="660"/>
      <c r="J55" s="660"/>
      <c r="K55" s="660"/>
      <c r="L55" s="661"/>
      <c r="M55" s="662"/>
      <c r="N55" s="2161"/>
      <c r="O55" s="2161"/>
      <c r="P55" s="2162"/>
      <c r="Q55" s="2157"/>
      <c r="R55" s="1992"/>
      <c r="S55" s="1992"/>
      <c r="T55" s="1992"/>
      <c r="U55" s="1992"/>
      <c r="V55" s="1992"/>
      <c r="W55" s="1992"/>
      <c r="X55" s="1992"/>
      <c r="Y55" s="1992"/>
      <c r="Z55" s="1992"/>
      <c r="AA55" s="1992"/>
      <c r="AB55" s="1992"/>
      <c r="AC55" s="1992"/>
    </row>
    <row r="56" spans="1:29" s="1218" customFormat="1" ht="14.4" thickBot="1">
      <c r="A56" s="658"/>
      <c r="B56" s="647"/>
      <c r="C56" s="648">
        <v>100</v>
      </c>
      <c r="D56" s="649"/>
      <c r="E56" s="649"/>
      <c r="F56" s="649"/>
      <c r="G56" s="649"/>
      <c r="H56" s="649"/>
      <c r="I56" s="649"/>
      <c r="J56" s="649"/>
      <c r="K56" s="649"/>
      <c r="L56" s="649"/>
      <c r="M56" s="651"/>
      <c r="N56" s="2161"/>
      <c r="O56" s="2161"/>
      <c r="P56" s="2157"/>
      <c r="Q56" s="2157"/>
      <c r="R56" s="1992"/>
      <c r="S56" s="1992"/>
      <c r="T56" s="1992"/>
      <c r="U56" s="1992"/>
      <c r="V56" s="1992"/>
      <c r="W56" s="1992"/>
      <c r="X56" s="1992"/>
      <c r="Y56" s="1992"/>
      <c r="Z56" s="1992"/>
      <c r="AA56" s="1992"/>
      <c r="AB56" s="1992"/>
      <c r="AC56" s="1992"/>
    </row>
    <row r="57" spans="1:29" ht="14.4">
      <c r="A57" s="663" t="s">
        <v>542</v>
      </c>
      <c r="B57" s="664" t="s">
        <v>499</v>
      </c>
      <c r="C57" s="703">
        <f>C9</f>
        <v>0</v>
      </c>
      <c r="D57" s="597"/>
      <c r="E57" s="597"/>
      <c r="F57" s="597"/>
      <c r="G57" s="597"/>
      <c r="H57" s="597"/>
      <c r="I57" s="597"/>
      <c r="J57" s="597"/>
      <c r="K57" s="665"/>
      <c r="L57" s="666"/>
      <c r="M57" s="667"/>
      <c r="N57" s="2163"/>
      <c r="O57" s="2163"/>
      <c r="P57" s="2164"/>
      <c r="Q57" s="2157"/>
      <c r="R57" s="2144"/>
      <c r="S57" s="2144"/>
      <c r="T57" s="2144"/>
      <c r="U57" s="2144"/>
      <c r="V57" s="2144"/>
      <c r="W57" s="2144"/>
      <c r="X57" s="2144"/>
      <c r="Y57" s="2144"/>
      <c r="Z57" s="2144"/>
      <c r="AA57" s="2144"/>
      <c r="AB57" s="2144"/>
      <c r="AC57" s="2144"/>
    </row>
    <row r="58" spans="1:29" ht="14.4" thickBot="1">
      <c r="A58" s="668"/>
      <c r="B58" s="669"/>
      <c r="C58" s="670"/>
      <c r="D58" s="670"/>
      <c r="E58" s="670"/>
      <c r="F58" s="670"/>
      <c r="G58" s="670"/>
      <c r="H58" s="670"/>
      <c r="I58" s="670"/>
      <c r="J58" s="670"/>
      <c r="K58" s="670"/>
      <c r="L58" s="670"/>
      <c r="M58" s="671"/>
      <c r="N58" s="2165"/>
      <c r="O58" s="2165"/>
      <c r="P58" s="2164"/>
      <c r="Q58" s="2157"/>
      <c r="R58" s="2144"/>
      <c r="S58" s="2144"/>
      <c r="T58" s="2144"/>
      <c r="U58" s="2144"/>
      <c r="V58" s="2144"/>
      <c r="W58" s="2144"/>
      <c r="X58" s="2144"/>
      <c r="Y58" s="2144"/>
      <c r="Z58" s="2144"/>
      <c r="AA58" s="2144"/>
      <c r="AB58" s="2144"/>
      <c r="AC58" s="2144"/>
    </row>
    <row r="59" spans="1:29" ht="29.4" thickTop="1">
      <c r="A59" s="668"/>
      <c r="B59" s="672" t="s">
        <v>502</v>
      </c>
      <c r="C59" s="673" t="s">
        <v>702</v>
      </c>
      <c r="D59" s="673" t="s">
        <v>703</v>
      </c>
      <c r="E59" s="673" t="s">
        <v>704</v>
      </c>
      <c r="F59" s="673" t="s">
        <v>705</v>
      </c>
      <c r="G59" s="673" t="s">
        <v>706</v>
      </c>
      <c r="H59" s="673" t="s">
        <v>707</v>
      </c>
      <c r="I59" s="673" t="s">
        <v>708</v>
      </c>
      <c r="J59" s="673"/>
      <c r="K59" s="674"/>
      <c r="L59" s="675"/>
      <c r="M59" s="676"/>
      <c r="N59" s="2163"/>
      <c r="O59" s="2163"/>
      <c r="P59" s="2164"/>
      <c r="Q59" s="2157"/>
      <c r="R59" s="2144"/>
      <c r="S59" s="2144"/>
      <c r="T59" s="2144"/>
      <c r="U59" s="2144"/>
      <c r="V59" s="2144"/>
      <c r="W59" s="2144"/>
      <c r="X59" s="2144"/>
      <c r="Y59" s="2144"/>
      <c r="Z59" s="2144"/>
      <c r="AA59" s="2144"/>
      <c r="AB59" s="2144"/>
      <c r="AC59" s="2144"/>
    </row>
    <row r="60" spans="1:29" ht="14.4" thickBot="1">
      <c r="A60" s="668"/>
      <c r="B60" s="677"/>
      <c r="C60" s="678" t="s">
        <v>13</v>
      </c>
      <c r="D60" s="678" t="s">
        <v>14</v>
      </c>
      <c r="E60" s="678">
        <v>100</v>
      </c>
      <c r="F60" s="678">
        <f>E60-$K10</f>
        <v>100</v>
      </c>
      <c r="G60" s="678">
        <f>F60-$K10</f>
        <v>100</v>
      </c>
      <c r="H60" s="678">
        <f>G60-$K10</f>
        <v>100</v>
      </c>
      <c r="I60" s="678">
        <f>H60-$K10</f>
        <v>100</v>
      </c>
      <c r="J60" s="678"/>
      <c r="K60" s="678"/>
      <c r="L60" s="678"/>
      <c r="M60" s="679"/>
      <c r="N60" s="2165"/>
      <c r="O60" s="2165"/>
      <c r="P60" s="2164"/>
      <c r="Q60" s="2157"/>
      <c r="R60" s="2144"/>
      <c r="S60" s="2144"/>
      <c r="T60" s="2144"/>
      <c r="U60" s="2144"/>
      <c r="V60" s="2144"/>
      <c r="W60" s="2144"/>
      <c r="X60" s="2144"/>
      <c r="Y60" s="2144"/>
      <c r="Z60" s="2144"/>
      <c r="AA60" s="2144"/>
      <c r="AB60" s="2144"/>
      <c r="AC60" s="2144"/>
    </row>
    <row r="61" spans="1:29" ht="15" thickTop="1">
      <c r="A61" s="668"/>
      <c r="B61" s="680" t="s">
        <v>503</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5"/>
      <c r="O61" s="2165"/>
      <c r="P61" s="2164"/>
      <c r="Q61" s="2157"/>
      <c r="R61" s="2144"/>
      <c r="S61" s="2144"/>
      <c r="T61" s="2144"/>
      <c r="U61" s="2144"/>
      <c r="V61" s="2144"/>
      <c r="W61" s="2144"/>
      <c r="X61" s="2144"/>
      <c r="Y61" s="2144"/>
      <c r="Z61" s="2144"/>
      <c r="AA61" s="2144"/>
      <c r="AB61" s="2144"/>
      <c r="AC61" s="2144"/>
    </row>
    <row r="62" spans="1:29">
      <c r="A62" s="668"/>
      <c r="B62" s="682"/>
      <c r="C62" s="540"/>
      <c r="D62" s="540"/>
      <c r="E62" s="540"/>
      <c r="F62" s="540"/>
      <c r="G62" s="540"/>
      <c r="H62" s="540"/>
      <c r="I62" s="540"/>
      <c r="J62" s="540"/>
      <c r="K62" s="683"/>
      <c r="L62" s="684"/>
      <c r="M62" s="685"/>
      <c r="N62" s="2163"/>
      <c r="O62" s="2163"/>
      <c r="P62" s="2164"/>
      <c r="Q62" s="2157"/>
      <c r="R62" s="2144"/>
      <c r="S62" s="2144"/>
      <c r="T62" s="2144"/>
      <c r="U62" s="2144"/>
      <c r="V62" s="2144"/>
      <c r="W62" s="2144"/>
      <c r="X62" s="2144"/>
      <c r="Y62" s="2144"/>
      <c r="Z62" s="2144"/>
      <c r="AA62" s="2144"/>
      <c r="AB62" s="2144"/>
      <c r="AC62" s="2144"/>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5"/>
      <c r="O63" s="2165"/>
      <c r="P63" s="2164"/>
      <c r="Q63" s="2157"/>
      <c r="R63" s="2144"/>
      <c r="S63" s="2144"/>
      <c r="T63" s="2144"/>
      <c r="U63" s="2144"/>
      <c r="V63" s="2144"/>
      <c r="W63" s="2144"/>
      <c r="X63" s="2144"/>
      <c r="Y63" s="2144"/>
      <c r="Z63" s="2144"/>
      <c r="AA63" s="2144"/>
      <c r="AB63" s="2144"/>
      <c r="AC63" s="2144"/>
    </row>
    <row r="64" spans="1:29" s="1337" customFormat="1" ht="14.4" thickTop="1">
      <c r="A64" s="686"/>
      <c r="B64" s="672">
        <f>B12</f>
        <v>111</v>
      </c>
      <c r="C64" s="687"/>
      <c r="D64" s="687"/>
      <c r="E64" s="687"/>
      <c r="F64" s="687"/>
      <c r="G64" s="687"/>
      <c r="H64" s="688"/>
      <c r="I64" s="688"/>
      <c r="J64" s="688"/>
      <c r="K64" s="688"/>
      <c r="L64" s="689"/>
      <c r="M64" s="690"/>
      <c r="N64" s="2166"/>
      <c r="O64" s="2166"/>
      <c r="P64" s="2167"/>
      <c r="Q64" s="2168"/>
      <c r="R64" s="2169"/>
      <c r="S64" s="2169"/>
      <c r="T64" s="2169"/>
      <c r="U64" s="2169"/>
      <c r="V64" s="2169"/>
      <c r="W64" s="2169"/>
      <c r="X64" s="2169"/>
      <c r="Y64" s="2169"/>
      <c r="Z64" s="2169"/>
      <c r="AA64" s="2169"/>
      <c r="AB64" s="2169"/>
      <c r="AC64" s="2169"/>
    </row>
    <row r="65" spans="1:29" s="1337" customFormat="1" ht="14.4" thickBot="1">
      <c r="A65" s="686"/>
      <c r="B65" s="677"/>
      <c r="C65" s="691"/>
      <c r="D65" s="670"/>
      <c r="E65" s="670"/>
      <c r="F65" s="670"/>
      <c r="G65" s="670"/>
      <c r="H65" s="670"/>
      <c r="I65" s="670"/>
      <c r="J65" s="670"/>
      <c r="K65" s="670"/>
      <c r="L65" s="670"/>
      <c r="M65" s="671"/>
      <c r="N65" s="2165"/>
      <c r="O65" s="2165"/>
      <c r="P65" s="2167"/>
      <c r="Q65" s="2168"/>
      <c r="R65" s="2169"/>
      <c r="S65" s="2169"/>
      <c r="T65" s="2169"/>
      <c r="U65" s="2169"/>
      <c r="V65" s="2169"/>
      <c r="W65" s="2169"/>
      <c r="X65" s="2169"/>
      <c r="Y65" s="2169"/>
      <c r="Z65" s="2169"/>
      <c r="AA65" s="2169"/>
      <c r="AB65" s="2169"/>
      <c r="AC65" s="2169"/>
    </row>
    <row r="66" spans="1:29" s="1337" customFormat="1" ht="14.4" thickTop="1">
      <c r="A66" s="686"/>
      <c r="B66" s="672">
        <f>B13</f>
        <v>111</v>
      </c>
      <c r="C66" s="687"/>
      <c r="D66" s="687"/>
      <c r="E66" s="687"/>
      <c r="F66" s="687"/>
      <c r="G66" s="687"/>
      <c r="H66" s="688"/>
      <c r="I66" s="688"/>
      <c r="J66" s="688"/>
      <c r="K66" s="688"/>
      <c r="L66" s="689"/>
      <c r="M66" s="690"/>
      <c r="N66" s="2166"/>
      <c r="O66" s="2166"/>
      <c r="P66" s="2170"/>
      <c r="Q66" s="2171"/>
      <c r="R66" s="2169"/>
      <c r="S66" s="2169"/>
      <c r="T66" s="2169"/>
      <c r="U66" s="2169"/>
      <c r="V66" s="2169"/>
      <c r="W66" s="2169"/>
      <c r="X66" s="2169"/>
      <c r="Y66" s="2169"/>
      <c r="Z66" s="2169"/>
      <c r="AA66" s="2169"/>
      <c r="AB66" s="2169"/>
      <c r="AC66" s="2169"/>
    </row>
    <row r="67" spans="1:29" s="1337" customFormat="1" ht="14.4" thickBot="1">
      <c r="A67" s="686"/>
      <c r="B67" s="677"/>
      <c r="C67" s="691"/>
      <c r="D67" s="670"/>
      <c r="E67" s="670"/>
      <c r="F67" s="670"/>
      <c r="G67" s="691"/>
      <c r="H67" s="692"/>
      <c r="I67" s="692"/>
      <c r="J67" s="692"/>
      <c r="K67" s="692"/>
      <c r="L67" s="692"/>
      <c r="M67" s="693"/>
      <c r="N67" s="2166"/>
      <c r="O67" s="2166"/>
      <c r="P67" s="2167"/>
      <c r="Q67" s="2168"/>
      <c r="R67" s="2169"/>
      <c r="S67" s="2169"/>
      <c r="T67" s="2169"/>
      <c r="U67" s="2169"/>
      <c r="V67" s="2169"/>
      <c r="W67" s="2169"/>
      <c r="X67" s="2169"/>
      <c r="Y67" s="2169"/>
      <c r="Z67" s="2169"/>
      <c r="AA67" s="2169"/>
      <c r="AB67" s="2169"/>
      <c r="AC67" s="2169"/>
    </row>
    <row r="68" spans="1:29" s="1337" customFormat="1" ht="14.4" thickTop="1">
      <c r="A68" s="686"/>
      <c r="B68" s="680">
        <f>B14</f>
        <v>111</v>
      </c>
      <c r="C68" s="660"/>
      <c r="D68" s="660"/>
      <c r="E68" s="660"/>
      <c r="F68" s="660"/>
      <c r="G68" s="660"/>
      <c r="H68" s="694"/>
      <c r="I68" s="694"/>
      <c r="J68" s="694"/>
      <c r="K68" s="694"/>
      <c r="L68" s="695"/>
      <c r="M68" s="696"/>
      <c r="N68" s="2166"/>
      <c r="O68" s="2166"/>
      <c r="P68" s="2172"/>
      <c r="Q68" s="2168"/>
      <c r="R68" s="2169"/>
      <c r="S68" s="2169"/>
      <c r="T68" s="2169"/>
      <c r="U68" s="2169"/>
      <c r="V68" s="2169"/>
      <c r="W68" s="2169"/>
      <c r="X68" s="2169"/>
      <c r="Y68" s="2169"/>
      <c r="Z68" s="2169"/>
      <c r="AA68" s="2169"/>
      <c r="AB68" s="2169"/>
      <c r="AC68" s="2169"/>
    </row>
    <row r="69" spans="1:29" s="1337" customFormat="1" ht="14.4" thickBot="1">
      <c r="A69" s="697"/>
      <c r="B69" s="698"/>
      <c r="C69" s="699"/>
      <c r="D69" s="699"/>
      <c r="E69" s="699"/>
      <c r="F69" s="699"/>
      <c r="G69" s="699"/>
      <c r="H69" s="700"/>
      <c r="I69" s="700"/>
      <c r="J69" s="700"/>
      <c r="K69" s="700"/>
      <c r="L69" s="700"/>
      <c r="M69" s="701"/>
      <c r="N69" s="2166"/>
      <c r="O69" s="2166"/>
      <c r="P69" s="2167"/>
      <c r="Q69" s="2168"/>
      <c r="R69" s="2169"/>
      <c r="S69" s="2169"/>
      <c r="T69" s="2169"/>
      <c r="U69" s="2169"/>
      <c r="V69" s="2169"/>
      <c r="W69" s="2169"/>
      <c r="X69" s="2169"/>
      <c r="Y69" s="2169"/>
      <c r="Z69" s="2169"/>
      <c r="AA69" s="2169"/>
      <c r="AB69" s="2169"/>
      <c r="AC69" s="2169"/>
    </row>
    <row r="70" spans="1:29" ht="14.4">
      <c r="A70" s="663" t="s">
        <v>504</v>
      </c>
      <c r="B70" s="664" t="s">
        <v>550</v>
      </c>
      <c r="C70" s="702" t="s">
        <v>544</v>
      </c>
      <c r="D70" s="702" t="s">
        <v>545</v>
      </c>
      <c r="E70" s="702" t="s">
        <v>546</v>
      </c>
      <c r="F70" s="702" t="s">
        <v>547</v>
      </c>
      <c r="G70" s="702" t="s">
        <v>548</v>
      </c>
      <c r="H70" s="703"/>
      <c r="I70" s="703"/>
      <c r="J70" s="703"/>
      <c r="K70" s="704"/>
      <c r="L70" s="705"/>
      <c r="M70" s="706"/>
      <c r="N70" s="2163"/>
      <c r="O70" s="2163"/>
      <c r="P70" s="2173"/>
      <c r="Q70" s="2157"/>
      <c r="R70" s="2144"/>
      <c r="S70" s="2144"/>
      <c r="T70" s="2144"/>
      <c r="U70" s="2144"/>
      <c r="V70" s="2144"/>
      <c r="W70" s="2144"/>
      <c r="X70" s="2144"/>
      <c r="Y70" s="2144"/>
      <c r="Z70" s="2144"/>
      <c r="AA70" s="2144"/>
      <c r="AB70" s="2144"/>
      <c r="AC70" s="2144"/>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65"/>
      <c r="O71" s="2165"/>
      <c r="P71" s="2164"/>
      <c r="Q71" s="2157"/>
      <c r="R71" s="2144"/>
      <c r="S71" s="2144"/>
      <c r="T71" s="2144"/>
      <c r="U71" s="2144"/>
      <c r="V71" s="2144"/>
      <c r="W71" s="2144"/>
      <c r="X71" s="2144"/>
      <c r="Y71" s="2144"/>
      <c r="Z71" s="2144"/>
      <c r="AA71" s="2144"/>
      <c r="AB71" s="2144"/>
      <c r="AC71" s="2144"/>
    </row>
    <row r="72" spans="1:29" ht="15" thickTop="1">
      <c r="A72" s="668"/>
      <c r="B72" s="672" t="s">
        <v>551</v>
      </c>
      <c r="C72" s="707" t="s">
        <v>544</v>
      </c>
      <c r="D72" s="707" t="s">
        <v>545</v>
      </c>
      <c r="E72" s="707" t="s">
        <v>546</v>
      </c>
      <c r="F72" s="707" t="s">
        <v>547</v>
      </c>
      <c r="G72" s="707" t="s">
        <v>548</v>
      </c>
      <c r="H72" s="673"/>
      <c r="I72" s="673"/>
      <c r="J72" s="673"/>
      <c r="K72" s="674"/>
      <c r="L72" s="675"/>
      <c r="M72" s="676"/>
      <c r="N72" s="2163"/>
      <c r="O72" s="2163"/>
      <c r="P72" s="2164"/>
      <c r="Q72" s="2157"/>
      <c r="R72" s="2144"/>
      <c r="S72" s="2144"/>
      <c r="T72" s="2144"/>
      <c r="U72" s="2144"/>
      <c r="V72" s="2144"/>
      <c r="W72" s="2144"/>
      <c r="X72" s="2144"/>
      <c r="Y72" s="2144"/>
      <c r="Z72" s="2144"/>
      <c r="AA72" s="2144"/>
      <c r="AB72" s="2144"/>
      <c r="AC72" s="2144"/>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65"/>
      <c r="O73" s="2165"/>
      <c r="P73" s="2164"/>
      <c r="Q73" s="2157"/>
      <c r="R73" s="2144"/>
      <c r="S73" s="2144"/>
      <c r="T73" s="2144"/>
      <c r="U73" s="2144"/>
      <c r="V73" s="2144"/>
      <c r="W73" s="2144"/>
      <c r="X73" s="2144"/>
      <c r="Y73" s="2144"/>
      <c r="Z73" s="2144"/>
      <c r="AA73" s="2144"/>
      <c r="AB73" s="2144"/>
      <c r="AC73" s="2144"/>
    </row>
    <row r="74" spans="1:29" ht="15" thickTop="1">
      <c r="A74" s="668"/>
      <c r="B74" s="1895" t="s">
        <v>2519</v>
      </c>
      <c r="C74" s="707" t="s">
        <v>544</v>
      </c>
      <c r="D74" s="707" t="s">
        <v>545</v>
      </c>
      <c r="E74" s="707" t="s">
        <v>546</v>
      </c>
      <c r="F74" s="707" t="s">
        <v>547</v>
      </c>
      <c r="G74" s="707" t="s">
        <v>548</v>
      </c>
      <c r="H74" s="673"/>
      <c r="I74" s="673"/>
      <c r="J74" s="673"/>
      <c r="K74" s="674"/>
      <c r="L74" s="675"/>
      <c r="M74" s="676"/>
      <c r="N74" s="2163"/>
      <c r="O74" s="2163"/>
      <c r="P74" s="2164"/>
      <c r="Q74" s="2157"/>
      <c r="R74" s="2144"/>
      <c r="S74" s="2144"/>
      <c r="T74" s="2144"/>
      <c r="U74" s="2144"/>
      <c r="V74" s="2144"/>
      <c r="W74" s="2144"/>
      <c r="X74" s="2144"/>
      <c r="Y74" s="2144"/>
      <c r="Z74" s="2144"/>
      <c r="AA74" s="2144"/>
      <c r="AB74" s="2144"/>
      <c r="AC74" s="2144"/>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65"/>
      <c r="O75" s="2165"/>
      <c r="P75" s="2164"/>
      <c r="Q75" s="2157"/>
      <c r="R75" s="2144"/>
      <c r="S75" s="2144"/>
      <c r="T75" s="2144"/>
      <c r="U75" s="2144"/>
      <c r="V75" s="2144"/>
      <c r="W75" s="2144"/>
      <c r="X75" s="2144"/>
      <c r="Y75" s="2144"/>
      <c r="Z75" s="2144"/>
      <c r="AA75" s="2144"/>
      <c r="AB75" s="2144"/>
      <c r="AC75" s="2144"/>
    </row>
    <row r="76" spans="1:29" ht="15" thickTop="1">
      <c r="A76" s="668"/>
      <c r="B76" s="2596" t="s">
        <v>2520</v>
      </c>
      <c r="C76" s="2597" t="s">
        <v>2521</v>
      </c>
      <c r="D76" s="2597" t="s">
        <v>2522</v>
      </c>
      <c r="E76" s="2597" t="s">
        <v>2523</v>
      </c>
      <c r="F76" s="2597" t="s">
        <v>2524</v>
      </c>
      <c r="G76" s="2597" t="s">
        <v>2525</v>
      </c>
      <c r="H76" s="933"/>
      <c r="I76" s="933"/>
      <c r="J76" s="933"/>
      <c r="K76" s="933"/>
      <c r="L76" s="933"/>
      <c r="M76" s="558"/>
      <c r="N76" s="2165"/>
      <c r="O76" s="2165"/>
      <c r="P76" s="2164"/>
      <c r="Q76" s="2157"/>
      <c r="R76" s="2144"/>
      <c r="S76" s="2144"/>
      <c r="T76" s="2144"/>
      <c r="U76" s="2144"/>
      <c r="V76" s="2144"/>
      <c r="W76" s="2144"/>
      <c r="X76" s="2144"/>
      <c r="Y76" s="2144"/>
      <c r="Z76" s="2144"/>
      <c r="AA76" s="2144"/>
      <c r="AB76" s="2144"/>
      <c r="AC76" s="2144"/>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 thickTop="1">
      <c r="A78" s="668"/>
      <c r="B78" s="672" t="s">
        <v>749</v>
      </c>
      <c r="C78" s="707" t="s">
        <v>544</v>
      </c>
      <c r="D78" s="707" t="s">
        <v>545</v>
      </c>
      <c r="E78" s="707" t="s">
        <v>546</v>
      </c>
      <c r="F78" s="707" t="s">
        <v>547</v>
      </c>
      <c r="G78" s="707" t="s">
        <v>548</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s="1218" customFormat="1" ht="14.4" thickTop="1">
      <c r="A80" s="708"/>
      <c r="B80" s="672">
        <f>B25</f>
        <v>111</v>
      </c>
      <c r="C80" s="687"/>
      <c r="D80" s="687"/>
      <c r="E80" s="687"/>
      <c r="F80" s="687"/>
      <c r="G80" s="687"/>
      <c r="H80" s="687"/>
      <c r="I80" s="687"/>
      <c r="J80" s="687"/>
      <c r="K80" s="687"/>
      <c r="L80" s="888"/>
      <c r="M80" s="889"/>
      <c r="N80" s="2161"/>
      <c r="O80" s="2161"/>
      <c r="P80" s="2164"/>
      <c r="Q80" s="2157"/>
      <c r="R80" s="1992"/>
      <c r="S80" s="1992"/>
      <c r="T80" s="1992"/>
      <c r="U80" s="1992"/>
      <c r="V80" s="1992"/>
      <c r="W80" s="1992"/>
      <c r="X80" s="1992"/>
      <c r="Y80" s="1992"/>
      <c r="Z80" s="1992"/>
      <c r="AA80" s="1992"/>
      <c r="AB80" s="1992"/>
      <c r="AC80" s="1992"/>
    </row>
    <row r="81" spans="1:29" s="1218" customFormat="1" ht="14.4" thickBot="1">
      <c r="A81" s="708"/>
      <c r="B81" s="677"/>
      <c r="C81" s="691"/>
      <c r="D81" s="670"/>
      <c r="E81" s="670"/>
      <c r="F81" s="670"/>
      <c r="G81" s="670"/>
      <c r="H81" s="670"/>
      <c r="I81" s="670"/>
      <c r="J81" s="670"/>
      <c r="K81" s="670"/>
      <c r="L81" s="670"/>
      <c r="M81" s="671"/>
      <c r="N81" s="2165"/>
      <c r="O81" s="2165"/>
      <c r="P81" s="2164"/>
      <c r="Q81" s="2157"/>
      <c r="R81" s="1992"/>
      <c r="S81" s="1992"/>
      <c r="T81" s="1992"/>
      <c r="U81" s="1992"/>
      <c r="V81" s="1992"/>
      <c r="W81" s="1992"/>
      <c r="X81" s="1992"/>
      <c r="Y81" s="1992"/>
      <c r="Z81" s="1992"/>
      <c r="AA81" s="1992"/>
      <c r="AB81" s="1992"/>
      <c r="AC81" s="1992"/>
    </row>
    <row r="82" spans="1:29" s="1218" customFormat="1" ht="14.4" thickTop="1">
      <c r="A82" s="708"/>
      <c r="B82" s="672">
        <f>B26</f>
        <v>111</v>
      </c>
      <c r="C82" s="687"/>
      <c r="D82" s="687"/>
      <c r="E82" s="687"/>
      <c r="F82" s="687"/>
      <c r="G82" s="687"/>
      <c r="H82" s="687"/>
      <c r="I82" s="687"/>
      <c r="J82" s="687"/>
      <c r="K82" s="687"/>
      <c r="L82" s="888"/>
      <c r="M82" s="889"/>
      <c r="N82" s="2161"/>
      <c r="O82" s="2161"/>
      <c r="P82" s="2164"/>
      <c r="Q82" s="2157"/>
      <c r="R82" s="1992"/>
      <c r="S82" s="1992"/>
      <c r="T82" s="1992"/>
      <c r="U82" s="1992"/>
      <c r="V82" s="1992"/>
      <c r="W82" s="1992"/>
      <c r="X82" s="1992"/>
      <c r="Y82" s="1992"/>
      <c r="Z82" s="1992"/>
      <c r="AA82" s="1992"/>
      <c r="AB82" s="1992"/>
      <c r="AC82" s="1992"/>
    </row>
    <row r="83" spans="1:29" s="1218" customFormat="1" ht="14.4" thickBot="1">
      <c r="A83" s="708"/>
      <c r="B83" s="677"/>
      <c r="C83" s="691"/>
      <c r="D83" s="670"/>
      <c r="E83" s="670"/>
      <c r="F83" s="670"/>
      <c r="G83" s="670"/>
      <c r="H83" s="670"/>
      <c r="I83" s="670"/>
      <c r="J83" s="670"/>
      <c r="K83" s="670"/>
      <c r="L83" s="670"/>
      <c r="M83" s="671"/>
      <c r="N83" s="2165"/>
      <c r="O83" s="2165"/>
      <c r="P83" s="2164"/>
      <c r="Q83" s="2157"/>
      <c r="R83" s="1992"/>
      <c r="S83" s="1992"/>
      <c r="T83" s="1992"/>
      <c r="U83" s="1992"/>
      <c r="V83" s="1992"/>
      <c r="W83" s="1992"/>
      <c r="X83" s="1992"/>
      <c r="Y83" s="1992"/>
      <c r="Z83" s="1992"/>
      <c r="AA83" s="1992"/>
      <c r="AB83" s="1992"/>
      <c r="AC83" s="1992"/>
    </row>
    <row r="84" spans="1:29" s="1337" customFormat="1" ht="14.4" thickTop="1">
      <c r="A84" s="686"/>
      <c r="B84" s="672">
        <f>B27</f>
        <v>111</v>
      </c>
      <c r="C84" s="687"/>
      <c r="D84" s="687"/>
      <c r="E84" s="687"/>
      <c r="F84" s="687"/>
      <c r="G84" s="687"/>
      <c r="H84" s="687"/>
      <c r="I84" s="687"/>
      <c r="J84" s="687"/>
      <c r="K84" s="687"/>
      <c r="L84" s="888"/>
      <c r="M84" s="889"/>
      <c r="N84" s="2166"/>
      <c r="O84" s="2166"/>
      <c r="P84" s="2167"/>
      <c r="Q84" s="2168"/>
      <c r="R84" s="2169"/>
      <c r="S84" s="2169"/>
      <c r="T84" s="2169"/>
      <c r="U84" s="2169"/>
      <c r="V84" s="2169"/>
      <c r="W84" s="2169"/>
      <c r="X84" s="2169"/>
      <c r="Y84" s="2169"/>
      <c r="Z84" s="2169"/>
      <c r="AA84" s="2169"/>
      <c r="AB84" s="2169"/>
      <c r="AC84" s="2169"/>
    </row>
    <row r="85" spans="1:29" s="1337" customFormat="1" ht="14.4" thickBot="1">
      <c r="A85" s="686"/>
      <c r="B85" s="677"/>
      <c r="C85" s="691"/>
      <c r="D85" s="670"/>
      <c r="E85" s="670"/>
      <c r="F85" s="670"/>
      <c r="G85" s="670"/>
      <c r="H85" s="670"/>
      <c r="I85" s="670"/>
      <c r="J85" s="670"/>
      <c r="K85" s="670"/>
      <c r="L85" s="670"/>
      <c r="M85" s="671"/>
      <c r="N85" s="2166"/>
      <c r="O85" s="2166"/>
      <c r="P85" s="2167"/>
      <c r="Q85" s="2168"/>
      <c r="R85" s="2169"/>
      <c r="S85" s="2169"/>
      <c r="T85" s="2169"/>
      <c r="U85" s="2169"/>
      <c r="V85" s="2169"/>
      <c r="W85" s="2169"/>
      <c r="X85" s="2169"/>
      <c r="Y85" s="2169"/>
      <c r="Z85" s="2169"/>
      <c r="AA85" s="2169"/>
      <c r="AB85" s="2169"/>
      <c r="AC85" s="2169"/>
    </row>
    <row r="86" spans="1:29" ht="14.4" thickTop="1">
      <c r="A86" s="668"/>
      <c r="B86" s="680">
        <f>B28</f>
        <v>111</v>
      </c>
      <c r="C86" s="660"/>
      <c r="D86" s="660"/>
      <c r="E86" s="660"/>
      <c r="F86" s="660"/>
      <c r="G86" s="721"/>
      <c r="H86" s="721"/>
      <c r="I86" s="721"/>
      <c r="J86" s="721"/>
      <c r="K86" s="722"/>
      <c r="L86" s="723"/>
      <c r="M86" s="724"/>
      <c r="N86" s="2163"/>
      <c r="O86" s="2163"/>
      <c r="P86" s="2164"/>
      <c r="Q86" s="2157"/>
      <c r="R86" s="2144"/>
      <c r="S86" s="2144"/>
      <c r="T86" s="2144"/>
      <c r="U86" s="2144"/>
      <c r="V86" s="2144"/>
      <c r="W86" s="2144"/>
      <c r="X86" s="2144"/>
      <c r="Y86" s="2144"/>
      <c r="Z86" s="2144"/>
      <c r="AA86" s="2144"/>
      <c r="AB86" s="2144"/>
      <c r="AC86" s="2144"/>
    </row>
    <row r="87" spans="1:29" ht="14.4" thickBot="1">
      <c r="A87" s="891"/>
      <c r="B87" s="698"/>
      <c r="C87" s="699"/>
      <c r="D87" s="699"/>
      <c r="E87" s="699"/>
      <c r="F87" s="699"/>
      <c r="G87" s="725"/>
      <c r="H87" s="725"/>
      <c r="I87" s="725"/>
      <c r="J87" s="725"/>
      <c r="K87" s="725"/>
      <c r="L87" s="725"/>
      <c r="M87" s="726"/>
      <c r="N87" s="2165"/>
      <c r="O87" s="2165"/>
      <c r="P87" s="2164"/>
      <c r="Q87" s="2157"/>
      <c r="R87" s="2144"/>
      <c r="S87" s="2144"/>
      <c r="T87" s="2144"/>
      <c r="U87" s="2144"/>
      <c r="V87" s="2144"/>
      <c r="W87" s="2144"/>
      <c r="X87" s="2144"/>
      <c r="Y87" s="2144"/>
      <c r="Z87" s="2144"/>
      <c r="AA87" s="2144"/>
      <c r="AB87" s="2144"/>
      <c r="AC87" s="2144"/>
    </row>
    <row r="88" spans="1:29" ht="14.4">
      <c r="A88" s="663" t="s">
        <v>516</v>
      </c>
      <c r="B88" s="664" t="s">
        <v>712</v>
      </c>
      <c r="C88" s="597"/>
      <c r="D88" s="597"/>
      <c r="E88" s="597"/>
      <c r="F88" s="597"/>
      <c r="G88" s="597"/>
      <c r="H88" s="597"/>
      <c r="I88" s="597"/>
      <c r="J88" s="597"/>
      <c r="K88" s="665"/>
      <c r="L88" s="666"/>
      <c r="M88" s="667"/>
      <c r="N88" s="2163"/>
      <c r="O88" s="2163"/>
      <c r="P88" s="2164"/>
      <c r="Q88" s="2157"/>
      <c r="R88" s="2144"/>
      <c r="S88" s="2144"/>
      <c r="T88" s="2144"/>
      <c r="U88" s="2144"/>
      <c r="V88" s="2144"/>
      <c r="W88" s="2144"/>
      <c r="X88" s="2144"/>
      <c r="Y88" s="2144"/>
      <c r="Z88" s="2144"/>
      <c r="AA88" s="2144"/>
      <c r="AB88" s="2144"/>
      <c r="AC88" s="2144"/>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5"/>
      <c r="O89" s="2165"/>
      <c r="P89" s="2164"/>
      <c r="Q89" s="2157"/>
      <c r="R89" s="2144"/>
      <c r="S89" s="2144"/>
      <c r="T89" s="2144"/>
      <c r="U89" s="2144"/>
      <c r="V89" s="2144"/>
      <c r="W89" s="2144"/>
      <c r="X89" s="2144"/>
      <c r="Y89" s="2144"/>
      <c r="Z89" s="2144"/>
      <c r="AA89" s="2144"/>
      <c r="AB89" s="2144"/>
      <c r="AC89" s="2144"/>
    </row>
    <row r="90" spans="1:29" ht="15" thickTop="1">
      <c r="A90" s="668"/>
      <c r="B90" s="672" t="s">
        <v>713</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1"/>
      <c r="O90" s="2161"/>
      <c r="P90" s="2164"/>
      <c r="Q90" s="2157"/>
      <c r="R90" s="2144"/>
      <c r="S90" s="2144"/>
      <c r="T90" s="2144"/>
      <c r="U90" s="2144"/>
      <c r="V90" s="2144"/>
      <c r="W90" s="2144"/>
      <c r="X90" s="2144"/>
      <c r="Y90" s="2144"/>
      <c r="Z90" s="2144"/>
      <c r="AA90" s="2144"/>
      <c r="AB90" s="2144"/>
      <c r="AC90" s="2144"/>
    </row>
    <row r="91" spans="1:29" s="1337" customFormat="1">
      <c r="A91" s="727"/>
      <c r="B91" s="728"/>
      <c r="C91" s="729"/>
      <c r="D91" s="729"/>
      <c r="E91" s="729"/>
      <c r="F91" s="729"/>
      <c r="G91" s="729"/>
      <c r="H91" s="729"/>
      <c r="I91" s="729"/>
      <c r="J91" s="730"/>
      <c r="K91" s="730"/>
      <c r="L91" s="731"/>
      <c r="M91" s="732"/>
      <c r="N91" s="2166"/>
      <c r="O91" s="2166"/>
      <c r="P91" s="2167"/>
      <c r="Q91" s="2168"/>
      <c r="R91" s="2169"/>
      <c r="S91" s="2169"/>
      <c r="T91" s="2169"/>
      <c r="U91" s="2169"/>
      <c r="V91" s="2169"/>
      <c r="W91" s="2169"/>
      <c r="X91" s="2169"/>
      <c r="Y91" s="2169"/>
      <c r="Z91" s="2169"/>
      <c r="AA91" s="2169"/>
      <c r="AB91" s="2169"/>
      <c r="AC91" s="2169"/>
    </row>
    <row r="92" spans="1:29" s="1337" customFormat="1" ht="14.4" thickBot="1">
      <c r="A92" s="686"/>
      <c r="B92" s="677"/>
      <c r="C92" s="691"/>
      <c r="D92" s="670"/>
      <c r="E92" s="670"/>
      <c r="F92" s="670"/>
      <c r="G92" s="670"/>
      <c r="H92" s="670"/>
      <c r="I92" s="670"/>
      <c r="J92" s="670"/>
      <c r="K92" s="670"/>
      <c r="L92" s="670"/>
      <c r="M92" s="671"/>
      <c r="N92" s="2165"/>
      <c r="O92" s="2165"/>
      <c r="P92" s="2167"/>
      <c r="Q92" s="2168"/>
      <c r="R92" s="2169"/>
      <c r="S92" s="2169"/>
      <c r="T92" s="2169"/>
      <c r="U92" s="2169"/>
      <c r="V92" s="2169"/>
      <c r="W92" s="2169"/>
      <c r="X92" s="2169"/>
      <c r="Y92" s="2169"/>
      <c r="Z92" s="2169"/>
      <c r="AA92" s="2169"/>
      <c r="AB92" s="2169"/>
      <c r="AC92" s="2169"/>
    </row>
    <row r="93" spans="1:29" ht="15" thickTop="1">
      <c r="A93" s="734"/>
      <c r="B93" s="672" t="s">
        <v>714</v>
      </c>
      <c r="C93" s="687"/>
      <c r="D93" s="687"/>
      <c r="E93" s="717"/>
      <c r="F93" s="717"/>
      <c r="G93" s="717"/>
      <c r="H93" s="717"/>
      <c r="I93" s="717"/>
      <c r="J93" s="717"/>
      <c r="K93" s="718"/>
      <c r="L93" s="719"/>
      <c r="M93" s="720"/>
      <c r="N93" s="2163"/>
      <c r="O93" s="2163"/>
      <c r="P93" s="2164"/>
      <c r="Q93" s="2157"/>
      <c r="R93" s="2144"/>
      <c r="S93" s="2144"/>
      <c r="T93" s="2144"/>
      <c r="U93" s="2144"/>
      <c r="V93" s="2144"/>
      <c r="W93" s="2144"/>
      <c r="X93" s="2144"/>
      <c r="Y93" s="2144"/>
      <c r="Z93" s="2144"/>
      <c r="AA93" s="2144"/>
      <c r="AB93" s="2144"/>
      <c r="AC93" s="2144"/>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4"/>
      <c r="B95" s="672" t="s">
        <v>716</v>
      </c>
      <c r="C95" s="687"/>
      <c r="D95" s="687"/>
      <c r="E95" s="687"/>
      <c r="F95" s="717"/>
      <c r="G95" s="717"/>
      <c r="H95" s="717"/>
      <c r="I95" s="717"/>
      <c r="J95" s="717"/>
      <c r="K95" s="718"/>
      <c r="L95" s="719"/>
      <c r="M95" s="720"/>
      <c r="N95" s="2163"/>
      <c r="O95" s="2163"/>
      <c r="P95" s="2164"/>
      <c r="Q95" s="2157"/>
      <c r="R95" s="2144"/>
      <c r="S95" s="2144"/>
      <c r="T95" s="2144"/>
      <c r="U95" s="2144"/>
      <c r="V95" s="2144"/>
      <c r="W95" s="2144"/>
      <c r="X95" s="2144"/>
      <c r="Y95" s="2144"/>
      <c r="Z95" s="2144"/>
      <c r="AA95" s="2144"/>
      <c r="AB95" s="2144"/>
      <c r="AC95" s="2144"/>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4"/>
      <c r="B97" s="672" t="s">
        <v>717</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3"/>
      <c r="O97" s="2163"/>
      <c r="P97" s="2164"/>
      <c r="Q97" s="2157"/>
      <c r="R97" s="2144"/>
      <c r="S97" s="2144"/>
      <c r="T97" s="2144"/>
      <c r="U97" s="2144"/>
      <c r="V97" s="2144"/>
      <c r="W97" s="2144"/>
      <c r="X97" s="2144"/>
      <c r="Y97" s="2144"/>
      <c r="Z97" s="2144"/>
      <c r="AA97" s="2144"/>
      <c r="AB97" s="2144"/>
      <c r="AC97" s="2144"/>
    </row>
    <row r="98" spans="1:29">
      <c r="A98" s="734"/>
      <c r="B98" s="680"/>
      <c r="C98" s="892">
        <v>0.5</v>
      </c>
      <c r="D98" s="892">
        <v>0.6</v>
      </c>
      <c r="E98" s="892">
        <v>0.7</v>
      </c>
      <c r="F98" s="892">
        <v>0.8</v>
      </c>
      <c r="G98" s="892">
        <v>0.9</v>
      </c>
      <c r="H98" s="892">
        <v>1.0001</v>
      </c>
      <c r="I98" s="903"/>
      <c r="J98" s="903"/>
      <c r="K98" s="904"/>
      <c r="L98" s="905"/>
      <c r="M98" s="906"/>
      <c r="N98" s="2163"/>
      <c r="O98" s="2163"/>
      <c r="P98" s="2164"/>
      <c r="Q98" s="2157"/>
      <c r="R98" s="2144"/>
      <c r="S98" s="2144"/>
      <c r="T98" s="2144"/>
      <c r="U98" s="2144"/>
      <c r="V98" s="2144"/>
      <c r="W98" s="2144"/>
      <c r="X98" s="2144"/>
      <c r="Y98" s="2144"/>
      <c r="Z98" s="2144"/>
      <c r="AA98" s="2144"/>
      <c r="AB98" s="2144"/>
      <c r="AC98" s="2144"/>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5"/>
      <c r="O99" s="2165"/>
      <c r="P99" s="2164"/>
      <c r="Q99" s="2157"/>
      <c r="R99" s="2144"/>
      <c r="S99" s="2144"/>
      <c r="T99" s="2144"/>
      <c r="U99" s="2144"/>
      <c r="V99" s="2144"/>
      <c r="W99" s="2144"/>
      <c r="X99" s="2144"/>
      <c r="Y99" s="2144"/>
      <c r="Z99" s="2144"/>
      <c r="AA99" s="2144"/>
      <c r="AB99" s="2144"/>
      <c r="AC99" s="2144"/>
    </row>
    <row r="100" spans="1:29" s="1337" customFormat="1" ht="15" thickTop="1">
      <c r="A100" s="727"/>
      <c r="B100" s="672" t="s">
        <v>718</v>
      </c>
      <c r="C100" s="687"/>
      <c r="D100" s="687"/>
      <c r="E100" s="687"/>
      <c r="F100" s="687"/>
      <c r="G100" s="687"/>
      <c r="H100" s="717"/>
      <c r="I100" s="717"/>
      <c r="J100" s="717"/>
      <c r="K100" s="718"/>
      <c r="L100" s="719"/>
      <c r="M100" s="720"/>
      <c r="N100" s="2166"/>
      <c r="O100" s="2166"/>
      <c r="P100" s="2167"/>
      <c r="Q100" s="2168"/>
      <c r="R100" s="2169"/>
      <c r="S100" s="2169"/>
      <c r="T100" s="2169"/>
      <c r="U100" s="2169"/>
      <c r="V100" s="2169"/>
      <c r="W100" s="2169"/>
      <c r="X100" s="2169"/>
      <c r="Y100" s="2169"/>
      <c r="Z100" s="2169"/>
      <c r="AA100" s="2169"/>
      <c r="AB100" s="2169"/>
      <c r="AC100" s="2169"/>
    </row>
    <row r="101" spans="1:29" s="1337"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4"/>
      <c r="B102" s="1895" t="s">
        <v>2518</v>
      </c>
      <c r="C102" s="687"/>
      <c r="D102" s="687"/>
      <c r="E102" s="687"/>
      <c r="F102" s="687"/>
      <c r="G102" s="687"/>
      <c r="H102" s="717"/>
      <c r="I102" s="717"/>
      <c r="J102" s="717"/>
      <c r="K102" s="718"/>
      <c r="L102" s="719"/>
      <c r="M102" s="720"/>
      <c r="N102" s="2163"/>
      <c r="O102" s="2163"/>
      <c r="P102" s="2164"/>
      <c r="Q102" s="2157"/>
      <c r="R102" s="2144"/>
      <c r="S102" s="2144"/>
      <c r="T102" s="2144"/>
      <c r="U102" s="2144"/>
      <c r="V102" s="2144"/>
      <c r="W102" s="2144"/>
      <c r="X102" s="2144"/>
      <c r="Y102" s="2144"/>
      <c r="Z102" s="2144"/>
      <c r="AA102" s="2144"/>
      <c r="AB102" s="2144"/>
      <c r="AC102" s="2144"/>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4"/>
      <c r="B104" s="672" t="s">
        <v>720</v>
      </c>
      <c r="C104" s="687"/>
      <c r="D104" s="687"/>
      <c r="E104" s="687"/>
      <c r="F104" s="687"/>
      <c r="G104" s="687"/>
      <c r="H104" s="717"/>
      <c r="I104" s="717"/>
      <c r="J104" s="717"/>
      <c r="K104" s="718"/>
      <c r="L104" s="719"/>
      <c r="M104" s="720"/>
      <c r="N104" s="2163"/>
      <c r="O104" s="2163"/>
      <c r="P104" s="2164"/>
      <c r="Q104" s="2157"/>
      <c r="R104" s="2144"/>
      <c r="S104" s="2144"/>
      <c r="T104" s="2144"/>
      <c r="U104" s="2144"/>
      <c r="V104" s="2144"/>
      <c r="W104" s="2144"/>
      <c r="X104" s="2144"/>
      <c r="Y104" s="2144"/>
      <c r="Z104" s="2144"/>
      <c r="AA104" s="2144"/>
      <c r="AB104" s="2144"/>
      <c r="AC104" s="2144"/>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65"/>
      <c r="O105" s="2165"/>
      <c r="P105" s="2164"/>
      <c r="Q105" s="2157"/>
      <c r="R105" s="2144"/>
      <c r="S105" s="2144"/>
      <c r="T105" s="2144"/>
      <c r="U105" s="2144"/>
      <c r="V105" s="2144"/>
      <c r="W105" s="2144"/>
      <c r="X105" s="2144"/>
      <c r="Y105" s="2144"/>
      <c r="Z105" s="2144"/>
      <c r="AA105" s="2144"/>
      <c r="AB105" s="2144"/>
      <c r="AC105" s="2144"/>
    </row>
    <row r="106" spans="1:29" ht="29.4" thickTop="1">
      <c r="A106" s="734"/>
      <c r="B106" s="915" t="s">
        <v>756</v>
      </c>
      <c r="C106" s="707" t="s">
        <v>544</v>
      </c>
      <c r="D106" s="707" t="s">
        <v>545</v>
      </c>
      <c r="E106" s="707" t="s">
        <v>546</v>
      </c>
      <c r="F106" s="707" t="s">
        <v>547</v>
      </c>
      <c r="G106" s="707" t="s">
        <v>548</v>
      </c>
      <c r="H106" s="673"/>
      <c r="I106" s="673"/>
      <c r="J106" s="673"/>
      <c r="K106" s="674"/>
      <c r="L106" s="675"/>
      <c r="M106" s="676"/>
      <c r="N106" s="2165"/>
      <c r="O106" s="2165"/>
      <c r="P106" s="2204"/>
      <c r="Q106" s="2205"/>
      <c r="R106" s="2144"/>
      <c r="S106" s="2144"/>
      <c r="T106" s="2144"/>
      <c r="U106" s="2144"/>
      <c r="V106" s="2144"/>
      <c r="W106" s="2144"/>
      <c r="X106" s="2144"/>
      <c r="Y106" s="2144"/>
      <c r="Z106" s="2144"/>
      <c r="AA106" s="2144"/>
      <c r="AB106" s="2144"/>
      <c r="AC106" s="2144"/>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5"/>
      <c r="O107" s="2165"/>
      <c r="P107" s="2164"/>
      <c r="Q107" s="2157"/>
      <c r="R107" s="2144"/>
      <c r="S107" s="2144"/>
      <c r="T107" s="2144"/>
      <c r="U107" s="2144"/>
      <c r="V107" s="2144"/>
      <c r="W107" s="2144"/>
      <c r="X107" s="2144"/>
      <c r="Y107" s="2144"/>
      <c r="Z107" s="2144"/>
      <c r="AA107" s="2144"/>
      <c r="AB107" s="2144"/>
      <c r="AC107" s="2144"/>
    </row>
    <row r="108" spans="1:29" s="1337" customFormat="1" ht="14.4" thickTop="1">
      <c r="A108" s="727"/>
      <c r="B108" s="672">
        <f>B38</f>
        <v>111</v>
      </c>
      <c r="C108" s="687"/>
      <c r="D108" s="687"/>
      <c r="E108" s="687"/>
      <c r="F108" s="687"/>
      <c r="G108" s="687"/>
      <c r="H108" s="688"/>
      <c r="I108" s="688"/>
      <c r="J108" s="688"/>
      <c r="K108" s="688"/>
      <c r="L108" s="689"/>
      <c r="M108" s="690"/>
      <c r="N108" s="2166"/>
      <c r="O108" s="2166"/>
      <c r="P108" s="2167"/>
      <c r="Q108" s="2168"/>
      <c r="R108" s="2169"/>
      <c r="S108" s="2169"/>
      <c r="T108" s="2169"/>
      <c r="U108" s="2169"/>
      <c r="V108" s="2169"/>
      <c r="W108" s="2169"/>
      <c r="X108" s="2169"/>
      <c r="Y108" s="2169"/>
      <c r="Z108" s="2169"/>
      <c r="AA108" s="2169"/>
      <c r="AB108" s="2169"/>
      <c r="AC108" s="2169"/>
    </row>
    <row r="109" spans="1:29" s="1337" customFormat="1" ht="14.4" thickBot="1">
      <c r="A109" s="686"/>
      <c r="B109" s="669"/>
      <c r="C109" s="691"/>
      <c r="D109" s="670"/>
      <c r="E109" s="670"/>
      <c r="F109" s="670"/>
      <c r="G109" s="691"/>
      <c r="H109" s="692"/>
      <c r="I109" s="692"/>
      <c r="J109" s="692"/>
      <c r="K109" s="692"/>
      <c r="L109" s="692"/>
      <c r="M109" s="693"/>
      <c r="N109" s="2166"/>
      <c r="O109" s="2166"/>
      <c r="P109" s="2167"/>
      <c r="Q109" s="2168"/>
      <c r="R109" s="2169"/>
      <c r="S109" s="2169"/>
      <c r="T109" s="2169"/>
      <c r="U109" s="2169"/>
      <c r="V109" s="2169"/>
      <c r="W109" s="2169"/>
      <c r="X109" s="2169"/>
      <c r="Y109" s="2169"/>
      <c r="Z109" s="2169"/>
      <c r="AA109" s="2169"/>
      <c r="AB109" s="2169"/>
      <c r="AC109" s="2169"/>
    </row>
    <row r="110" spans="1:29" ht="14.4" thickTop="1">
      <c r="A110" s="734"/>
      <c r="B110" s="672">
        <f>B39</f>
        <v>111</v>
      </c>
      <c r="C110" s="687"/>
      <c r="D110" s="687"/>
      <c r="E110" s="687"/>
      <c r="F110" s="687"/>
      <c r="G110" s="687"/>
      <c r="H110" s="688"/>
      <c r="I110" s="688"/>
      <c r="J110" s="688"/>
      <c r="K110" s="688"/>
      <c r="L110" s="689"/>
      <c r="M110" s="690"/>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691"/>
      <c r="D111" s="670"/>
      <c r="E111" s="670"/>
      <c r="F111" s="670"/>
      <c r="G111" s="691"/>
      <c r="H111" s="692"/>
      <c r="I111" s="692"/>
      <c r="J111" s="692"/>
      <c r="K111" s="692"/>
      <c r="L111" s="692"/>
      <c r="M111" s="693"/>
      <c r="N111" s="2165"/>
      <c r="O111" s="2165"/>
      <c r="P111" s="2164"/>
      <c r="Q111" s="2157"/>
      <c r="R111" s="2144"/>
      <c r="S111" s="2144"/>
      <c r="T111" s="2144"/>
      <c r="U111" s="2144"/>
      <c r="V111" s="2144"/>
      <c r="W111" s="2144"/>
      <c r="X111" s="2144"/>
      <c r="Y111" s="2144"/>
      <c r="Z111" s="2144"/>
      <c r="AA111" s="2144"/>
      <c r="AB111" s="2144"/>
      <c r="AC111" s="2144"/>
    </row>
    <row r="112" spans="1:29" ht="14.4" thickTop="1">
      <c r="A112" s="734"/>
      <c r="B112" s="680">
        <f>B40</f>
        <v>111</v>
      </c>
      <c r="C112" s="660"/>
      <c r="D112" s="660"/>
      <c r="E112" s="660"/>
      <c r="F112" s="660"/>
      <c r="G112" s="721"/>
      <c r="H112" s="721"/>
      <c r="I112" s="721"/>
      <c r="J112" s="721"/>
      <c r="K112" s="660"/>
      <c r="L112" s="661"/>
      <c r="M112" s="724"/>
      <c r="N112" s="2163"/>
      <c r="O112" s="2163"/>
      <c r="P112" s="2164"/>
      <c r="Q112" s="2157"/>
      <c r="R112" s="2144"/>
      <c r="S112" s="2144"/>
      <c r="T112" s="2144"/>
      <c r="U112" s="2144"/>
      <c r="V112" s="2144"/>
      <c r="W112" s="2144"/>
      <c r="X112" s="2144"/>
      <c r="Y112" s="2144"/>
      <c r="Z112" s="2144"/>
      <c r="AA112" s="2144"/>
      <c r="AB112" s="2144"/>
      <c r="AC112" s="2144"/>
    </row>
    <row r="113" spans="1:29" ht="14.4" thickBot="1">
      <c r="A113" s="891"/>
      <c r="B113" s="698"/>
      <c r="C113" s="699"/>
      <c r="D113" s="699"/>
      <c r="E113" s="699"/>
      <c r="F113" s="699"/>
      <c r="G113" s="725"/>
      <c r="H113" s="725"/>
      <c r="I113" s="725"/>
      <c r="J113" s="725"/>
      <c r="K113" s="725"/>
      <c r="L113" s="725"/>
      <c r="M113" s="726"/>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683</v>
      </c>
      <c r="B1" s="921"/>
      <c r="C1" s="503" t="s">
        <v>757</v>
      </c>
      <c r="D1" s="848"/>
      <c r="E1" s="505"/>
      <c r="F1" s="2806"/>
      <c r="G1" s="1599" t="s">
        <v>758</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2" t="s">
        <v>759</v>
      </c>
      <c r="B2" s="849" t="e">
        <f>IF(B37="元/平方米",ROUND(B3*D3/10000,0),ROUND(F3*C39/10000,0))</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thickBot="1">
      <c r="A3" s="508" t="s">
        <v>760</v>
      </c>
      <c r="B3" s="509" t="e">
        <f>IF(B37="元/平方米",C39,ROUND(B2*10000/D3,0))</f>
        <v>#DIV/0!</v>
      </c>
      <c r="C3" s="851" t="s">
        <v>761</v>
      </c>
      <c r="D3" s="850">
        <f>SUMIF('数据-汇总表'!$C19:$C33,D1,'数据-汇总表'!$E19:$E33)</f>
        <v>0</v>
      </c>
      <c r="E3" s="1847" t="s">
        <v>2038</v>
      </c>
      <c r="F3" s="850">
        <f>SUMIF('数据-取费表'!A5:A15,D1,'数据-取费表'!AH5:AH15)</f>
        <v>0</v>
      </c>
      <c r="G3" s="2127"/>
      <c r="H3" s="2127"/>
      <c r="I3" s="2127"/>
      <c r="J3" s="2127"/>
      <c r="K3" s="2129"/>
      <c r="L3" s="2130"/>
      <c r="M3" s="2131"/>
      <c r="N3" s="2131"/>
      <c r="O3" s="2131"/>
      <c r="P3" s="1562"/>
      <c r="Q3" s="1562"/>
      <c r="R3" s="1562"/>
      <c r="S3" s="1562"/>
      <c r="T3" s="1562"/>
      <c r="U3" s="1562"/>
      <c r="V3" s="1562"/>
      <c r="W3" s="1562"/>
      <c r="X3" s="1562"/>
      <c r="Y3" s="1562"/>
      <c r="Z3" s="1562"/>
      <c r="AA3" s="1562"/>
      <c r="AB3" s="1564"/>
      <c r="AC3" s="427"/>
    </row>
    <row r="4" spans="1:29" ht="14.4">
      <c r="A4" s="511" t="s">
        <v>762</v>
      </c>
      <c r="B4" s="512"/>
      <c r="C4" s="3368" t="s">
        <v>763</v>
      </c>
      <c r="D4" s="3369"/>
      <c r="E4" s="3368" t="s">
        <v>764</v>
      </c>
      <c r="F4" s="3369"/>
      <c r="G4" s="3368" t="s">
        <v>765</v>
      </c>
      <c r="H4" s="3369"/>
      <c r="I4" s="3368" t="s">
        <v>766</v>
      </c>
      <c r="J4" s="3369"/>
      <c r="K4" s="513" t="s">
        <v>767</v>
      </c>
      <c r="L4" s="2132"/>
      <c r="M4" s="2133"/>
      <c r="N4" s="2133"/>
      <c r="O4" s="2133"/>
      <c r="P4" s="3370" t="s">
        <v>768</v>
      </c>
      <c r="Q4" s="3371"/>
      <c r="R4" s="3376" t="s">
        <v>764</v>
      </c>
      <c r="S4" s="3377"/>
      <c r="T4" s="3376" t="s">
        <v>765</v>
      </c>
      <c r="U4" s="3377"/>
      <c r="V4" s="3363" t="s">
        <v>766</v>
      </c>
      <c r="W4" s="3363"/>
      <c r="X4" s="1565"/>
      <c r="Y4" s="3376" t="s">
        <v>768</v>
      </c>
      <c r="Z4" s="3377"/>
      <c r="AA4" s="3365" t="s">
        <v>764</v>
      </c>
      <c r="AB4" s="3366" t="s">
        <v>765</v>
      </c>
      <c r="AC4" s="3365" t="s">
        <v>766</v>
      </c>
    </row>
    <row r="5" spans="1:29">
      <c r="A5" s="514"/>
      <c r="B5" s="515"/>
      <c r="C5" s="3400" t="s">
        <v>2889</v>
      </c>
      <c r="D5" s="3385"/>
      <c r="E5" s="3400" t="s">
        <v>2890</v>
      </c>
      <c r="F5" s="3385"/>
      <c r="G5" s="3400" t="s">
        <v>2891</v>
      </c>
      <c r="H5" s="3385"/>
      <c r="I5" s="3400" t="s">
        <v>2892</v>
      </c>
      <c r="J5" s="3385"/>
      <c r="K5" s="513"/>
      <c r="L5" s="2132"/>
      <c r="M5" s="2133"/>
      <c r="N5" s="2133"/>
      <c r="O5" s="2133"/>
      <c r="P5" s="3372"/>
      <c r="Q5" s="3373"/>
      <c r="R5" s="3378"/>
      <c r="S5" s="3379"/>
      <c r="T5" s="3378"/>
      <c r="U5" s="3379"/>
      <c r="V5" s="3363"/>
      <c r="W5" s="3363"/>
      <c r="X5" s="1565"/>
      <c r="Y5" s="3378"/>
      <c r="Z5" s="3379"/>
      <c r="AA5" s="3366"/>
      <c r="AB5" s="3366"/>
      <c r="AC5" s="3366"/>
    </row>
    <row r="6" spans="1:29" ht="15" thickBot="1">
      <c r="A6" s="516"/>
      <c r="B6" s="517"/>
      <c r="C6" s="3401" t="s">
        <v>2893</v>
      </c>
      <c r="D6" s="3383"/>
      <c r="E6" s="3485" t="s">
        <v>2893</v>
      </c>
      <c r="F6" s="3387"/>
      <c r="G6" s="3401" t="s">
        <v>2893</v>
      </c>
      <c r="H6" s="3383"/>
      <c r="I6" s="3401" t="s">
        <v>2893</v>
      </c>
      <c r="J6" s="3383"/>
      <c r="K6" s="513" t="s">
        <v>493</v>
      </c>
      <c r="L6" s="2132"/>
      <c r="M6" s="2133"/>
      <c r="N6" s="2133"/>
      <c r="O6" s="2133"/>
      <c r="P6" s="3374"/>
      <c r="Q6" s="3375"/>
      <c r="R6" s="3378"/>
      <c r="S6" s="3379"/>
      <c r="T6" s="3380"/>
      <c r="U6" s="3381"/>
      <c r="V6" s="3363"/>
      <c r="W6" s="3363"/>
      <c r="X6" s="1565"/>
      <c r="Y6" s="3380"/>
      <c r="Z6" s="3381"/>
      <c r="AA6" s="3367"/>
      <c r="AB6" s="3367"/>
      <c r="AC6" s="3367"/>
    </row>
    <row r="7" spans="1:29" s="1218" customFormat="1" ht="15" thickBot="1">
      <c r="A7" s="2911"/>
      <c r="B7" s="2918" t="s">
        <v>494</v>
      </c>
      <c r="C7" s="518">
        <f>'数据-取费表'!B2</f>
        <v>43458</v>
      </c>
      <c r="D7" s="519">
        <v>100</v>
      </c>
      <c r="E7" s="520"/>
      <c r="F7" s="521">
        <f>SUMIF(48:48,YEAR(E7)&amp;"-"&amp;MONTH(E7),49:49)</f>
        <v>0</v>
      </c>
      <c r="G7" s="522"/>
      <c r="H7" s="519">
        <f>SUMIF(48:48,YEAR(G7)&amp;"-"&amp;MONTH(G7),49:49)</f>
        <v>0</v>
      </c>
      <c r="I7" s="522"/>
      <c r="J7" s="519">
        <f>SUMIF(48:48,YEAR(I7)&amp;"-"&amp;MONTH(I7),49:49)</f>
        <v>0</v>
      </c>
      <c r="K7" s="523"/>
      <c r="L7" s="2134"/>
      <c r="M7" s="2135"/>
      <c r="N7" s="2135"/>
      <c r="O7" s="2135"/>
      <c r="P7" s="3393" t="s">
        <v>495</v>
      </c>
      <c r="Q7" s="3395"/>
      <c r="R7" s="1566" t="s">
        <v>8</v>
      </c>
      <c r="S7" s="1567">
        <f t="shared" ref="S7:S14" si="0">F7</f>
        <v>0</v>
      </c>
      <c r="T7" s="1566" t="s">
        <v>8</v>
      </c>
      <c r="U7" s="1567">
        <f t="shared" ref="U7:U14" si="1">H7</f>
        <v>0</v>
      </c>
      <c r="V7" s="1566" t="s">
        <v>8</v>
      </c>
      <c r="W7" s="1567">
        <f t="shared" ref="W7:W14" si="2">J7</f>
        <v>0</v>
      </c>
      <c r="X7" s="1568"/>
      <c r="Y7" s="3393" t="s">
        <v>495</v>
      </c>
      <c r="Z7" s="3394"/>
      <c r="AA7" s="1569" t="e">
        <f>D7/F7</f>
        <v>#DIV/0!</v>
      </c>
      <c r="AB7" s="1569" t="e">
        <f>D7/H7</f>
        <v>#DIV/0!</v>
      </c>
      <c r="AC7" s="1569" t="e">
        <f>D7/J7</f>
        <v>#DIV/0!</v>
      </c>
    </row>
    <row r="8" spans="1:29" s="1218" customFormat="1" ht="15" thickBot="1">
      <c r="A8" s="2912"/>
      <c r="B8" s="2919" t="s">
        <v>496</v>
      </c>
      <c r="C8" s="524" t="s">
        <v>541</v>
      </c>
      <c r="D8" s="519">
        <v>100</v>
      </c>
      <c r="E8" s="524"/>
      <c r="F8" s="521">
        <f>SUMIF(51:51,E8,52:52)-SUMIF(51:51,C8,52:52)+100</f>
        <v>0</v>
      </c>
      <c r="G8" s="524"/>
      <c r="H8" s="519">
        <f>SUMIF(51:51,G8,52:52)-SUMIF(51:51,C8,52:52)+100</f>
        <v>0</v>
      </c>
      <c r="I8" s="524"/>
      <c r="J8" s="519">
        <f>SUMIF(51:51,I8,52:52)-SUMIF(51:51,C8,52:52)+100</f>
        <v>0</v>
      </c>
      <c r="K8" s="523"/>
      <c r="L8" s="2134"/>
      <c r="M8" s="2135"/>
      <c r="N8" s="2135"/>
      <c r="O8" s="2135"/>
      <c r="P8" s="3393" t="s">
        <v>498</v>
      </c>
      <c r="Q8" s="3394"/>
      <c r="R8" s="1566" t="s">
        <v>8</v>
      </c>
      <c r="S8" s="1567">
        <f t="shared" si="0"/>
        <v>0</v>
      </c>
      <c r="T8" s="1566" t="s">
        <v>8</v>
      </c>
      <c r="U8" s="1567">
        <f t="shared" si="1"/>
        <v>0</v>
      </c>
      <c r="V8" s="1566" t="s">
        <v>8</v>
      </c>
      <c r="W8" s="1567">
        <f t="shared" si="2"/>
        <v>0</v>
      </c>
      <c r="X8" s="1568"/>
      <c r="Y8" s="3393" t="s">
        <v>498</v>
      </c>
      <c r="Z8" s="3394"/>
      <c r="AA8" s="1569" t="e">
        <f t="shared" ref="AA8:AA36" si="3">D8/F8</f>
        <v>#DIV/0!</v>
      </c>
      <c r="AB8" s="1569" t="e">
        <f t="shared" ref="AB8:AB36" si="4">D8/H8</f>
        <v>#DIV/0!</v>
      </c>
      <c r="AC8" s="1569" t="e">
        <f t="shared" ref="AC8:AC36" si="5">D8/J8</f>
        <v>#DIV/0!</v>
      </c>
    </row>
    <row r="9" spans="1:29" s="1218" customFormat="1" ht="14.4">
      <c r="A9" s="2913"/>
      <c r="B9" s="2920" t="s">
        <v>2718</v>
      </c>
      <c r="C9" s="856"/>
      <c r="D9" s="253">
        <v>100</v>
      </c>
      <c r="E9" s="859"/>
      <c r="F9" s="253">
        <f>SUMIF(53:53,E9,54:54)-SUMIF(53:53,C9,54:54)+100</f>
        <v>100</v>
      </c>
      <c r="G9" s="857"/>
      <c r="H9" s="253">
        <f>SUMIF(53:53,G9,54:54)-SUMIF(53:53,C9,54:54)+100</f>
        <v>100</v>
      </c>
      <c r="I9" s="857"/>
      <c r="J9" s="253">
        <f>SUMIF(53:53,I9,54:54)-SUMIF(53:53,C9,54:54)+100</f>
        <v>100</v>
      </c>
      <c r="K9" s="523"/>
      <c r="L9" s="2134"/>
      <c r="M9" s="2135"/>
      <c r="N9" s="2135"/>
      <c r="O9" s="2136"/>
      <c r="P9" s="3362" t="s">
        <v>500</v>
      </c>
      <c r="Q9" s="1149" t="str">
        <f t="shared" ref="Q9:Q14" si="6">B9</f>
        <v>用途</v>
      </c>
      <c r="R9" s="1566" t="s">
        <v>8</v>
      </c>
      <c r="S9" s="1567">
        <f t="shared" si="0"/>
        <v>100</v>
      </c>
      <c r="T9" s="1566" t="s">
        <v>8</v>
      </c>
      <c r="U9" s="1567">
        <f t="shared" si="1"/>
        <v>100</v>
      </c>
      <c r="V9" s="1566" t="s">
        <v>8</v>
      </c>
      <c r="W9" s="1567">
        <f t="shared" si="2"/>
        <v>100</v>
      </c>
      <c r="X9" s="1568"/>
      <c r="Y9" s="3308" t="s">
        <v>501</v>
      </c>
      <c r="Z9" s="1148" t="str">
        <f t="shared" ref="Z9:Z14" si="7">Q9</f>
        <v>用途</v>
      </c>
      <c r="AA9" s="1569">
        <f t="shared" si="3"/>
        <v>1</v>
      </c>
      <c r="AB9" s="1569">
        <f t="shared" si="4"/>
        <v>1</v>
      </c>
      <c r="AC9" s="1569">
        <f t="shared" si="5"/>
        <v>1</v>
      </c>
    </row>
    <row r="10" spans="1:29" s="1336" customFormat="1" ht="28.8">
      <c r="A10" s="2914"/>
      <c r="B10" s="2919" t="s">
        <v>2719</v>
      </c>
      <c r="C10" s="860"/>
      <c r="D10" s="254">
        <v>100</v>
      </c>
      <c r="E10" s="860"/>
      <c r="F10" s="254">
        <f>SUMIF(55:55,E10,56:56)-SUMIF(55:55,C10,56:56)+100</f>
        <v>100</v>
      </c>
      <c r="G10" s="861"/>
      <c r="H10" s="254">
        <f>SUMIF(55:55,G10,56:56)-SUMIF(55:55,C10,56:56)+100</f>
        <v>100</v>
      </c>
      <c r="I10" s="860"/>
      <c r="J10" s="254">
        <f>SUMIF(55:55,I10,56:56)-SUMIF(55:55,C10,56:56)+100</f>
        <v>100</v>
      </c>
      <c r="K10" s="583"/>
      <c r="L10" s="2137"/>
      <c r="M10" s="2177"/>
      <c r="N10" s="2177"/>
      <c r="O10" s="2138"/>
      <c r="P10" s="3362"/>
      <c r="Q10" s="1149" t="str">
        <f t="shared" si="6"/>
        <v>土地使用年限（年）</v>
      </c>
      <c r="R10" s="1566" t="s">
        <v>8</v>
      </c>
      <c r="S10" s="1567">
        <f t="shared" si="0"/>
        <v>100</v>
      </c>
      <c r="T10" s="1566" t="s">
        <v>8</v>
      </c>
      <c r="U10" s="1567">
        <f t="shared" si="1"/>
        <v>100</v>
      </c>
      <c r="V10" s="1566" t="s">
        <v>8</v>
      </c>
      <c r="W10" s="1567">
        <f t="shared" si="2"/>
        <v>100</v>
      </c>
      <c r="X10" s="1568"/>
      <c r="Y10" s="3308"/>
      <c r="Z10" s="1148" t="str">
        <f t="shared" si="7"/>
        <v>土地使用年限（年）</v>
      </c>
      <c r="AA10" s="1569">
        <f t="shared" si="3"/>
        <v>1</v>
      </c>
      <c r="AB10" s="1569">
        <f t="shared" si="4"/>
        <v>1</v>
      </c>
      <c r="AC10" s="1569">
        <f t="shared" si="5"/>
        <v>1</v>
      </c>
    </row>
    <row r="11" spans="1:29" ht="15">
      <c r="A11" s="2916"/>
      <c r="B11" s="2922">
        <v>111</v>
      </c>
      <c r="C11" s="527"/>
      <c r="D11" s="254">
        <v>100</v>
      </c>
      <c r="E11" s="527"/>
      <c r="F11" s="254">
        <f>SUMIF(57:57,E11,58:58)-SUMIF(57:57,C11,58:58)+100</f>
        <v>100</v>
      </c>
      <c r="G11" s="527"/>
      <c r="H11" s="254">
        <f>SUMIF(57:57,G11,58:58)-SUMIF(57:57,C11,58:58)+100</f>
        <v>100</v>
      </c>
      <c r="I11" s="527"/>
      <c r="J11" s="254">
        <f>SUMIF(57:57,I11,58:58)-SUMIF(57:57,C11,58:58)+100</f>
        <v>100</v>
      </c>
      <c r="K11" s="580"/>
      <c r="L11" s="2139"/>
      <c r="M11" s="2133"/>
      <c r="N11" s="2133"/>
      <c r="O11" s="2140"/>
      <c r="P11" s="3362"/>
      <c r="Q11" s="1149">
        <f t="shared" si="6"/>
        <v>111</v>
      </c>
      <c r="R11" s="1566" t="s">
        <v>8</v>
      </c>
      <c r="S11" s="1567">
        <f t="shared" si="0"/>
        <v>100</v>
      </c>
      <c r="T11" s="1566" t="s">
        <v>8</v>
      </c>
      <c r="U11" s="1567">
        <f t="shared" si="1"/>
        <v>100</v>
      </c>
      <c r="V11" s="1566" t="s">
        <v>8</v>
      </c>
      <c r="W11" s="1567">
        <f t="shared" si="2"/>
        <v>100</v>
      </c>
      <c r="X11" s="1568"/>
      <c r="Y11" s="3308"/>
      <c r="Z11" s="1148">
        <f t="shared" si="7"/>
        <v>111</v>
      </c>
      <c r="AA11" s="1569">
        <f t="shared" si="3"/>
        <v>1</v>
      </c>
      <c r="AB11" s="1569">
        <f t="shared" si="4"/>
        <v>1</v>
      </c>
      <c r="AC11" s="1569">
        <f t="shared" si="5"/>
        <v>1</v>
      </c>
    </row>
    <row r="12" spans="1:29" s="1218" customFormat="1" ht="15">
      <c r="A12" s="2916"/>
      <c r="B12" s="2922">
        <v>111</v>
      </c>
      <c r="C12" s="527"/>
      <c r="D12" s="537">
        <v>100</v>
      </c>
      <c r="E12" s="527"/>
      <c r="F12" s="254">
        <f>SUMIF(59:59,E12,60:60)-SUMIF(59:59,C12,60:60)+100</f>
        <v>100</v>
      </c>
      <c r="G12" s="527"/>
      <c r="H12" s="254">
        <f>SUMIF(59:59,G12,60:60)-SUMIF(59:59,C12,60:60)+100</f>
        <v>100</v>
      </c>
      <c r="I12" s="527"/>
      <c r="J12" s="254">
        <f>SUMIF(59:59,I12,60:60)-SUMIF(59:59,C12,60:60)+100</f>
        <v>100</v>
      </c>
      <c r="K12" s="580"/>
      <c r="L12" s="2134"/>
      <c r="M12" s="2135"/>
      <c r="N12" s="2135"/>
      <c r="O12" s="2136"/>
      <c r="P12" s="3362"/>
      <c r="Q12" s="1149">
        <f t="shared" si="6"/>
        <v>111</v>
      </c>
      <c r="R12" s="1566" t="s">
        <v>8</v>
      </c>
      <c r="S12" s="1567">
        <f t="shared" si="0"/>
        <v>100</v>
      </c>
      <c r="T12" s="1566" t="s">
        <v>8</v>
      </c>
      <c r="U12" s="1567">
        <f t="shared" si="1"/>
        <v>100</v>
      </c>
      <c r="V12" s="1566" t="s">
        <v>8</v>
      </c>
      <c r="W12" s="1567">
        <f t="shared" si="2"/>
        <v>100</v>
      </c>
      <c r="X12" s="1568"/>
      <c r="Y12" s="3308"/>
      <c r="Z12" s="1148">
        <f t="shared" si="7"/>
        <v>111</v>
      </c>
      <c r="AA12" s="1569">
        <f>D12/F12</f>
        <v>1</v>
      </c>
      <c r="AB12" s="1569">
        <f>D12/H12</f>
        <v>1</v>
      </c>
      <c r="AC12" s="1569">
        <f>D12/J12</f>
        <v>1</v>
      </c>
    </row>
    <row r="13" spans="1:29" ht="15.6" thickBot="1">
      <c r="A13" s="2917"/>
      <c r="B13" s="2923">
        <v>111</v>
      </c>
      <c r="C13" s="538"/>
      <c r="D13" s="539">
        <v>100</v>
      </c>
      <c r="E13" s="527"/>
      <c r="F13" s="254">
        <f>SUMIF(61:61,E13,62:62)-SUMIF(61:61,C13,62:62)+100</f>
        <v>100</v>
      </c>
      <c r="G13" s="527"/>
      <c r="H13" s="539">
        <f>SUMIF(61:61,G13,62:62)-SUMIF(61:61,C13,62:62)+100</f>
        <v>100</v>
      </c>
      <c r="I13" s="527"/>
      <c r="J13" s="539">
        <f>SUMIF(61:61,I13,62:62)-SUMIF(61:61,C13,62:62)+100</f>
        <v>100</v>
      </c>
      <c r="K13" s="580"/>
      <c r="L13" s="2141"/>
      <c r="M13" s="2133"/>
      <c r="N13" s="2133"/>
      <c r="O13" s="2140"/>
      <c r="P13" s="3362"/>
      <c r="Q13" s="1149">
        <f t="shared" si="6"/>
        <v>111</v>
      </c>
      <c r="R13" s="1566" t="s">
        <v>8</v>
      </c>
      <c r="S13" s="1567">
        <f t="shared" si="0"/>
        <v>100</v>
      </c>
      <c r="T13" s="1566" t="s">
        <v>8</v>
      </c>
      <c r="U13" s="1567">
        <f t="shared" si="1"/>
        <v>100</v>
      </c>
      <c r="V13" s="1566" t="s">
        <v>8</v>
      </c>
      <c r="W13" s="1567">
        <f t="shared" si="2"/>
        <v>100</v>
      </c>
      <c r="X13" s="1568"/>
      <c r="Y13" s="3308"/>
      <c r="Z13" s="1148">
        <f t="shared" si="7"/>
        <v>111</v>
      </c>
      <c r="AA13" s="1569">
        <f t="shared" si="3"/>
        <v>1</v>
      </c>
      <c r="AB13" s="1569">
        <f t="shared" si="4"/>
        <v>1</v>
      </c>
      <c r="AC13" s="1569">
        <f t="shared" si="5"/>
        <v>1</v>
      </c>
    </row>
    <row r="14" spans="1:29" ht="96.6">
      <c r="A14" s="2909" t="s">
        <v>2716</v>
      </c>
      <c r="B14" s="546" t="s">
        <v>508</v>
      </c>
      <c r="C14" s="919"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6"/>
      <c r="L14" s="2141"/>
      <c r="M14" s="2133"/>
      <c r="N14" s="2133"/>
      <c r="O14" s="2140"/>
      <c r="P14" s="3396" t="s">
        <v>505</v>
      </c>
      <c r="Q14" s="1570" t="str">
        <f t="shared" si="6"/>
        <v>交通便捷度</v>
      </c>
      <c r="R14" s="1571" t="s">
        <v>8</v>
      </c>
      <c r="S14" s="1572">
        <f t="shared" si="0"/>
        <v>100</v>
      </c>
      <c r="T14" s="1571" t="s">
        <v>8</v>
      </c>
      <c r="U14" s="1572">
        <f t="shared" si="1"/>
        <v>100</v>
      </c>
      <c r="V14" s="1571" t="s">
        <v>8</v>
      </c>
      <c r="W14" s="1572">
        <f t="shared" si="2"/>
        <v>100</v>
      </c>
      <c r="X14" s="1565"/>
      <c r="Y14" s="3396" t="s">
        <v>505</v>
      </c>
      <c r="Z14" s="1573" t="str">
        <f t="shared" si="7"/>
        <v>交通便捷度</v>
      </c>
      <c r="AA14" s="1574">
        <f t="shared" si="3"/>
        <v>1</v>
      </c>
      <c r="AB14" s="1574">
        <f t="shared" si="4"/>
        <v>1</v>
      </c>
      <c r="AC14" s="1574">
        <f t="shared" si="5"/>
        <v>1</v>
      </c>
    </row>
    <row r="15" spans="1:29" ht="15">
      <c r="A15" s="514"/>
      <c r="B15" s="922"/>
      <c r="C15" s="575"/>
      <c r="D15" s="554"/>
      <c r="E15" s="575"/>
      <c r="F15" s="556"/>
      <c r="G15" s="575"/>
      <c r="H15" s="558"/>
      <c r="I15" s="575"/>
      <c r="J15" s="554"/>
      <c r="K15" s="897"/>
      <c r="L15" s="2141"/>
      <c r="M15" s="2133"/>
      <c r="N15" s="2133"/>
      <c r="O15" s="2140"/>
      <c r="P15" s="3397"/>
      <c r="Q15" s="1570"/>
      <c r="R15" s="1571"/>
      <c r="S15" s="1572"/>
      <c r="T15" s="1571"/>
      <c r="U15" s="1572"/>
      <c r="V15" s="1571"/>
      <c r="W15" s="1572"/>
      <c r="X15" s="1565"/>
      <c r="Y15" s="3397"/>
      <c r="Z15" s="1573"/>
      <c r="AA15" s="1574">
        <v>1</v>
      </c>
      <c r="AB15" s="1574">
        <v>1</v>
      </c>
      <c r="AC15" s="1574">
        <v>1</v>
      </c>
    </row>
    <row r="16" spans="1:29" ht="41.4">
      <c r="A16" s="514"/>
      <c r="B16" s="2602" t="s">
        <v>2508</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6"/>
      <c r="L16" s="2141"/>
      <c r="M16" s="2133"/>
      <c r="N16" s="2133"/>
      <c r="O16" s="2140"/>
      <c r="P16" s="3397"/>
      <c r="Q16" s="1570" t="str">
        <f>B16</f>
        <v>公共配套设施</v>
      </c>
      <c r="R16" s="1571" t="s">
        <v>8</v>
      </c>
      <c r="S16" s="1572">
        <f>F16</f>
        <v>100</v>
      </c>
      <c r="T16" s="1571" t="s">
        <v>8</v>
      </c>
      <c r="U16" s="1572">
        <f>H16</f>
        <v>100</v>
      </c>
      <c r="V16" s="1571" t="s">
        <v>8</v>
      </c>
      <c r="W16" s="1572">
        <f>J16</f>
        <v>100</v>
      </c>
      <c r="X16" s="1565"/>
      <c r="Y16" s="3397"/>
      <c r="Z16" s="1573" t="str">
        <f>Q16</f>
        <v>公共配套设施</v>
      </c>
      <c r="AA16" s="1574">
        <f t="shared" si="3"/>
        <v>1</v>
      </c>
      <c r="AB16" s="1574">
        <f t="shared" si="4"/>
        <v>1</v>
      </c>
      <c r="AC16" s="1574">
        <f t="shared" si="5"/>
        <v>1</v>
      </c>
    </row>
    <row r="17" spans="1:29" ht="15">
      <c r="A17" s="514"/>
      <c r="B17" s="565"/>
      <c r="C17" s="872"/>
      <c r="D17" s="554"/>
      <c r="E17" s="575"/>
      <c r="F17" s="556"/>
      <c r="G17" s="575"/>
      <c r="H17" s="554"/>
      <c r="I17" s="575"/>
      <c r="J17" s="554"/>
      <c r="K17" s="897"/>
      <c r="L17" s="2141"/>
      <c r="M17" s="2133"/>
      <c r="N17" s="2133"/>
      <c r="O17" s="2140"/>
      <c r="P17" s="3397"/>
      <c r="Q17" s="1570"/>
      <c r="R17" s="1571"/>
      <c r="S17" s="1572"/>
      <c r="T17" s="1571"/>
      <c r="U17" s="1572"/>
      <c r="V17" s="1571"/>
      <c r="W17" s="1572"/>
      <c r="X17" s="1565"/>
      <c r="Y17" s="3397"/>
      <c r="Z17" s="1573"/>
      <c r="AA17" s="1574">
        <v>1</v>
      </c>
      <c r="AB17" s="1574">
        <v>1</v>
      </c>
      <c r="AC17" s="1574">
        <v>1</v>
      </c>
    </row>
    <row r="18" spans="1:29" ht="41.4">
      <c r="A18" s="514"/>
      <c r="B18" s="2590" t="s">
        <v>2520</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6"/>
      <c r="L18" s="2141"/>
      <c r="M18" s="2133"/>
      <c r="N18" s="2133"/>
      <c r="O18" s="2140"/>
      <c r="P18" s="3397"/>
      <c r="Q18" s="2578" t="str">
        <f>B18</f>
        <v>基础设施水平</v>
      </c>
      <c r="R18" s="1571" t="s">
        <v>8</v>
      </c>
      <c r="S18" s="1572">
        <f>F18</f>
        <v>100</v>
      </c>
      <c r="T18" s="1571" t="s">
        <v>8</v>
      </c>
      <c r="U18" s="1572">
        <f>H18</f>
        <v>100</v>
      </c>
      <c r="V18" s="1571" t="s">
        <v>8</v>
      </c>
      <c r="W18" s="1572">
        <f>J18</f>
        <v>100</v>
      </c>
      <c r="X18" s="2580"/>
      <c r="Y18" s="3397"/>
      <c r="Z18" s="2579" t="str">
        <f>Q18</f>
        <v>基础设施水平</v>
      </c>
      <c r="AA18" s="1574">
        <f t="shared" ref="AA18" si="8">D18/F18</f>
        <v>1</v>
      </c>
      <c r="AB18" s="1574">
        <f t="shared" ref="AB18" si="9">D18/H18</f>
        <v>1</v>
      </c>
      <c r="AC18" s="1574">
        <f t="shared" ref="AC18" si="10">D18/J18</f>
        <v>1</v>
      </c>
    </row>
    <row r="19" spans="1:29" ht="15">
      <c r="A19" s="514"/>
      <c r="B19" s="577"/>
      <c r="C19" s="872"/>
      <c r="D19" s="558"/>
      <c r="E19" s="575"/>
      <c r="F19" s="556"/>
      <c r="G19" s="575"/>
      <c r="H19" s="554"/>
      <c r="I19" s="575"/>
      <c r="J19" s="554"/>
      <c r="K19" s="2601"/>
      <c r="L19" s="2141"/>
      <c r="M19" s="2133"/>
      <c r="N19" s="2133"/>
      <c r="O19" s="2140"/>
      <c r="P19" s="3397"/>
      <c r="Q19" s="2578"/>
      <c r="R19" s="1571"/>
      <c r="S19" s="1572"/>
      <c r="T19" s="1571"/>
      <c r="U19" s="1572"/>
      <c r="V19" s="1571"/>
      <c r="W19" s="1572"/>
      <c r="X19" s="2580"/>
      <c r="Y19" s="3397"/>
      <c r="Z19" s="2579"/>
      <c r="AA19" s="1574">
        <v>1</v>
      </c>
      <c r="AB19" s="1574">
        <v>1</v>
      </c>
      <c r="AC19" s="1574">
        <v>1</v>
      </c>
    </row>
    <row r="20" spans="1:29" ht="55.2">
      <c r="A20" s="514"/>
      <c r="B20" s="559" t="s">
        <v>769</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6"/>
      <c r="L20" s="2141"/>
      <c r="M20" s="2133"/>
      <c r="N20" s="2133"/>
      <c r="O20" s="2140"/>
      <c r="P20" s="3397"/>
      <c r="Q20" s="1570" t="str">
        <f>B20</f>
        <v>自然及人文环境</v>
      </c>
      <c r="R20" s="1571" t="s">
        <v>8</v>
      </c>
      <c r="S20" s="1572">
        <f>F20</f>
        <v>100</v>
      </c>
      <c r="T20" s="1571" t="s">
        <v>8</v>
      </c>
      <c r="U20" s="1572">
        <f>H20</f>
        <v>100</v>
      </c>
      <c r="V20" s="1571" t="s">
        <v>8</v>
      </c>
      <c r="W20" s="1572">
        <f>J20</f>
        <v>100</v>
      </c>
      <c r="X20" s="1565"/>
      <c r="Y20" s="3397"/>
      <c r="Z20" s="1573" t="str">
        <f>Q20</f>
        <v>自然及人文环境</v>
      </c>
      <c r="AA20" s="1574">
        <f t="shared" si="3"/>
        <v>1</v>
      </c>
      <c r="AB20" s="1574">
        <f t="shared" si="4"/>
        <v>1</v>
      </c>
      <c r="AC20" s="1574">
        <f t="shared" si="5"/>
        <v>1</v>
      </c>
    </row>
    <row r="21" spans="1:29" ht="15">
      <c r="A21" s="514"/>
      <c r="B21" s="565"/>
      <c r="C21" s="575"/>
      <c r="D21" s="554"/>
      <c r="E21" s="575"/>
      <c r="F21" s="556"/>
      <c r="G21" s="575"/>
      <c r="H21" s="554"/>
      <c r="I21" s="575"/>
      <c r="J21" s="554"/>
      <c r="K21" s="897"/>
      <c r="L21" s="2141"/>
      <c r="M21" s="2133"/>
      <c r="N21" s="2133"/>
      <c r="O21" s="2140"/>
      <c r="P21" s="3397"/>
      <c r="Q21" s="1570"/>
      <c r="R21" s="1571"/>
      <c r="S21" s="1572"/>
      <c r="T21" s="1571"/>
      <c r="U21" s="1572"/>
      <c r="V21" s="1571"/>
      <c r="W21" s="1572"/>
      <c r="X21" s="1565"/>
      <c r="Y21" s="3397"/>
      <c r="Z21" s="1573"/>
      <c r="AA21" s="1574">
        <v>1</v>
      </c>
      <c r="AB21" s="1574">
        <v>1</v>
      </c>
      <c r="AC21" s="1574">
        <v>1</v>
      </c>
    </row>
    <row r="22" spans="1:29" ht="15">
      <c r="A22" s="514"/>
      <c r="B22" s="559" t="s">
        <v>770</v>
      </c>
      <c r="C22" s="582"/>
      <c r="D22" s="558">
        <v>100</v>
      </c>
      <c r="E22" s="582"/>
      <c r="F22" s="574">
        <f>SUMIF(71:71,E22,72:72)-SUMIF(71:71,C22,72:72)+100</f>
        <v>100</v>
      </c>
      <c r="G22" s="582"/>
      <c r="H22" s="539">
        <f>SUMIF(71:71,G22,72:72)-SUMIF(71:71,C22,72:72)+100</f>
        <v>100</v>
      </c>
      <c r="I22" s="582"/>
      <c r="J22" s="539">
        <f>SUMIF(71:71,I22,72:72)-SUMIF(71:71,C22,72:72)+100</f>
        <v>100</v>
      </c>
      <c r="K22" s="583"/>
      <c r="L22" s="2141"/>
      <c r="M22" s="2133"/>
      <c r="N22" s="2133"/>
      <c r="O22" s="2140"/>
      <c r="P22" s="3397"/>
      <c r="Q22" s="1570" t="str">
        <f>B22</f>
        <v>楼层</v>
      </c>
      <c r="R22" s="1571" t="s">
        <v>8</v>
      </c>
      <c r="S22" s="1572">
        <f>F22</f>
        <v>100</v>
      </c>
      <c r="T22" s="1571" t="s">
        <v>8</v>
      </c>
      <c r="U22" s="1572">
        <f>H22</f>
        <v>100</v>
      </c>
      <c r="V22" s="1571" t="s">
        <v>8</v>
      </c>
      <c r="W22" s="1572">
        <f>J22</f>
        <v>100</v>
      </c>
      <c r="X22" s="1565"/>
      <c r="Y22" s="3397"/>
      <c r="Z22" s="1573" t="str">
        <f>Q22</f>
        <v>楼层</v>
      </c>
      <c r="AA22" s="1574">
        <f t="shared" si="3"/>
        <v>1</v>
      </c>
      <c r="AB22" s="1574">
        <f t="shared" si="4"/>
        <v>1</v>
      </c>
      <c r="AC22" s="1574">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41"/>
      <c r="M23" s="2133"/>
      <c r="N23" s="2133"/>
      <c r="O23" s="2140"/>
      <c r="P23" s="3397"/>
      <c r="Q23" s="1570">
        <f>B23</f>
        <v>111</v>
      </c>
      <c r="R23" s="1571" t="s">
        <v>8</v>
      </c>
      <c r="S23" s="1572">
        <f>F23</f>
        <v>100</v>
      </c>
      <c r="T23" s="1571" t="s">
        <v>8</v>
      </c>
      <c r="U23" s="1572">
        <f>H23</f>
        <v>100</v>
      </c>
      <c r="V23" s="1571" t="s">
        <v>8</v>
      </c>
      <c r="W23" s="1572">
        <f>J23</f>
        <v>100</v>
      </c>
      <c r="X23" s="1565"/>
      <c r="Y23" s="3397"/>
      <c r="Z23" s="1573">
        <f>Q23</f>
        <v>111</v>
      </c>
      <c r="AA23" s="1574">
        <f t="shared" si="3"/>
        <v>1</v>
      </c>
      <c r="AB23" s="1574">
        <f t="shared" si="4"/>
        <v>1</v>
      </c>
      <c r="AC23" s="1574">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41"/>
      <c r="M24" s="2133"/>
      <c r="N24" s="2133"/>
      <c r="O24" s="2140"/>
      <c r="P24" s="3397"/>
      <c r="Q24" s="1570">
        <f t="shared" ref="Q24:Q36" si="11">B24</f>
        <v>111</v>
      </c>
      <c r="R24" s="1571" t="s">
        <v>8</v>
      </c>
      <c r="S24" s="1572">
        <f>F24</f>
        <v>100</v>
      </c>
      <c r="T24" s="1571" t="s">
        <v>8</v>
      </c>
      <c r="U24" s="1572">
        <f>H24</f>
        <v>100</v>
      </c>
      <c r="V24" s="1571" t="s">
        <v>8</v>
      </c>
      <c r="W24" s="1572">
        <f>J24</f>
        <v>100</v>
      </c>
      <c r="X24" s="1565"/>
      <c r="Y24" s="3397"/>
      <c r="Z24" s="1573">
        <f>Q24</f>
        <v>111</v>
      </c>
      <c r="AA24" s="1574">
        <f t="shared" si="3"/>
        <v>1</v>
      </c>
      <c r="AB24" s="1574">
        <f t="shared" si="4"/>
        <v>1</v>
      </c>
      <c r="AC24" s="1574">
        <f t="shared" si="5"/>
        <v>1</v>
      </c>
    </row>
    <row r="25" spans="1:29" s="1218" customFormat="1" ht="15.6"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34"/>
      <c r="M25" s="2135"/>
      <c r="N25" s="2135"/>
      <c r="O25" s="2136"/>
      <c r="P25" s="3397"/>
      <c r="Q25" s="1149">
        <f t="shared" si="11"/>
        <v>111</v>
      </c>
      <c r="R25" s="1566" t="s">
        <v>8</v>
      </c>
      <c r="S25" s="1567">
        <f>F25</f>
        <v>100</v>
      </c>
      <c r="T25" s="1566" t="s">
        <v>8</v>
      </c>
      <c r="U25" s="1567">
        <f>H25</f>
        <v>100</v>
      </c>
      <c r="V25" s="1566" t="s">
        <v>8</v>
      </c>
      <c r="W25" s="1567">
        <f>J25</f>
        <v>100</v>
      </c>
      <c r="X25" s="1568"/>
      <c r="Y25" s="3397"/>
      <c r="Z25" s="1148">
        <f>Q25</f>
        <v>111</v>
      </c>
      <c r="AA25" s="1574">
        <f>D25/F25</f>
        <v>1</v>
      </c>
      <c r="AB25" s="1574">
        <f>D25/H25</f>
        <v>1</v>
      </c>
      <c r="AC25" s="1574">
        <f>D25/J25</f>
        <v>1</v>
      </c>
    </row>
    <row r="26" spans="1:29" ht="15">
      <c r="A26" s="2906" t="s">
        <v>2717</v>
      </c>
      <c r="B26" s="169" t="s">
        <v>771</v>
      </c>
      <c r="C26" s="926">
        <f>B1</f>
        <v>0</v>
      </c>
      <c r="D26" s="554">
        <v>100</v>
      </c>
      <c r="E26" s="575"/>
      <c r="F26" s="556">
        <f>SUMIF(79:79,E26,80:80)-SUMIF(79:79,C26,80:80)+100</f>
        <v>100</v>
      </c>
      <c r="G26" s="575"/>
      <c r="H26" s="554">
        <f>SUMIF(79:79,G26,80:80)-SUMIF(79:79,C26,80:80)+100</f>
        <v>100</v>
      </c>
      <c r="I26" s="575"/>
      <c r="J26" s="554">
        <f>SUMIF(79:79,I26,80:80)-SUMIF(79:79,C26,80:80)+100</f>
        <v>100</v>
      </c>
      <c r="K26" s="583"/>
      <c r="L26" s="2141"/>
      <c r="M26" s="2133"/>
      <c r="N26" s="2133"/>
      <c r="O26" s="2140"/>
      <c r="P26" s="3398" t="s">
        <v>515</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399" t="s">
        <v>515</v>
      </c>
      <c r="Z26" s="1573" t="str">
        <f t="shared" ref="Z26:Z36" si="15">Q26</f>
        <v>配套类型</v>
      </c>
      <c r="AA26" s="1574">
        <f t="shared" si="3"/>
        <v>1</v>
      </c>
      <c r="AB26" s="1574">
        <f t="shared" si="4"/>
        <v>1</v>
      </c>
      <c r="AC26" s="1574">
        <f t="shared" si="5"/>
        <v>1</v>
      </c>
    </row>
    <row r="27" spans="1:29" s="1337" customFormat="1" ht="15">
      <c r="A27" s="927"/>
      <c r="B27" s="581" t="s">
        <v>772</v>
      </c>
      <c r="C27" s="928"/>
      <c r="D27" s="254">
        <v>100</v>
      </c>
      <c r="E27" s="928"/>
      <c r="F27" s="574">
        <f>SUMIF(81:81,E27,82:82)-SUMIF(81:81,C27,82:82)+100</f>
        <v>100</v>
      </c>
      <c r="G27" s="928"/>
      <c r="H27" s="539">
        <f>SUMIF(81:81,G27,82:82)-SUMIF(81:81,C27,82:82)+100</f>
        <v>100</v>
      </c>
      <c r="I27" s="928"/>
      <c r="J27" s="539">
        <f>SUMIF(81:81,I27,82:82)-SUMIF(81:81,C27,82:82)+100</f>
        <v>100</v>
      </c>
      <c r="K27" s="580"/>
      <c r="L27" s="2139"/>
      <c r="M27" s="2170"/>
      <c r="N27" s="2170"/>
      <c r="O27" s="2142"/>
      <c r="P27" s="3399"/>
      <c r="Q27" s="1603" t="str">
        <f t="shared" si="11"/>
        <v>项目停车位配比</v>
      </c>
      <c r="R27" s="1575" t="s">
        <v>8</v>
      </c>
      <c r="S27" s="1576">
        <f t="shared" si="12"/>
        <v>100</v>
      </c>
      <c r="T27" s="1575" t="s">
        <v>8</v>
      </c>
      <c r="U27" s="1576">
        <f t="shared" si="13"/>
        <v>100</v>
      </c>
      <c r="V27" s="1575" t="s">
        <v>8</v>
      </c>
      <c r="W27" s="1576">
        <f t="shared" si="14"/>
        <v>100</v>
      </c>
      <c r="X27" s="1577"/>
      <c r="Y27" s="3399"/>
      <c r="Z27" s="1578" t="str">
        <f t="shared" si="15"/>
        <v>项目停车位配比</v>
      </c>
      <c r="AA27" s="1574">
        <f t="shared" si="3"/>
        <v>1</v>
      </c>
      <c r="AB27" s="1574">
        <f t="shared" si="4"/>
        <v>1</v>
      </c>
      <c r="AC27" s="1574">
        <f t="shared" si="5"/>
        <v>1</v>
      </c>
    </row>
    <row r="28" spans="1:29" ht="15">
      <c r="A28" s="929"/>
      <c r="B28" s="581" t="s">
        <v>773</v>
      </c>
      <c r="C28" s="573"/>
      <c r="D28" s="539">
        <v>100</v>
      </c>
      <c r="E28" s="573"/>
      <c r="F28" s="574">
        <f>SUMIF(83:83,E28,84:84)-SUMIF(83:83,C28,84:84)+100</f>
        <v>100</v>
      </c>
      <c r="G28" s="573"/>
      <c r="H28" s="539">
        <f>SUMIF(83:83,G28,84:84)-SUMIF(83:83,C28,84:84)+100</f>
        <v>100</v>
      </c>
      <c r="I28" s="573"/>
      <c r="J28" s="539">
        <f>SUMIF(83:83,I28,84:84)-SUMIF(83:83,C28,84:84)+100</f>
        <v>100</v>
      </c>
      <c r="K28" s="583"/>
      <c r="L28" s="2141"/>
      <c r="M28" s="2133"/>
      <c r="N28" s="2133"/>
      <c r="O28" s="2140"/>
      <c r="P28" s="3399"/>
      <c r="Q28" s="1570" t="str">
        <f t="shared" si="11"/>
        <v>公共部分装修</v>
      </c>
      <c r="R28" s="1571" t="s">
        <v>8</v>
      </c>
      <c r="S28" s="1572">
        <f t="shared" si="12"/>
        <v>100</v>
      </c>
      <c r="T28" s="1571" t="s">
        <v>8</v>
      </c>
      <c r="U28" s="1572">
        <f t="shared" si="13"/>
        <v>100</v>
      </c>
      <c r="V28" s="1571" t="s">
        <v>8</v>
      </c>
      <c r="W28" s="1572">
        <f t="shared" si="14"/>
        <v>100</v>
      </c>
      <c r="X28" s="1565"/>
      <c r="Y28" s="3399"/>
      <c r="Z28" s="1573" t="str">
        <f t="shared" si="15"/>
        <v>公共部分装修</v>
      </c>
      <c r="AA28" s="1574">
        <f t="shared" si="3"/>
        <v>1</v>
      </c>
      <c r="AB28" s="1574">
        <f t="shared" si="4"/>
        <v>1</v>
      </c>
      <c r="AC28" s="1574">
        <f t="shared" si="5"/>
        <v>1</v>
      </c>
    </row>
    <row r="29" spans="1:29" ht="15">
      <c r="A29" s="929"/>
      <c r="B29" s="581" t="s">
        <v>774</v>
      </c>
      <c r="C29" s="878"/>
      <c r="D29" s="539">
        <v>100</v>
      </c>
      <c r="E29" s="881"/>
      <c r="F29" s="574" t="e">
        <f>LOOKUP(E29,86:86,87:87)-LOOKUP(C29,86:86,87:87)+100</f>
        <v>#N/A</v>
      </c>
      <c r="G29" s="881"/>
      <c r="H29" s="574" t="e">
        <f>LOOKUP(G29,86:86,87:87)-LOOKUP(C29,86:86,87:87)+100</f>
        <v>#N/A</v>
      </c>
      <c r="I29" s="881"/>
      <c r="J29" s="539" t="e">
        <f>LOOKUP(I29,86:86,87:87)-LOOKUP(C29,86:86,87:87)+100</f>
        <v>#N/A</v>
      </c>
      <c r="K29" s="583"/>
      <c r="L29" s="2141"/>
      <c r="M29" s="2133"/>
      <c r="N29" s="2133"/>
      <c r="O29" s="2140"/>
      <c r="P29" s="3399"/>
      <c r="Q29" s="1570" t="str">
        <f t="shared" si="11"/>
        <v>成新率</v>
      </c>
      <c r="R29" s="1571" t="s">
        <v>8</v>
      </c>
      <c r="S29" s="1572" t="e">
        <f t="shared" si="12"/>
        <v>#N/A</v>
      </c>
      <c r="T29" s="1571" t="s">
        <v>8</v>
      </c>
      <c r="U29" s="1572" t="e">
        <f t="shared" si="13"/>
        <v>#N/A</v>
      </c>
      <c r="V29" s="1571" t="s">
        <v>8</v>
      </c>
      <c r="W29" s="1572" t="e">
        <f t="shared" si="14"/>
        <v>#N/A</v>
      </c>
      <c r="X29" s="1565"/>
      <c r="Y29" s="3399"/>
      <c r="Z29" s="1573" t="str">
        <f t="shared" si="15"/>
        <v>成新率</v>
      </c>
      <c r="AA29" s="1574" t="e">
        <f t="shared" si="3"/>
        <v>#N/A</v>
      </c>
      <c r="AB29" s="1574" t="e">
        <f t="shared" si="4"/>
        <v>#N/A</v>
      </c>
      <c r="AC29" s="1574" t="e">
        <f t="shared" si="5"/>
        <v>#N/A</v>
      </c>
    </row>
    <row r="30" spans="1:29" ht="15">
      <c r="A30" s="929"/>
      <c r="B30" s="581" t="s">
        <v>775</v>
      </c>
      <c r="C30" s="930"/>
      <c r="D30" s="539">
        <v>100</v>
      </c>
      <c r="E30" s="930"/>
      <c r="F30" s="574">
        <f>SUMIF(88:88,E30,89:89)-SUMIF(88:88,C30,89:89)+100</f>
        <v>100</v>
      </c>
      <c r="G30" s="930"/>
      <c r="H30" s="539">
        <f>SUMIF(88:88,E30,89:89)-SUMIF(88:88,C30,89:89)+100</f>
        <v>100</v>
      </c>
      <c r="I30" s="930"/>
      <c r="J30" s="539">
        <f>SUMIF(88:88,E30,89:89)-SUMIF(88:88,C30,89:89)+100</f>
        <v>100</v>
      </c>
      <c r="K30" s="583"/>
      <c r="L30" s="2141"/>
      <c r="M30" s="2133"/>
      <c r="N30" s="2133"/>
      <c r="O30" s="2140"/>
      <c r="P30" s="3399"/>
      <c r="Q30" s="1570" t="str">
        <f t="shared" si="11"/>
        <v>物业等级</v>
      </c>
      <c r="R30" s="1571" t="s">
        <v>8</v>
      </c>
      <c r="S30" s="1572">
        <f t="shared" si="12"/>
        <v>100</v>
      </c>
      <c r="T30" s="1571" t="s">
        <v>8</v>
      </c>
      <c r="U30" s="1572">
        <f t="shared" si="13"/>
        <v>100</v>
      </c>
      <c r="V30" s="1571" t="s">
        <v>8</v>
      </c>
      <c r="W30" s="1572">
        <f t="shared" si="14"/>
        <v>100</v>
      </c>
      <c r="X30" s="1565"/>
      <c r="Y30" s="3399"/>
      <c r="Z30" s="1573" t="str">
        <f t="shared" si="15"/>
        <v>物业等级</v>
      </c>
      <c r="AA30" s="1574">
        <f t="shared" si="3"/>
        <v>1</v>
      </c>
      <c r="AB30" s="1574">
        <f t="shared" si="4"/>
        <v>1</v>
      </c>
      <c r="AC30" s="1574">
        <f t="shared" si="5"/>
        <v>1</v>
      </c>
    </row>
    <row r="31" spans="1:29" s="1218" customFormat="1" ht="15">
      <c r="A31" s="931"/>
      <c r="B31" s="581" t="s">
        <v>776</v>
      </c>
      <c r="C31" s="878"/>
      <c r="D31" s="254">
        <v>100</v>
      </c>
      <c r="E31" s="878"/>
      <c r="F31" s="574" t="e">
        <f>LOOKUP(E31,91:91,92:92)-LOOKUP(C31,91:91,92:92)+100</f>
        <v>#N/A</v>
      </c>
      <c r="G31" s="878"/>
      <c r="H31" s="539" t="e">
        <f>LOOKUP(G31,91:91,92:92)-LOOKUP(C31,91:91,92:92)+100</f>
        <v>#N/A</v>
      </c>
      <c r="I31" s="878"/>
      <c r="J31" s="539" t="e">
        <f>LOOKUP(I31,91:91,92:92)-LOOKUP(C31,91:91,92:92)+100</f>
        <v>#N/A</v>
      </c>
      <c r="K31" s="583"/>
      <c r="L31" s="2134"/>
      <c r="M31" s="2135"/>
      <c r="N31" s="2135"/>
      <c r="O31" s="2136"/>
      <c r="P31" s="3399"/>
      <c r="Q31" s="1149" t="str">
        <f t="shared" si="11"/>
        <v>停车位面积</v>
      </c>
      <c r="R31" s="1566" t="s">
        <v>8</v>
      </c>
      <c r="S31" s="1567" t="e">
        <f t="shared" si="12"/>
        <v>#N/A</v>
      </c>
      <c r="T31" s="1566" t="s">
        <v>8</v>
      </c>
      <c r="U31" s="1567" t="e">
        <f t="shared" si="13"/>
        <v>#N/A</v>
      </c>
      <c r="V31" s="1566" t="s">
        <v>8</v>
      </c>
      <c r="W31" s="1567" t="e">
        <f t="shared" si="14"/>
        <v>#N/A</v>
      </c>
      <c r="X31" s="1568"/>
      <c r="Y31" s="3399"/>
      <c r="Z31" s="1148" t="str">
        <f t="shared" si="15"/>
        <v>停车位面积</v>
      </c>
      <c r="AA31" s="1569" t="e">
        <f t="shared" si="3"/>
        <v>#N/A</v>
      </c>
      <c r="AB31" s="1569" t="e">
        <f t="shared" si="4"/>
        <v>#N/A</v>
      </c>
      <c r="AC31" s="1569" t="e">
        <f t="shared" si="5"/>
        <v>#N/A</v>
      </c>
    </row>
    <row r="32" spans="1:29" ht="15">
      <c r="A32" s="929"/>
      <c r="B32" s="581" t="s">
        <v>777</v>
      </c>
      <c r="C32" s="573"/>
      <c r="D32" s="539">
        <v>100</v>
      </c>
      <c r="E32" s="573"/>
      <c r="F32" s="574">
        <f>SUMIF(93:93,E32,94:94)-SUMIF(93:93,C32,94:94)+100</f>
        <v>100</v>
      </c>
      <c r="G32" s="573"/>
      <c r="H32" s="539">
        <f>SUMIF(93:93,G32,94:94)-SUMIF(93:93,C32,94:94)+100</f>
        <v>100</v>
      </c>
      <c r="I32" s="573"/>
      <c r="J32" s="539">
        <f>SUMIF(93:93,I32,94:94)-SUMIF(93:93,C32,94:94)+100</f>
        <v>100</v>
      </c>
      <c r="K32" s="583"/>
      <c r="L32" s="2141"/>
      <c r="M32" s="2133"/>
      <c r="N32" s="2133"/>
      <c r="O32" s="2140"/>
      <c r="P32" s="3399" t="s">
        <v>515</v>
      </c>
      <c r="Q32" s="1570" t="str">
        <f t="shared" si="11"/>
        <v>车位类型</v>
      </c>
      <c r="R32" s="1571" t="s">
        <v>8</v>
      </c>
      <c r="S32" s="1572">
        <f t="shared" si="12"/>
        <v>100</v>
      </c>
      <c r="T32" s="1571" t="s">
        <v>8</v>
      </c>
      <c r="U32" s="1572">
        <f t="shared" si="13"/>
        <v>100</v>
      </c>
      <c r="V32" s="1571" t="s">
        <v>8</v>
      </c>
      <c r="W32" s="1572">
        <f t="shared" si="14"/>
        <v>100</v>
      </c>
      <c r="X32" s="1565"/>
      <c r="Y32" s="3399" t="s">
        <v>515</v>
      </c>
      <c r="Z32" s="1573" t="str">
        <f t="shared" si="15"/>
        <v>车位类型</v>
      </c>
      <c r="AA32" s="1574">
        <f t="shared" si="3"/>
        <v>1</v>
      </c>
      <c r="AB32" s="1574">
        <f t="shared" si="4"/>
        <v>1</v>
      </c>
      <c r="AC32" s="1574">
        <f t="shared" si="5"/>
        <v>1</v>
      </c>
    </row>
    <row r="33" spans="1:29" ht="15">
      <c r="A33" s="929"/>
      <c r="B33" s="581" t="s">
        <v>778</v>
      </c>
      <c r="C33" s="573"/>
      <c r="D33" s="539">
        <v>100</v>
      </c>
      <c r="E33" s="573"/>
      <c r="F33" s="574">
        <f>SUMIF(95:95,E33,96:96)-SUMIF(95:95,C33,96:96)+100</f>
        <v>100</v>
      </c>
      <c r="G33" s="573"/>
      <c r="H33" s="539">
        <f>SUMIF(95:95,G33,96:96)-SUMIF(95:95,C33,96:96)+100</f>
        <v>100</v>
      </c>
      <c r="I33" s="573"/>
      <c r="J33" s="539">
        <f>SUMIF(95:95,I33,96:96)-SUMIF(95:95,C33,96:96)+100</f>
        <v>100</v>
      </c>
      <c r="K33" s="583"/>
      <c r="L33" s="2141"/>
      <c r="M33" s="2133"/>
      <c r="N33" s="2133"/>
      <c r="O33" s="2140"/>
      <c r="P33" s="3399"/>
      <c r="Q33" s="1570" t="str">
        <f t="shared" si="11"/>
        <v>是否直接入户</v>
      </c>
      <c r="R33" s="1571" t="s">
        <v>8</v>
      </c>
      <c r="S33" s="1572">
        <f t="shared" si="12"/>
        <v>100</v>
      </c>
      <c r="T33" s="1571" t="s">
        <v>8</v>
      </c>
      <c r="U33" s="1572">
        <f t="shared" si="13"/>
        <v>100</v>
      </c>
      <c r="V33" s="1571" t="s">
        <v>8</v>
      </c>
      <c r="W33" s="1572">
        <f t="shared" si="14"/>
        <v>100</v>
      </c>
      <c r="X33" s="1565"/>
      <c r="Y33" s="3399"/>
      <c r="Z33" s="1573" t="str">
        <f t="shared" si="15"/>
        <v>是否直接入户</v>
      </c>
      <c r="AA33" s="1574">
        <f t="shared" si="3"/>
        <v>1</v>
      </c>
      <c r="AB33" s="1574">
        <f t="shared" si="4"/>
        <v>1</v>
      </c>
      <c r="AC33" s="1574">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41"/>
      <c r="M34" s="2133"/>
      <c r="N34" s="2133"/>
      <c r="O34" s="2140"/>
      <c r="P34" s="3399"/>
      <c r="Q34" s="1570">
        <f t="shared" si="11"/>
        <v>111</v>
      </c>
      <c r="R34" s="1571" t="s">
        <v>8</v>
      </c>
      <c r="S34" s="1572">
        <f t="shared" si="12"/>
        <v>100</v>
      </c>
      <c r="T34" s="1571" t="s">
        <v>8</v>
      </c>
      <c r="U34" s="1572">
        <f t="shared" si="13"/>
        <v>100</v>
      </c>
      <c r="V34" s="1571" t="s">
        <v>8</v>
      </c>
      <c r="W34" s="1572">
        <f t="shared" si="14"/>
        <v>100</v>
      </c>
      <c r="X34" s="1565"/>
      <c r="Y34" s="3399"/>
      <c r="Z34" s="1573">
        <f t="shared" si="15"/>
        <v>111</v>
      </c>
      <c r="AA34" s="1574">
        <f t="shared" si="3"/>
        <v>1</v>
      </c>
      <c r="AB34" s="1574">
        <f t="shared" si="4"/>
        <v>1</v>
      </c>
      <c r="AC34" s="1574">
        <f t="shared" si="5"/>
        <v>1</v>
      </c>
    </row>
    <row r="35" spans="1:29" s="1337"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9"/>
      <c r="M35" s="2170"/>
      <c r="N35" s="2170"/>
      <c r="O35" s="2142"/>
      <c r="P35" s="3399"/>
      <c r="Q35" s="1603">
        <f t="shared" si="11"/>
        <v>111</v>
      </c>
      <c r="R35" s="1575" t="s">
        <v>8</v>
      </c>
      <c r="S35" s="1576">
        <f t="shared" si="12"/>
        <v>100</v>
      </c>
      <c r="T35" s="1575" t="s">
        <v>8</v>
      </c>
      <c r="U35" s="1576">
        <f t="shared" si="13"/>
        <v>100</v>
      </c>
      <c r="V35" s="1575" t="s">
        <v>8</v>
      </c>
      <c r="W35" s="1576">
        <f t="shared" si="14"/>
        <v>100</v>
      </c>
      <c r="X35" s="1577"/>
      <c r="Y35" s="3399"/>
      <c r="Z35" s="1578">
        <f t="shared" si="15"/>
        <v>111</v>
      </c>
      <c r="AA35" s="1574">
        <f t="shared" si="3"/>
        <v>1</v>
      </c>
      <c r="AB35" s="1574">
        <f t="shared" si="4"/>
        <v>1</v>
      </c>
      <c r="AC35" s="1574">
        <f t="shared" si="5"/>
        <v>1</v>
      </c>
    </row>
    <row r="36" spans="1:29" ht="15.6"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1"/>
      <c r="M36" s="2133"/>
      <c r="N36" s="2133"/>
      <c r="O36" s="2140"/>
      <c r="P36" s="3399"/>
      <c r="Q36" s="1570">
        <f t="shared" si="11"/>
        <v>111</v>
      </c>
      <c r="R36" s="1571" t="s">
        <v>8</v>
      </c>
      <c r="S36" s="1572">
        <f t="shared" si="12"/>
        <v>100</v>
      </c>
      <c r="T36" s="1571" t="s">
        <v>8</v>
      </c>
      <c r="U36" s="1572">
        <f t="shared" si="13"/>
        <v>100</v>
      </c>
      <c r="V36" s="1571" t="s">
        <v>8</v>
      </c>
      <c r="W36" s="1572">
        <f t="shared" si="14"/>
        <v>100</v>
      </c>
      <c r="X36" s="1565"/>
      <c r="Y36" s="3399"/>
      <c r="Z36" s="1573">
        <f t="shared" si="15"/>
        <v>111</v>
      </c>
      <c r="AA36" s="1574">
        <f t="shared" si="3"/>
        <v>1</v>
      </c>
      <c r="AB36" s="1574">
        <f t="shared" si="4"/>
        <v>1</v>
      </c>
      <c r="AC36" s="1574">
        <f t="shared" si="5"/>
        <v>1</v>
      </c>
    </row>
    <row r="37" spans="1:29" ht="14.4">
      <c r="A37" s="1845" t="s">
        <v>2039</v>
      </c>
      <c r="B37" s="1846" t="s">
        <v>2040</v>
      </c>
      <c r="C37" s="2626" t="s">
        <v>1</v>
      </c>
      <c r="D37" s="2627"/>
      <c r="E37" s="2628"/>
      <c r="F37" s="2629"/>
      <c r="G37" s="2630"/>
      <c r="H37" s="2631"/>
      <c r="I37" s="2628"/>
      <c r="J37" s="2631"/>
      <c r="K37" s="1609"/>
      <c r="L37" s="2143"/>
      <c r="M37" s="2144"/>
      <c r="N37" s="2133"/>
      <c r="O37" s="2144"/>
      <c r="P37" s="3362" t="str">
        <f>A37</f>
        <v>成交单价</v>
      </c>
      <c r="Q37" s="3362"/>
      <c r="R37" s="3477">
        <f>E37</f>
        <v>0</v>
      </c>
      <c r="S37" s="3477"/>
      <c r="T37" s="3477">
        <f>G37</f>
        <v>0</v>
      </c>
      <c r="U37" s="3477"/>
      <c r="V37" s="3477">
        <f>I37</f>
        <v>0</v>
      </c>
      <c r="W37" s="3477"/>
      <c r="X37" s="1557"/>
      <c r="Y37" s="1579"/>
      <c r="Z37" s="1557"/>
      <c r="AA37" s="1557"/>
      <c r="AB37" s="1557"/>
      <c r="AC37" s="1557"/>
    </row>
    <row r="38" spans="1:29" ht="15" thickBot="1">
      <c r="A38" s="614" t="s">
        <v>2722</v>
      </c>
      <c r="B38" s="886"/>
      <c r="C38" s="2632" t="e">
        <f>R39</f>
        <v>#DIV/0!</v>
      </c>
      <c r="D38" s="2633"/>
      <c r="E38" s="2634" t="e">
        <f>R38</f>
        <v>#DIV/0!</v>
      </c>
      <c r="F38" s="2634"/>
      <c r="G38" s="2632" t="e">
        <f>T38</f>
        <v>#DIV/0!</v>
      </c>
      <c r="H38" s="2633"/>
      <c r="I38" s="2634" t="e">
        <f>V38</f>
        <v>#DIV/0!</v>
      </c>
      <c r="J38" s="2633"/>
      <c r="K38" s="1610"/>
      <c r="L38" s="2143"/>
      <c r="M38" s="2144"/>
      <c r="N38" s="2144"/>
      <c r="O38" s="2144"/>
      <c r="P38" s="3362" t="str">
        <f>A38</f>
        <v>比较价格（元/平方米）</v>
      </c>
      <c r="Q38" s="3362"/>
      <c r="R38" s="3477" t="e">
        <f>IF(F1="售价",ROUND(PRODUCT(R37,AA7:AA36),0),ROUND(PRODUCT(R37,AA7:AA36),1))</f>
        <v>#DIV/0!</v>
      </c>
      <c r="S38" s="3477"/>
      <c r="T38" s="3477" t="e">
        <f>IF(F1="售价",ROUND(PRODUCT(T37,AB7:AB36),0),ROUND(PRODUCT(T37,AB7:AB36),1))</f>
        <v>#DIV/0!</v>
      </c>
      <c r="U38" s="3477"/>
      <c r="V38" s="3477" t="e">
        <f>IF(F1="售价",ROUND(PRODUCT(V37,AC7:AC36),0),ROUND(PRODUCT(V37,AC7:AC36),1))</f>
        <v>#DIV/0!</v>
      </c>
      <c r="W38" s="3477"/>
      <c r="X38" s="1557"/>
      <c r="Y38" s="1557"/>
      <c r="Z38" s="1557"/>
      <c r="AA38" s="1557"/>
      <c r="AB38" s="1557"/>
      <c r="AC38" s="1557"/>
    </row>
    <row r="39" spans="1:29" ht="15" thickBot="1">
      <c r="A39" s="620" t="s">
        <v>2895</v>
      </c>
      <c r="B39" s="621"/>
      <c r="C39" s="2635" t="e">
        <f>R39</f>
        <v>#DIV/0!</v>
      </c>
      <c r="D39" s="2635"/>
      <c r="E39" s="2635"/>
      <c r="F39" s="2635"/>
      <c r="G39" s="2635"/>
      <c r="H39" s="2635"/>
      <c r="I39" s="2635"/>
      <c r="J39" s="2635"/>
      <c r="K39" s="1611"/>
      <c r="L39" s="2143"/>
      <c r="M39" s="2144"/>
      <c r="N39" s="2144"/>
      <c r="O39" s="2144"/>
      <c r="P39" s="3359" t="str">
        <f>A39</f>
        <v>估价对象XX用房的比较价格（楼面单价，元/平方米）</v>
      </c>
      <c r="Q39" s="3360"/>
      <c r="R39" s="3476" t="e">
        <f>IF(F1="售价",ROUND(AVERAGE(R38:V38),0),ROUND(AVERAGE(R38:V38),1))</f>
        <v>#DIV/0!</v>
      </c>
      <c r="S39" s="3476"/>
      <c r="T39" s="3476"/>
      <c r="U39" s="3476"/>
      <c r="V39" s="3476"/>
      <c r="W39" s="3476"/>
      <c r="X39" s="1557"/>
      <c r="Y39" s="1557"/>
      <c r="Z39" s="1557"/>
      <c r="AA39" s="1557"/>
      <c r="AB39" s="1557"/>
      <c r="AC39" s="1557"/>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3" t="s">
        <v>522</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3" t="s">
        <v>523</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3" customFormat="1" ht="13.5" customHeight="1">
      <c r="A44" s="2145"/>
      <c r="B44" s="2145"/>
      <c r="C44" s="623" t="s">
        <v>524</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3"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2.2" thickBot="1">
      <c r="A47" s="1582" t="s">
        <v>539</v>
      </c>
      <c r="B47" s="1557"/>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5" customFormat="1" ht="14.4">
      <c r="A48" s="644" t="s">
        <v>494</v>
      </c>
      <c r="B48" s="645"/>
      <c r="C48" s="2801" t="str">
        <f>YEAR(C7)&amp;"-"&amp;MONTH(C7)</f>
        <v>2018-12</v>
      </c>
      <c r="D48" s="2803">
        <f>EDATE(C48,-1)</f>
        <v>43405</v>
      </c>
      <c r="E48" s="2803">
        <f t="shared" ref="E48:O48" si="16">EDATE(D48,-1)</f>
        <v>43374</v>
      </c>
      <c r="F48" s="2803">
        <f t="shared" si="16"/>
        <v>43344</v>
      </c>
      <c r="G48" s="2803">
        <f t="shared" si="16"/>
        <v>43313</v>
      </c>
      <c r="H48" s="2803">
        <f t="shared" si="16"/>
        <v>43282</v>
      </c>
      <c r="I48" s="2803">
        <f t="shared" si="16"/>
        <v>43252</v>
      </c>
      <c r="J48" s="2803">
        <f t="shared" si="16"/>
        <v>43221</v>
      </c>
      <c r="K48" s="2803">
        <f t="shared" si="16"/>
        <v>43191</v>
      </c>
      <c r="L48" s="2803">
        <f t="shared" si="16"/>
        <v>43160</v>
      </c>
      <c r="M48" s="2803">
        <f t="shared" si="16"/>
        <v>43132</v>
      </c>
      <c r="N48" s="2803">
        <f t="shared" si="16"/>
        <v>43101</v>
      </c>
      <c r="O48" s="2803">
        <f t="shared" si="16"/>
        <v>43070</v>
      </c>
      <c r="P48" s="2159"/>
      <c r="Q48" s="2160"/>
      <c r="R48" s="2160"/>
      <c r="S48" s="2160"/>
      <c r="T48" s="2160"/>
      <c r="U48" s="2160"/>
      <c r="V48" s="2160"/>
      <c r="W48" s="2160"/>
      <c r="X48" s="2160"/>
      <c r="Y48" s="2160"/>
      <c r="Z48" s="2160"/>
      <c r="AA48" s="2160"/>
      <c r="AB48" s="2160"/>
      <c r="AC48" s="2160"/>
    </row>
    <row r="49" spans="1:29" s="1218" customFormat="1">
      <c r="A49" s="646"/>
      <c r="B49" s="647"/>
      <c r="C49" s="2802">
        <v>100</v>
      </c>
      <c r="D49" s="649"/>
      <c r="E49" s="649"/>
      <c r="F49" s="649"/>
      <c r="G49" s="649"/>
      <c r="H49" s="649"/>
      <c r="I49" s="649"/>
      <c r="J49" s="649"/>
      <c r="K49" s="649"/>
      <c r="L49" s="649"/>
      <c r="M49" s="650"/>
      <c r="N49" s="649"/>
      <c r="O49" s="651"/>
      <c r="P49" s="2157"/>
      <c r="Q49" s="1992"/>
      <c r="R49" s="1992"/>
      <c r="S49" s="1992"/>
      <c r="T49" s="1992"/>
      <c r="U49" s="1992"/>
      <c r="V49" s="1992"/>
      <c r="W49" s="1992"/>
      <c r="X49" s="1992"/>
      <c r="Y49" s="1992"/>
      <c r="Z49" s="1992"/>
      <c r="AA49" s="1992"/>
      <c r="AB49" s="1992"/>
      <c r="AC49" s="1992"/>
    </row>
    <row r="50" spans="1:29" s="1218" customFormat="1" ht="15" thickBot="1">
      <c r="A50" s="652" t="s">
        <v>540</v>
      </c>
      <c r="B50" s="653"/>
      <c r="C50" s="654"/>
      <c r="D50" s="655"/>
      <c r="E50" s="655"/>
      <c r="F50" s="655"/>
      <c r="G50" s="655"/>
      <c r="H50" s="655"/>
      <c r="I50" s="655"/>
      <c r="J50" s="655"/>
      <c r="K50" s="655"/>
      <c r="L50" s="655"/>
      <c r="M50" s="656"/>
      <c r="N50" s="655"/>
      <c r="O50" s="657"/>
      <c r="P50" s="2157"/>
      <c r="Q50" s="2157"/>
      <c r="R50" s="1992"/>
      <c r="S50" s="1992"/>
      <c r="T50" s="1992"/>
      <c r="U50" s="1992"/>
      <c r="V50" s="1992"/>
      <c r="W50" s="1992"/>
      <c r="X50" s="1992"/>
      <c r="Y50" s="1992"/>
      <c r="Z50" s="1992"/>
      <c r="AA50" s="1992"/>
      <c r="AB50" s="1992"/>
      <c r="AC50" s="1992"/>
    </row>
    <row r="51" spans="1:29" s="1218" customFormat="1" ht="14.4">
      <c r="A51" s="658" t="s">
        <v>496</v>
      </c>
      <c r="B51" s="647"/>
      <c r="C51" s="659" t="s">
        <v>541</v>
      </c>
      <c r="D51" s="660"/>
      <c r="E51" s="660"/>
      <c r="F51" s="660"/>
      <c r="G51" s="660"/>
      <c r="H51" s="660"/>
      <c r="I51" s="660"/>
      <c r="J51" s="660"/>
      <c r="K51" s="660"/>
      <c r="L51" s="661"/>
      <c r="M51" s="662"/>
      <c r="N51" s="2161"/>
      <c r="O51" s="2161"/>
      <c r="P51" s="2162"/>
      <c r="Q51" s="2157"/>
      <c r="R51" s="1992"/>
      <c r="S51" s="1992"/>
      <c r="T51" s="1992"/>
      <c r="U51" s="1992"/>
      <c r="V51" s="1992"/>
      <c r="W51" s="1992"/>
      <c r="X51" s="1992"/>
      <c r="Y51" s="1992"/>
      <c r="Z51" s="1992"/>
      <c r="AA51" s="1992"/>
      <c r="AB51" s="1992"/>
      <c r="AC51" s="1992"/>
    </row>
    <row r="52" spans="1:29" s="1218" customFormat="1" ht="14.4" thickBot="1">
      <c r="A52" s="658"/>
      <c r="B52" s="647"/>
      <c r="C52" s="648">
        <v>100</v>
      </c>
      <c r="D52" s="649"/>
      <c r="E52" s="649"/>
      <c r="F52" s="649"/>
      <c r="G52" s="649"/>
      <c r="H52" s="649"/>
      <c r="I52" s="649"/>
      <c r="J52" s="649"/>
      <c r="K52" s="649"/>
      <c r="L52" s="649"/>
      <c r="M52" s="651"/>
      <c r="N52" s="2161"/>
      <c r="O52" s="2161"/>
      <c r="P52" s="2157"/>
      <c r="Q52" s="2157"/>
      <c r="R52" s="1992"/>
      <c r="S52" s="1992"/>
      <c r="T52" s="1992"/>
      <c r="U52" s="1992"/>
      <c r="V52" s="1992"/>
      <c r="W52" s="1992"/>
      <c r="X52" s="1992"/>
      <c r="Y52" s="1992"/>
      <c r="Z52" s="1992"/>
      <c r="AA52" s="1992"/>
      <c r="AB52" s="1992"/>
      <c r="AC52" s="1992"/>
    </row>
    <row r="53" spans="1:29" ht="14.4">
      <c r="A53" s="663" t="s">
        <v>542</v>
      </c>
      <c r="B53" s="664" t="s">
        <v>499</v>
      </c>
      <c r="C53" s="703">
        <f>C9</f>
        <v>0</v>
      </c>
      <c r="D53" s="597"/>
      <c r="E53" s="597"/>
      <c r="F53" s="597"/>
      <c r="G53" s="597"/>
      <c r="H53" s="597"/>
      <c r="I53" s="597"/>
      <c r="J53" s="597"/>
      <c r="K53" s="665"/>
      <c r="L53" s="666"/>
      <c r="M53" s="667"/>
      <c r="N53" s="2163"/>
      <c r="O53" s="2163"/>
      <c r="P53" s="2164"/>
      <c r="Q53" s="2157"/>
      <c r="R53" s="2144"/>
      <c r="S53" s="2144"/>
      <c r="T53" s="2144"/>
      <c r="U53" s="2144"/>
      <c r="V53" s="2144"/>
      <c r="W53" s="2144"/>
      <c r="X53" s="2144"/>
      <c r="Y53" s="2144"/>
      <c r="Z53" s="2144"/>
      <c r="AA53" s="2144"/>
      <c r="AB53" s="2144"/>
      <c r="AC53" s="2144"/>
    </row>
    <row r="54" spans="1:29" ht="14.4" thickBot="1">
      <c r="A54" s="668"/>
      <c r="B54" s="669"/>
      <c r="C54" s="670"/>
      <c r="D54" s="670"/>
      <c r="E54" s="670"/>
      <c r="F54" s="670"/>
      <c r="G54" s="670"/>
      <c r="H54" s="670"/>
      <c r="I54" s="670"/>
      <c r="J54" s="670"/>
      <c r="K54" s="670"/>
      <c r="L54" s="670"/>
      <c r="M54" s="671"/>
      <c r="N54" s="2165"/>
      <c r="O54" s="2165"/>
      <c r="P54" s="2164"/>
      <c r="Q54" s="2157"/>
      <c r="R54" s="2144"/>
      <c r="S54" s="2144"/>
      <c r="T54" s="2144"/>
      <c r="U54" s="2144"/>
      <c r="V54" s="2144"/>
      <c r="W54" s="2144"/>
      <c r="X54" s="2144"/>
      <c r="Y54" s="2144"/>
      <c r="Z54" s="2144"/>
      <c r="AA54" s="2144"/>
      <c r="AB54" s="2144"/>
      <c r="AC54" s="2144"/>
    </row>
    <row r="55" spans="1:29" ht="29.4" thickTop="1">
      <c r="A55" s="668"/>
      <c r="B55" s="672" t="s">
        <v>502</v>
      </c>
      <c r="C55" s="673" t="s">
        <v>702</v>
      </c>
      <c r="D55" s="673" t="s">
        <v>703</v>
      </c>
      <c r="E55" s="673" t="s">
        <v>704</v>
      </c>
      <c r="F55" s="673" t="s">
        <v>705</v>
      </c>
      <c r="G55" s="673" t="s">
        <v>706</v>
      </c>
      <c r="H55" s="673" t="s">
        <v>707</v>
      </c>
      <c r="I55" s="673" t="s">
        <v>708</v>
      </c>
      <c r="J55" s="673"/>
      <c r="K55" s="674"/>
      <c r="L55" s="675"/>
      <c r="M55" s="676"/>
      <c r="N55" s="2163"/>
      <c r="O55" s="2163"/>
      <c r="P55" s="2164"/>
      <c r="Q55" s="2157"/>
      <c r="R55" s="2144"/>
      <c r="S55" s="2144"/>
      <c r="T55" s="2144"/>
      <c r="U55" s="2144"/>
      <c r="V55" s="2144"/>
      <c r="W55" s="2144"/>
      <c r="X55" s="2144"/>
      <c r="Y55" s="2144"/>
      <c r="Z55" s="2144"/>
      <c r="AA55" s="2144"/>
      <c r="AB55" s="2144"/>
      <c r="AC55" s="2144"/>
    </row>
    <row r="56" spans="1:29" ht="14.4" thickBot="1">
      <c r="A56" s="668"/>
      <c r="B56" s="677"/>
      <c r="C56" s="678" t="s">
        <v>13</v>
      </c>
      <c r="D56" s="678" t="s">
        <v>14</v>
      </c>
      <c r="E56" s="678">
        <v>100</v>
      </c>
      <c r="F56" s="678">
        <f>E56-$K10</f>
        <v>100</v>
      </c>
      <c r="G56" s="678">
        <f>F56-$K10</f>
        <v>100</v>
      </c>
      <c r="H56" s="678">
        <f>G56-$K10</f>
        <v>100</v>
      </c>
      <c r="I56" s="678">
        <f>H56-$K10</f>
        <v>100</v>
      </c>
      <c r="J56" s="678"/>
      <c r="K56" s="678"/>
      <c r="L56" s="678"/>
      <c r="M56" s="679"/>
      <c r="N56" s="2165"/>
      <c r="O56" s="2165"/>
      <c r="P56" s="2164"/>
      <c r="Q56" s="2157"/>
      <c r="R56" s="2144"/>
      <c r="S56" s="2144"/>
      <c r="T56" s="2144"/>
      <c r="U56" s="2144"/>
      <c r="V56" s="2144"/>
      <c r="W56" s="2144"/>
      <c r="X56" s="2144"/>
      <c r="Y56" s="2144"/>
      <c r="Z56" s="2144"/>
      <c r="AA56" s="2144"/>
      <c r="AB56" s="2144"/>
      <c r="AC56" s="2144"/>
    </row>
    <row r="57" spans="1:29" ht="14.4" thickTop="1">
      <c r="A57" s="668"/>
      <c r="B57" s="933">
        <f>B11</f>
        <v>111</v>
      </c>
      <c r="C57" s="540"/>
      <c r="D57" s="540"/>
      <c r="E57" s="540"/>
      <c r="F57" s="540"/>
      <c r="G57" s="540"/>
      <c r="H57" s="540"/>
      <c r="I57" s="540"/>
      <c r="J57" s="540"/>
      <c r="K57" s="683"/>
      <c r="L57" s="684"/>
      <c r="M57" s="685"/>
      <c r="N57" s="2163"/>
      <c r="O57" s="2163"/>
      <c r="P57" s="2164"/>
      <c r="Q57" s="2157"/>
      <c r="R57" s="2144"/>
      <c r="S57" s="2144"/>
      <c r="T57" s="2144"/>
      <c r="U57" s="2144"/>
      <c r="V57" s="2144"/>
      <c r="W57" s="2144"/>
      <c r="X57" s="2144"/>
      <c r="Y57" s="2144"/>
      <c r="Z57" s="2144"/>
      <c r="AA57" s="2144"/>
      <c r="AB57" s="2144"/>
      <c r="AC57" s="2144"/>
    </row>
    <row r="58" spans="1:29" ht="14.4" thickBot="1">
      <c r="A58" s="668"/>
      <c r="B58" s="669"/>
      <c r="C58" s="691"/>
      <c r="D58" s="670"/>
      <c r="E58" s="670"/>
      <c r="F58" s="670"/>
      <c r="G58" s="670"/>
      <c r="H58" s="670"/>
      <c r="I58" s="670"/>
      <c r="J58" s="670"/>
      <c r="K58" s="670"/>
      <c r="L58" s="670"/>
      <c r="M58" s="671"/>
      <c r="N58" s="2165"/>
      <c r="O58" s="2165"/>
      <c r="P58" s="2164"/>
      <c r="Q58" s="2157"/>
      <c r="R58" s="2144"/>
      <c r="S58" s="2144"/>
      <c r="T58" s="2144"/>
      <c r="U58" s="2144"/>
      <c r="V58" s="2144"/>
      <c r="W58" s="2144"/>
      <c r="X58" s="2144"/>
      <c r="Y58" s="2144"/>
      <c r="Z58" s="2144"/>
      <c r="AA58" s="2144"/>
      <c r="AB58" s="2144"/>
      <c r="AC58" s="2144"/>
    </row>
    <row r="59" spans="1:29" s="1337" customFormat="1" ht="14.4" thickTop="1">
      <c r="A59" s="686"/>
      <c r="B59" s="672">
        <f>B12</f>
        <v>111</v>
      </c>
      <c r="C59" s="540"/>
      <c r="D59" s="540"/>
      <c r="E59" s="540"/>
      <c r="F59" s="540"/>
      <c r="G59" s="687"/>
      <c r="H59" s="688"/>
      <c r="I59" s="688"/>
      <c r="J59" s="688"/>
      <c r="K59" s="688"/>
      <c r="L59" s="689"/>
      <c r="M59" s="690"/>
      <c r="N59" s="2166"/>
      <c r="O59" s="2166"/>
      <c r="P59" s="2167"/>
      <c r="Q59" s="2168"/>
      <c r="R59" s="2169"/>
      <c r="S59" s="2169"/>
      <c r="T59" s="2169"/>
      <c r="U59" s="2169"/>
      <c r="V59" s="2169"/>
      <c r="W59" s="2169"/>
      <c r="X59" s="2169"/>
      <c r="Y59" s="2169"/>
      <c r="Z59" s="2169"/>
      <c r="AA59" s="2169"/>
      <c r="AB59" s="2169"/>
      <c r="AC59" s="2169"/>
    </row>
    <row r="60" spans="1:29" s="1337" customFormat="1" ht="14.4" thickBot="1">
      <c r="A60" s="686"/>
      <c r="B60" s="677"/>
      <c r="C60" s="691"/>
      <c r="D60" s="670"/>
      <c r="E60" s="670"/>
      <c r="F60" s="670"/>
      <c r="G60" s="670"/>
      <c r="H60" s="670"/>
      <c r="I60" s="670"/>
      <c r="J60" s="670"/>
      <c r="K60" s="670"/>
      <c r="L60" s="670"/>
      <c r="M60" s="671"/>
      <c r="N60" s="2165"/>
      <c r="O60" s="2165"/>
      <c r="P60" s="2167"/>
      <c r="Q60" s="2168"/>
      <c r="R60" s="2169"/>
      <c r="S60" s="2169"/>
      <c r="T60" s="2169"/>
      <c r="U60" s="2169"/>
      <c r="V60" s="2169"/>
      <c r="W60" s="2169"/>
      <c r="X60" s="2169"/>
      <c r="Y60" s="2169"/>
      <c r="Z60" s="2169"/>
      <c r="AA60" s="2169"/>
      <c r="AB60" s="2169"/>
      <c r="AC60" s="2169"/>
    </row>
    <row r="61" spans="1:29" s="1337" customFormat="1" ht="14.4" thickTop="1">
      <c r="A61" s="686"/>
      <c r="B61" s="672">
        <f>B13</f>
        <v>111</v>
      </c>
      <c r="C61" s="687"/>
      <c r="D61" s="687"/>
      <c r="E61" s="687"/>
      <c r="F61" s="687"/>
      <c r="G61" s="687"/>
      <c r="H61" s="688"/>
      <c r="I61" s="688"/>
      <c r="J61" s="688"/>
      <c r="K61" s="688"/>
      <c r="L61" s="689"/>
      <c r="M61" s="690"/>
      <c r="N61" s="2166"/>
      <c r="O61" s="2166"/>
      <c r="P61" s="2170"/>
      <c r="Q61" s="2171"/>
      <c r="R61" s="2169"/>
      <c r="S61" s="2169"/>
      <c r="T61" s="2169"/>
      <c r="U61" s="2169"/>
      <c r="V61" s="2169"/>
      <c r="W61" s="2169"/>
      <c r="X61" s="2169"/>
      <c r="Y61" s="2169"/>
      <c r="Z61" s="2169"/>
      <c r="AA61" s="2169"/>
      <c r="AB61" s="2169"/>
      <c r="AC61" s="2169"/>
    </row>
    <row r="62" spans="1:29" s="1337" customFormat="1" ht="14.4" thickBot="1">
      <c r="A62" s="686"/>
      <c r="B62" s="677"/>
      <c r="C62" s="691"/>
      <c r="D62" s="691"/>
      <c r="E62" s="691"/>
      <c r="F62" s="691"/>
      <c r="G62" s="691"/>
      <c r="H62" s="692"/>
      <c r="I62" s="692"/>
      <c r="J62" s="692"/>
      <c r="K62" s="692"/>
      <c r="L62" s="692"/>
      <c r="M62" s="693"/>
      <c r="N62" s="2166"/>
      <c r="O62" s="2166"/>
      <c r="P62" s="2167"/>
      <c r="Q62" s="2168"/>
      <c r="R62" s="2169"/>
      <c r="S62" s="2169"/>
      <c r="T62" s="2169"/>
      <c r="U62" s="2169"/>
      <c r="V62" s="2169"/>
      <c r="W62" s="2169"/>
      <c r="X62" s="2169"/>
      <c r="Y62" s="2169"/>
      <c r="Z62" s="2169"/>
      <c r="AA62" s="2169"/>
      <c r="AB62" s="2169"/>
      <c r="AC62" s="2169"/>
    </row>
    <row r="63" spans="1:29" ht="15" thickTop="1">
      <c r="A63" s="663" t="s">
        <v>504</v>
      </c>
      <c r="B63" s="664" t="s">
        <v>551</v>
      </c>
      <c r="C63" s="702" t="s">
        <v>544</v>
      </c>
      <c r="D63" s="702" t="s">
        <v>545</v>
      </c>
      <c r="E63" s="702" t="s">
        <v>546</v>
      </c>
      <c r="F63" s="702" t="s">
        <v>547</v>
      </c>
      <c r="G63" s="702" t="s">
        <v>548</v>
      </c>
      <c r="H63" s="703"/>
      <c r="I63" s="703"/>
      <c r="J63" s="703"/>
      <c r="K63" s="704"/>
      <c r="L63" s="705"/>
      <c r="M63" s="706"/>
      <c r="N63" s="2163"/>
      <c r="O63" s="2163"/>
      <c r="P63" s="2173"/>
      <c r="Q63" s="2157"/>
      <c r="R63" s="2144"/>
      <c r="S63" s="2144"/>
      <c r="T63" s="2144"/>
      <c r="U63" s="2144"/>
      <c r="V63" s="2144"/>
      <c r="W63" s="2144"/>
      <c r="X63" s="2144"/>
      <c r="Y63" s="2144"/>
      <c r="Z63" s="2144"/>
      <c r="AA63" s="2144"/>
      <c r="AB63" s="2144"/>
      <c r="AC63" s="2144"/>
    </row>
    <row r="64" spans="1:29" ht="14.4" thickBot="1">
      <c r="A64" s="668"/>
      <c r="B64" s="677"/>
      <c r="C64" s="678">
        <v>100</v>
      </c>
      <c r="D64" s="678">
        <f>C64-$K14</f>
        <v>100</v>
      </c>
      <c r="E64" s="678">
        <f>D64-$K14</f>
        <v>100</v>
      </c>
      <c r="F64" s="678">
        <f>E64-$K14</f>
        <v>100</v>
      </c>
      <c r="G64" s="678">
        <f>F64-$K14</f>
        <v>100</v>
      </c>
      <c r="H64" s="678"/>
      <c r="I64" s="678"/>
      <c r="J64" s="678"/>
      <c r="K64" s="678"/>
      <c r="L64" s="678"/>
      <c r="M64" s="679"/>
      <c r="N64" s="2165"/>
      <c r="O64" s="2165"/>
      <c r="P64" s="2164"/>
      <c r="Q64" s="2157"/>
      <c r="R64" s="2144"/>
      <c r="S64" s="2144"/>
      <c r="T64" s="2144"/>
      <c r="U64" s="2144"/>
      <c r="V64" s="2144"/>
      <c r="W64" s="2144"/>
      <c r="X64" s="2144"/>
      <c r="Y64" s="2144"/>
      <c r="Z64" s="2144"/>
      <c r="AA64" s="2144"/>
      <c r="AB64" s="2144"/>
      <c r="AC64" s="2144"/>
    </row>
    <row r="65" spans="1:29" ht="15" thickTop="1">
      <c r="A65" s="668"/>
      <c r="B65" s="1895" t="s">
        <v>2519</v>
      </c>
      <c r="C65" s="707" t="s">
        <v>544</v>
      </c>
      <c r="D65" s="707" t="s">
        <v>545</v>
      </c>
      <c r="E65" s="707" t="s">
        <v>546</v>
      </c>
      <c r="F65" s="707" t="s">
        <v>547</v>
      </c>
      <c r="G65" s="707" t="s">
        <v>548</v>
      </c>
      <c r="H65" s="673"/>
      <c r="I65" s="673"/>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4.4" thickBot="1">
      <c r="A66" s="668"/>
      <c r="B66" s="677"/>
      <c r="C66" s="678">
        <v>100</v>
      </c>
      <c r="D66" s="678">
        <f>C66-$K16</f>
        <v>100</v>
      </c>
      <c r="E66" s="678">
        <f>D66-$K16</f>
        <v>100</v>
      </c>
      <c r="F66" s="678">
        <f>E66-$K16</f>
        <v>100</v>
      </c>
      <c r="G66" s="678">
        <f>F66-$K16</f>
        <v>100</v>
      </c>
      <c r="H66" s="678"/>
      <c r="I66" s="678"/>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 thickTop="1">
      <c r="A67" s="668"/>
      <c r="B67" s="2596" t="s">
        <v>2520</v>
      </c>
      <c r="C67" s="2597" t="s">
        <v>2521</v>
      </c>
      <c r="D67" s="2597" t="s">
        <v>2522</v>
      </c>
      <c r="E67" s="2597" t="s">
        <v>2523</v>
      </c>
      <c r="F67" s="2597" t="s">
        <v>2524</v>
      </c>
      <c r="G67" s="2597" t="s">
        <v>2525</v>
      </c>
      <c r="H67" s="673"/>
      <c r="I67" s="673"/>
      <c r="J67" s="673"/>
      <c r="K67" s="673"/>
      <c r="L67" s="673"/>
      <c r="M67" s="2600"/>
      <c r="N67" s="2165"/>
      <c r="O67" s="2165"/>
      <c r="P67" s="2164"/>
      <c r="Q67" s="2157"/>
      <c r="R67" s="2144"/>
      <c r="S67" s="2144"/>
      <c r="T67" s="2144"/>
      <c r="U67" s="2144"/>
      <c r="V67" s="2144"/>
      <c r="W67" s="2144"/>
      <c r="X67" s="2144"/>
      <c r="Y67" s="2144"/>
      <c r="Z67" s="2144"/>
      <c r="AA67" s="2144"/>
      <c r="AB67" s="2144"/>
      <c r="AC67" s="2144"/>
    </row>
    <row r="68" spans="1:29" ht="14.4" thickBot="1">
      <c r="A68" s="668"/>
      <c r="B68" s="680"/>
      <c r="C68" s="678">
        <v>100</v>
      </c>
      <c r="D68" s="678">
        <f>C68-$K18</f>
        <v>100</v>
      </c>
      <c r="E68" s="678">
        <f>D68-$K18</f>
        <v>100</v>
      </c>
      <c r="F68" s="678">
        <f>E68-$K18</f>
        <v>100</v>
      </c>
      <c r="G68" s="678">
        <f>F68-$K18</f>
        <v>100</v>
      </c>
      <c r="H68" s="933"/>
      <c r="I68" s="933"/>
      <c r="J68" s="933"/>
      <c r="K68" s="933"/>
      <c r="L68" s="933"/>
      <c r="M68" s="558"/>
      <c r="N68" s="2165"/>
      <c r="O68" s="2165"/>
      <c r="P68" s="2164"/>
      <c r="Q68" s="2157"/>
      <c r="R68" s="2144"/>
      <c r="S68" s="2144"/>
      <c r="T68" s="2144"/>
      <c r="U68" s="2144"/>
      <c r="V68" s="2144"/>
      <c r="W68" s="2144"/>
      <c r="X68" s="2144"/>
      <c r="Y68" s="2144"/>
      <c r="Z68" s="2144"/>
      <c r="AA68" s="2144"/>
      <c r="AB68" s="2144"/>
      <c r="AC68" s="2144"/>
    </row>
    <row r="69" spans="1:29" ht="15" thickTop="1">
      <c r="A69" s="668"/>
      <c r="B69" s="672" t="s">
        <v>709</v>
      </c>
      <c r="C69" s="707" t="s">
        <v>544</v>
      </c>
      <c r="D69" s="707" t="s">
        <v>545</v>
      </c>
      <c r="E69" s="707" t="s">
        <v>546</v>
      </c>
      <c r="F69" s="707" t="s">
        <v>547</v>
      </c>
      <c r="G69" s="707" t="s">
        <v>548</v>
      </c>
      <c r="H69" s="673"/>
      <c r="I69" s="673"/>
      <c r="J69" s="673"/>
      <c r="K69" s="674"/>
      <c r="L69" s="675"/>
      <c r="M69" s="676"/>
      <c r="N69" s="2163"/>
      <c r="O69" s="2163"/>
      <c r="P69" s="2164"/>
      <c r="Q69" s="2157"/>
      <c r="R69" s="2144"/>
      <c r="S69" s="2144"/>
      <c r="T69" s="2144"/>
      <c r="U69" s="2144"/>
      <c r="V69" s="2144"/>
      <c r="W69" s="2144"/>
      <c r="X69" s="2144"/>
      <c r="Y69" s="2144"/>
      <c r="Z69" s="2144"/>
      <c r="AA69" s="2144"/>
      <c r="AB69" s="2144"/>
      <c r="AC69" s="2144"/>
    </row>
    <row r="70" spans="1:29" ht="14.4" thickBot="1">
      <c r="A70" s="668"/>
      <c r="B70" s="677"/>
      <c r="C70" s="678">
        <v>100</v>
      </c>
      <c r="D70" s="678">
        <f>C70-$K20</f>
        <v>100</v>
      </c>
      <c r="E70" s="678">
        <f>D70-$K20</f>
        <v>100</v>
      </c>
      <c r="F70" s="678">
        <f>E70-$K20</f>
        <v>100</v>
      </c>
      <c r="G70" s="678">
        <f>F70-$K20</f>
        <v>100</v>
      </c>
      <c r="H70" s="678"/>
      <c r="I70" s="678"/>
      <c r="J70" s="678"/>
      <c r="K70" s="678"/>
      <c r="L70" s="678"/>
      <c r="M70" s="679"/>
      <c r="N70" s="2165"/>
      <c r="O70" s="2165"/>
      <c r="P70" s="2164"/>
      <c r="Q70" s="2157"/>
      <c r="R70" s="2144"/>
      <c r="S70" s="2144"/>
      <c r="T70" s="2144"/>
      <c r="U70" s="2144"/>
      <c r="V70" s="2144"/>
      <c r="W70" s="2144"/>
      <c r="X70" s="2144"/>
      <c r="Y70" s="2144"/>
      <c r="Z70" s="2144"/>
      <c r="AA70" s="2144"/>
      <c r="AB70" s="2144"/>
      <c r="AC70" s="2144"/>
    </row>
    <row r="71" spans="1:29" ht="15" thickTop="1">
      <c r="A71" s="668"/>
      <c r="B71" s="672" t="s">
        <v>710</v>
      </c>
      <c r="C71" s="687"/>
      <c r="D71" s="687"/>
      <c r="E71" s="687"/>
      <c r="F71" s="687"/>
      <c r="G71" s="687"/>
      <c r="H71" s="717"/>
      <c r="I71" s="717"/>
      <c r="J71" s="717"/>
      <c r="K71" s="718"/>
      <c r="L71" s="719"/>
      <c r="M71" s="720"/>
      <c r="N71" s="2163"/>
      <c r="O71" s="2163"/>
      <c r="P71" s="2164"/>
      <c r="Q71" s="2157"/>
      <c r="R71" s="2144"/>
      <c r="S71" s="2144"/>
      <c r="T71" s="2144"/>
      <c r="U71" s="2144"/>
      <c r="V71" s="2144"/>
      <c r="W71" s="2144"/>
      <c r="X71" s="2144"/>
      <c r="Y71" s="2144"/>
      <c r="Z71" s="2144"/>
      <c r="AA71" s="2144"/>
      <c r="AB71" s="2144"/>
      <c r="AC71" s="2144"/>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65"/>
      <c r="O72" s="2165"/>
      <c r="P72" s="2164"/>
      <c r="Q72" s="2157"/>
      <c r="R72" s="2144"/>
      <c r="S72" s="2144"/>
      <c r="T72" s="2144"/>
      <c r="U72" s="2144"/>
      <c r="V72" s="2144"/>
      <c r="W72" s="2144"/>
      <c r="X72" s="2144"/>
      <c r="Y72" s="2144"/>
      <c r="Z72" s="2144"/>
      <c r="AA72" s="2144"/>
      <c r="AB72" s="2144"/>
      <c r="AC72" s="2144"/>
    </row>
    <row r="73" spans="1:29" s="1218" customFormat="1" ht="14.4" thickTop="1">
      <c r="A73" s="708"/>
      <c r="B73" s="672">
        <f>B23</f>
        <v>111</v>
      </c>
      <c r="C73" s="540"/>
      <c r="D73" s="540"/>
      <c r="E73" s="540"/>
      <c r="F73" s="540"/>
      <c r="G73" s="687"/>
      <c r="H73" s="687"/>
      <c r="I73" s="687"/>
      <c r="J73" s="687"/>
      <c r="K73" s="687"/>
      <c r="L73" s="888"/>
      <c r="M73" s="889"/>
      <c r="N73" s="2161"/>
      <c r="O73" s="2161"/>
      <c r="P73" s="2164"/>
      <c r="Q73" s="2157"/>
      <c r="R73" s="1992"/>
      <c r="S73" s="1992"/>
      <c r="T73" s="1992"/>
      <c r="U73" s="1992"/>
      <c r="V73" s="1992"/>
      <c r="W73" s="1992"/>
      <c r="X73" s="1992"/>
      <c r="Y73" s="1992"/>
      <c r="Z73" s="1992"/>
      <c r="AA73" s="1992"/>
      <c r="AB73" s="1992"/>
      <c r="AC73" s="1992"/>
    </row>
    <row r="74" spans="1:29" s="1218" customFormat="1" ht="14.4" thickBot="1">
      <c r="A74" s="708"/>
      <c r="B74" s="677"/>
      <c r="C74" s="691"/>
      <c r="D74" s="670"/>
      <c r="E74" s="670"/>
      <c r="F74" s="670"/>
      <c r="G74" s="670"/>
      <c r="H74" s="670"/>
      <c r="I74" s="670"/>
      <c r="J74" s="670"/>
      <c r="K74" s="670"/>
      <c r="L74" s="670"/>
      <c r="M74" s="671"/>
      <c r="N74" s="2165"/>
      <c r="O74" s="2165"/>
      <c r="P74" s="2164"/>
      <c r="Q74" s="2157"/>
      <c r="R74" s="1992"/>
      <c r="S74" s="1992"/>
      <c r="T74" s="1992"/>
      <c r="U74" s="1992"/>
      <c r="V74" s="1992"/>
      <c r="W74" s="1992"/>
      <c r="X74" s="1992"/>
      <c r="Y74" s="1992"/>
      <c r="Z74" s="1992"/>
      <c r="AA74" s="1992"/>
      <c r="AB74" s="1992"/>
      <c r="AC74" s="1992"/>
    </row>
    <row r="75" spans="1:29" s="1218" customFormat="1" ht="14.4" thickTop="1">
      <c r="A75" s="708"/>
      <c r="B75" s="672">
        <f>B24</f>
        <v>111</v>
      </c>
      <c r="C75" s="540"/>
      <c r="D75" s="540"/>
      <c r="E75" s="540"/>
      <c r="F75" s="540"/>
      <c r="G75" s="687"/>
      <c r="H75" s="687"/>
      <c r="I75" s="687"/>
      <c r="J75" s="687"/>
      <c r="K75" s="687"/>
      <c r="L75" s="687"/>
      <c r="M75" s="889"/>
      <c r="N75" s="2161"/>
      <c r="O75" s="2161"/>
      <c r="P75" s="2164"/>
      <c r="Q75" s="2157"/>
      <c r="R75" s="1992"/>
      <c r="S75" s="1992"/>
      <c r="T75" s="1992"/>
      <c r="U75" s="1992"/>
      <c r="V75" s="1992"/>
      <c r="W75" s="1992"/>
      <c r="X75" s="1992"/>
      <c r="Y75" s="1992"/>
      <c r="Z75" s="1992"/>
      <c r="AA75" s="1992"/>
      <c r="AB75" s="1992"/>
      <c r="AC75" s="1992"/>
    </row>
    <row r="76" spans="1:29" s="1218" customFormat="1" ht="14.4" thickBot="1">
      <c r="A76" s="708"/>
      <c r="B76" s="677"/>
      <c r="C76" s="691"/>
      <c r="D76" s="670"/>
      <c r="E76" s="670"/>
      <c r="F76" s="670"/>
      <c r="G76" s="670"/>
      <c r="H76" s="670"/>
      <c r="I76" s="670"/>
      <c r="J76" s="670"/>
      <c r="K76" s="670"/>
      <c r="L76" s="670"/>
      <c r="M76" s="671"/>
      <c r="N76" s="2165"/>
      <c r="O76" s="2165"/>
      <c r="P76" s="2164"/>
      <c r="Q76" s="2157"/>
      <c r="R76" s="1992"/>
      <c r="S76" s="1992"/>
      <c r="T76" s="1992"/>
      <c r="U76" s="1992"/>
      <c r="V76" s="1992"/>
      <c r="W76" s="1992"/>
      <c r="X76" s="1992"/>
      <c r="Y76" s="1992"/>
      <c r="Z76" s="1992"/>
      <c r="AA76" s="1992"/>
      <c r="AB76" s="1992"/>
      <c r="AC76" s="1992"/>
    </row>
    <row r="77" spans="1:29" s="1337" customFormat="1" ht="14.4" thickTop="1">
      <c r="A77" s="686"/>
      <c r="B77" s="672">
        <f>B25</f>
        <v>111</v>
      </c>
      <c r="C77" s="687"/>
      <c r="D77" s="687"/>
      <c r="E77" s="687"/>
      <c r="F77" s="687"/>
      <c r="G77" s="687"/>
      <c r="H77" s="688"/>
      <c r="I77" s="688"/>
      <c r="J77" s="688"/>
      <c r="K77" s="688"/>
      <c r="L77" s="689"/>
      <c r="M77" s="690"/>
      <c r="N77" s="2166"/>
      <c r="O77" s="2166"/>
      <c r="P77" s="2167"/>
      <c r="Q77" s="2168"/>
      <c r="R77" s="2169"/>
      <c r="S77" s="2169"/>
      <c r="T77" s="2169"/>
      <c r="U77" s="2169"/>
      <c r="V77" s="2169"/>
      <c r="W77" s="2169"/>
      <c r="X77" s="2169"/>
      <c r="Y77" s="2169"/>
      <c r="Z77" s="2169"/>
      <c r="AA77" s="2169"/>
      <c r="AB77" s="2169"/>
      <c r="AC77" s="2169"/>
    </row>
    <row r="78" spans="1:29" s="1337" customFormat="1" ht="14.4" thickBot="1">
      <c r="A78" s="686"/>
      <c r="B78" s="677"/>
      <c r="C78" s="691"/>
      <c r="D78" s="691"/>
      <c r="E78" s="691"/>
      <c r="F78" s="691"/>
      <c r="G78" s="670"/>
      <c r="H78" s="670"/>
      <c r="I78" s="670"/>
      <c r="J78" s="670"/>
      <c r="K78" s="670"/>
      <c r="L78" s="670"/>
      <c r="M78" s="671"/>
      <c r="N78" s="2166"/>
      <c r="O78" s="2166"/>
      <c r="P78" s="2167"/>
      <c r="Q78" s="2168"/>
      <c r="R78" s="2169"/>
      <c r="S78" s="2169"/>
      <c r="T78" s="2169"/>
      <c r="U78" s="2169"/>
      <c r="V78" s="2169"/>
      <c r="W78" s="2169"/>
      <c r="X78" s="2169"/>
      <c r="Y78" s="2169"/>
      <c r="Z78" s="2169"/>
      <c r="AA78" s="2169"/>
      <c r="AB78" s="2169"/>
      <c r="AC78" s="2169"/>
    </row>
    <row r="79" spans="1:29" ht="29.4" thickTop="1">
      <c r="A79" s="663" t="s">
        <v>516</v>
      </c>
      <c r="B79" s="664" t="s">
        <v>779</v>
      </c>
      <c r="C79" s="703">
        <f>C26</f>
        <v>0</v>
      </c>
      <c r="D79" s="597"/>
      <c r="E79" s="597"/>
      <c r="F79" s="597"/>
      <c r="G79" s="597"/>
      <c r="H79" s="597"/>
      <c r="I79" s="597"/>
      <c r="J79" s="597"/>
      <c r="K79" s="665"/>
      <c r="L79" s="666"/>
      <c r="M79" s="667"/>
      <c r="N79" s="2163"/>
      <c r="O79" s="2163"/>
      <c r="P79" s="2164"/>
      <c r="Q79" s="2157"/>
      <c r="R79" s="2144"/>
      <c r="S79" s="2144"/>
      <c r="T79" s="2144"/>
      <c r="U79" s="2144"/>
      <c r="V79" s="2144"/>
      <c r="W79" s="2144"/>
      <c r="X79" s="2144"/>
      <c r="Y79" s="2144"/>
      <c r="Z79" s="2144"/>
      <c r="AA79" s="2144"/>
      <c r="AB79" s="2144"/>
      <c r="AC79" s="2144"/>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5"/>
      <c r="O80" s="2165"/>
      <c r="P80" s="2164"/>
      <c r="Q80" s="2157"/>
      <c r="R80" s="2144"/>
      <c r="S80" s="2144"/>
      <c r="T80" s="2144"/>
      <c r="U80" s="2144"/>
      <c r="V80" s="2144"/>
      <c r="W80" s="2144"/>
      <c r="X80" s="2144"/>
      <c r="Y80" s="2144"/>
      <c r="Z80" s="2144"/>
      <c r="AA80" s="2144"/>
      <c r="AB80" s="2144"/>
      <c r="AC80" s="2144"/>
    </row>
    <row r="81" spans="1:29" ht="15" thickTop="1">
      <c r="A81" s="668"/>
      <c r="B81" s="672" t="s">
        <v>780</v>
      </c>
      <c r="C81" s="934"/>
      <c r="D81" s="934"/>
      <c r="E81" s="934"/>
      <c r="F81" s="934"/>
      <c r="G81" s="934"/>
      <c r="H81" s="934"/>
      <c r="I81" s="934"/>
      <c r="J81" s="934"/>
      <c r="K81" s="935"/>
      <c r="L81" s="936"/>
      <c r="M81" s="937"/>
      <c r="N81" s="2161"/>
      <c r="O81" s="2161"/>
      <c r="P81" s="2164"/>
      <c r="Q81" s="2157"/>
      <c r="R81" s="2144"/>
      <c r="S81" s="2144"/>
      <c r="T81" s="2144"/>
      <c r="U81" s="2144"/>
      <c r="V81" s="2144"/>
      <c r="W81" s="2144"/>
      <c r="X81" s="2144"/>
      <c r="Y81" s="2144"/>
      <c r="Z81" s="2144"/>
      <c r="AA81" s="2144"/>
      <c r="AB81" s="2144"/>
      <c r="AC81" s="2144"/>
    </row>
    <row r="82" spans="1:29" s="1337" customFormat="1" ht="14.4" thickBot="1">
      <c r="A82" s="686"/>
      <c r="B82" s="677"/>
      <c r="C82" s="691"/>
      <c r="D82" s="670"/>
      <c r="E82" s="670"/>
      <c r="F82" s="670"/>
      <c r="G82" s="670"/>
      <c r="H82" s="670"/>
      <c r="I82" s="670"/>
      <c r="J82" s="670"/>
      <c r="K82" s="670"/>
      <c r="L82" s="670"/>
      <c r="M82" s="671"/>
      <c r="N82" s="2165"/>
      <c r="O82" s="2165"/>
      <c r="P82" s="2167"/>
      <c r="Q82" s="2168"/>
      <c r="R82" s="2169"/>
      <c r="S82" s="2169"/>
      <c r="T82" s="2169"/>
      <c r="U82" s="2169"/>
      <c r="V82" s="2169"/>
      <c r="W82" s="2169"/>
      <c r="X82" s="2169"/>
      <c r="Y82" s="2169"/>
      <c r="Z82" s="2169"/>
      <c r="AA82" s="2169"/>
      <c r="AB82" s="2169"/>
      <c r="AC82" s="2169"/>
    </row>
    <row r="83" spans="1:29" ht="15" thickTop="1">
      <c r="A83" s="734"/>
      <c r="B83" s="672" t="s">
        <v>716</v>
      </c>
      <c r="C83" s="687"/>
      <c r="D83" s="687"/>
      <c r="E83" s="717"/>
      <c r="F83" s="717"/>
      <c r="G83" s="717"/>
      <c r="H83" s="717"/>
      <c r="I83" s="717"/>
      <c r="J83" s="717"/>
      <c r="K83" s="718"/>
      <c r="L83" s="719"/>
      <c r="M83" s="720"/>
      <c r="N83" s="2163"/>
      <c r="O83" s="2163"/>
      <c r="P83" s="2164"/>
      <c r="Q83" s="2157"/>
      <c r="R83" s="2144"/>
      <c r="S83" s="2144"/>
      <c r="T83" s="2144"/>
      <c r="U83" s="2144"/>
      <c r="V83" s="2144"/>
      <c r="W83" s="2144"/>
      <c r="X83" s="2144"/>
      <c r="Y83" s="2144"/>
      <c r="Z83" s="2144"/>
      <c r="AA83" s="2144"/>
      <c r="AB83" s="2144"/>
      <c r="AC83" s="2144"/>
    </row>
    <row r="84" spans="1:29" ht="14.4"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4"/>
      <c r="B85" s="672" t="s">
        <v>781</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3"/>
      <c r="O85" s="2163"/>
      <c r="P85" s="2164"/>
      <c r="Q85" s="2157"/>
      <c r="R85" s="2144"/>
      <c r="S85" s="2144"/>
      <c r="T85" s="2144"/>
      <c r="U85" s="2144"/>
      <c r="V85" s="2144"/>
      <c r="W85" s="2144"/>
      <c r="X85" s="2144"/>
      <c r="Y85" s="2144"/>
      <c r="Z85" s="2144"/>
      <c r="AA85" s="2144"/>
      <c r="AB85" s="2144"/>
      <c r="AC85" s="2144"/>
    </row>
    <row r="86" spans="1:29">
      <c r="A86" s="734"/>
      <c r="B86" s="680"/>
      <c r="C86" s="892">
        <v>0.5</v>
      </c>
      <c r="D86" s="892">
        <v>0.6</v>
      </c>
      <c r="E86" s="892">
        <v>0.7</v>
      </c>
      <c r="F86" s="892">
        <v>0.8</v>
      </c>
      <c r="G86" s="892">
        <v>0.9</v>
      </c>
      <c r="H86" s="892">
        <v>1.0001</v>
      </c>
      <c r="I86" s="903"/>
      <c r="J86" s="903"/>
      <c r="K86" s="904"/>
      <c r="L86" s="905"/>
      <c r="M86" s="906"/>
      <c r="N86" s="2163"/>
      <c r="O86" s="2163"/>
      <c r="P86" s="2164"/>
      <c r="Q86" s="2157"/>
      <c r="R86" s="2144"/>
      <c r="S86" s="2144"/>
      <c r="T86" s="2144"/>
      <c r="U86" s="2144"/>
      <c r="V86" s="2144"/>
      <c r="W86" s="2144"/>
      <c r="X86" s="2144"/>
      <c r="Y86" s="2144"/>
      <c r="Z86" s="2144"/>
      <c r="AA86" s="2144"/>
      <c r="AB86" s="2144"/>
      <c r="AC86" s="2144"/>
    </row>
    <row r="87" spans="1:29" ht="14.4"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4"/>
      <c r="B88" s="680" t="s">
        <v>782</v>
      </c>
      <c r="C88" s="597"/>
      <c r="D88" s="597"/>
      <c r="E88" s="597"/>
      <c r="F88" s="597"/>
      <c r="G88" s="597"/>
      <c r="H88" s="597"/>
      <c r="I88" s="597"/>
      <c r="J88" s="597"/>
      <c r="K88" s="665"/>
      <c r="L88" s="666"/>
      <c r="M88" s="667"/>
      <c r="N88" s="2163"/>
      <c r="O88" s="2163"/>
      <c r="P88" s="2164"/>
      <c r="Q88" s="2157"/>
      <c r="R88" s="2144"/>
      <c r="S88" s="2144"/>
      <c r="T88" s="2144"/>
      <c r="U88" s="2144"/>
      <c r="V88" s="2144"/>
      <c r="W88" s="2144"/>
      <c r="X88" s="2144"/>
      <c r="Y88" s="2144"/>
      <c r="Z88" s="2144"/>
      <c r="AA88" s="2144"/>
      <c r="AB88" s="2144"/>
      <c r="AC88" s="2144"/>
    </row>
    <row r="89" spans="1:29" ht="14.4"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5"/>
      <c r="O89" s="2165"/>
      <c r="P89" s="2164"/>
      <c r="Q89" s="2157"/>
      <c r="R89" s="2144"/>
      <c r="S89" s="2144"/>
      <c r="T89" s="2144"/>
      <c r="U89" s="2144"/>
      <c r="V89" s="2144"/>
      <c r="W89" s="2144"/>
      <c r="X89" s="2144"/>
      <c r="Y89" s="2144"/>
      <c r="Z89" s="2144"/>
      <c r="AA89" s="2144"/>
      <c r="AB89" s="2144"/>
      <c r="AC89" s="2144"/>
    </row>
    <row r="90" spans="1:29" s="1337" customFormat="1" ht="15" thickTop="1">
      <c r="A90" s="727"/>
      <c r="B90" s="672" t="s">
        <v>783</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6"/>
      <c r="O90" s="2166"/>
      <c r="P90" s="2167"/>
      <c r="Q90" s="2168"/>
      <c r="R90" s="2169"/>
      <c r="S90" s="2169"/>
      <c r="T90" s="2169"/>
      <c r="U90" s="2169"/>
      <c r="V90" s="2169"/>
      <c r="W90" s="2169"/>
      <c r="X90" s="2169"/>
      <c r="Y90" s="2169"/>
      <c r="Z90" s="2169"/>
      <c r="AA90" s="2169"/>
      <c r="AB90" s="2169"/>
      <c r="AC90" s="2169"/>
    </row>
    <row r="91" spans="1:29" s="1337" customFormat="1">
      <c r="A91" s="727"/>
      <c r="B91" s="680"/>
      <c r="C91" s="729"/>
      <c r="D91" s="729"/>
      <c r="E91" s="729"/>
      <c r="F91" s="729"/>
      <c r="G91" s="729"/>
      <c r="H91" s="729"/>
      <c r="I91" s="729"/>
      <c r="J91" s="730"/>
      <c r="K91" s="730"/>
      <c r="L91" s="731"/>
      <c r="M91" s="732"/>
      <c r="N91" s="2166"/>
      <c r="O91" s="2166"/>
      <c r="P91" s="2167"/>
      <c r="Q91" s="2168"/>
      <c r="R91" s="2169"/>
      <c r="S91" s="2169"/>
      <c r="T91" s="2169"/>
      <c r="U91" s="2169"/>
      <c r="V91" s="2169"/>
      <c r="W91" s="2169"/>
      <c r="X91" s="2169"/>
      <c r="Y91" s="2169"/>
      <c r="Z91" s="2169"/>
      <c r="AA91" s="2169"/>
      <c r="AB91" s="2169"/>
      <c r="AC91" s="2169"/>
    </row>
    <row r="92" spans="1:29" s="1337" customFormat="1" ht="14.4" thickBot="1">
      <c r="A92" s="686"/>
      <c r="B92" s="677"/>
      <c r="C92" s="691"/>
      <c r="D92" s="670"/>
      <c r="E92" s="670"/>
      <c r="F92" s="670"/>
      <c r="G92" s="670"/>
      <c r="H92" s="670"/>
      <c r="I92" s="670"/>
      <c r="J92" s="670"/>
      <c r="K92" s="670"/>
      <c r="L92" s="670"/>
      <c r="M92" s="671"/>
      <c r="N92" s="2166"/>
      <c r="O92" s="2166"/>
      <c r="P92" s="2167"/>
      <c r="Q92" s="2168"/>
      <c r="R92" s="2169"/>
      <c r="S92" s="2169"/>
      <c r="T92" s="2169"/>
      <c r="U92" s="2169"/>
      <c r="V92" s="2169"/>
      <c r="W92" s="2169"/>
      <c r="X92" s="2169"/>
      <c r="Y92" s="2169"/>
      <c r="Z92" s="2169"/>
      <c r="AA92" s="2169"/>
      <c r="AB92" s="2169"/>
      <c r="AC92" s="2169"/>
    </row>
    <row r="93" spans="1:29" ht="15" thickTop="1">
      <c r="A93" s="734"/>
      <c r="B93" s="672" t="s">
        <v>784</v>
      </c>
      <c r="C93" s="687"/>
      <c r="D93" s="687"/>
      <c r="E93" s="717"/>
      <c r="F93" s="717"/>
      <c r="G93" s="717"/>
      <c r="H93" s="717"/>
      <c r="I93" s="717"/>
      <c r="J93" s="717"/>
      <c r="K93" s="718"/>
      <c r="L93" s="719"/>
      <c r="M93" s="720"/>
      <c r="N93" s="2163"/>
      <c r="O93" s="2163"/>
      <c r="P93" s="2164"/>
      <c r="Q93" s="2157"/>
      <c r="R93" s="2144"/>
      <c r="S93" s="2144"/>
      <c r="T93" s="2144"/>
      <c r="U93" s="2144"/>
      <c r="V93" s="2144"/>
      <c r="W93" s="2144"/>
      <c r="X93" s="2144"/>
      <c r="Y93" s="2144"/>
      <c r="Z93" s="2144"/>
      <c r="AA93" s="2144"/>
      <c r="AB93" s="2144"/>
      <c r="AC93" s="2144"/>
    </row>
    <row r="94" spans="1:29" ht="14.4"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4"/>
      <c r="B95" s="672" t="s">
        <v>785</v>
      </c>
      <c r="C95" s="597"/>
      <c r="D95" s="597"/>
      <c r="E95" s="597"/>
      <c r="F95" s="597"/>
      <c r="G95" s="597"/>
      <c r="H95" s="597"/>
      <c r="I95" s="597"/>
      <c r="J95" s="597"/>
      <c r="K95" s="665"/>
      <c r="L95" s="666"/>
      <c r="M95" s="667"/>
      <c r="N95" s="2163"/>
      <c r="O95" s="2163"/>
      <c r="P95" s="2164"/>
      <c r="Q95" s="2157"/>
      <c r="R95" s="2144"/>
      <c r="S95" s="2144"/>
      <c r="T95" s="2144"/>
      <c r="U95" s="2144"/>
      <c r="V95" s="2144"/>
      <c r="W95" s="2144"/>
      <c r="X95" s="2144"/>
      <c r="Y95" s="2144"/>
      <c r="Z95" s="2144"/>
      <c r="AA95" s="2144"/>
      <c r="AB95" s="2144"/>
      <c r="AC95" s="2144"/>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65"/>
      <c r="O96" s="2165"/>
      <c r="P96" s="2164"/>
      <c r="Q96" s="2157"/>
      <c r="R96" s="2144"/>
      <c r="S96" s="2144"/>
      <c r="T96" s="2144"/>
      <c r="U96" s="2144"/>
      <c r="V96" s="2144"/>
      <c r="W96" s="2144"/>
      <c r="X96" s="2144"/>
      <c r="Y96" s="2144"/>
      <c r="Z96" s="2144"/>
      <c r="AA96" s="2144"/>
      <c r="AB96" s="2144"/>
      <c r="AC96" s="2144"/>
    </row>
    <row r="97" spans="1:29" ht="14.4" thickTop="1">
      <c r="A97" s="734"/>
      <c r="B97" s="915">
        <f>B34</f>
        <v>111</v>
      </c>
      <c r="C97" s="540"/>
      <c r="D97" s="540"/>
      <c r="E97" s="540"/>
      <c r="F97" s="540"/>
      <c r="G97" s="687"/>
      <c r="H97" s="688"/>
      <c r="I97" s="688"/>
      <c r="J97" s="688"/>
      <c r="K97" s="688"/>
      <c r="L97" s="689"/>
      <c r="M97" s="690"/>
      <c r="N97" s="2165"/>
      <c r="O97" s="2165"/>
      <c r="P97" s="2204"/>
      <c r="Q97" s="2205"/>
      <c r="R97" s="2144"/>
      <c r="S97" s="2144"/>
      <c r="T97" s="2144"/>
      <c r="U97" s="2144"/>
      <c r="V97" s="2144"/>
      <c r="W97" s="2144"/>
      <c r="X97" s="2144"/>
      <c r="Y97" s="2144"/>
      <c r="Z97" s="2144"/>
      <c r="AA97" s="2144"/>
      <c r="AB97" s="2144"/>
      <c r="AC97" s="2144"/>
    </row>
    <row r="98" spans="1:29" ht="14.4" thickBot="1">
      <c r="A98" s="668"/>
      <c r="B98" s="677"/>
      <c r="C98" s="691"/>
      <c r="D98" s="670"/>
      <c r="E98" s="670"/>
      <c r="F98" s="670"/>
      <c r="G98" s="691"/>
      <c r="H98" s="692"/>
      <c r="I98" s="692"/>
      <c r="J98" s="692"/>
      <c r="K98" s="692"/>
      <c r="L98" s="692"/>
      <c r="M98" s="693"/>
      <c r="N98" s="2165"/>
      <c r="O98" s="2165"/>
      <c r="P98" s="2164"/>
      <c r="Q98" s="2157"/>
      <c r="R98" s="2144"/>
      <c r="S98" s="2144"/>
      <c r="T98" s="2144"/>
      <c r="U98" s="2144"/>
      <c r="V98" s="2144"/>
      <c r="W98" s="2144"/>
      <c r="X98" s="2144"/>
      <c r="Y98" s="2144"/>
      <c r="Z98" s="2144"/>
      <c r="AA98" s="2144"/>
      <c r="AB98" s="2144"/>
      <c r="AC98" s="2144"/>
    </row>
    <row r="99" spans="1:29" s="1337" customFormat="1" ht="14.4" thickTop="1">
      <c r="A99" s="727"/>
      <c r="B99" s="672">
        <f>B35</f>
        <v>111</v>
      </c>
      <c r="C99" s="540"/>
      <c r="D99" s="540"/>
      <c r="E99" s="540"/>
      <c r="F99" s="540"/>
      <c r="G99" s="687"/>
      <c r="H99" s="688"/>
      <c r="I99" s="688"/>
      <c r="J99" s="688"/>
      <c r="K99" s="688"/>
      <c r="L99" s="689"/>
      <c r="M99" s="690"/>
      <c r="N99" s="2166"/>
      <c r="O99" s="2166"/>
      <c r="P99" s="2167"/>
      <c r="Q99" s="2168"/>
      <c r="R99" s="2169"/>
      <c r="S99" s="2169"/>
      <c r="T99" s="2169"/>
      <c r="U99" s="2169"/>
      <c r="V99" s="2169"/>
      <c r="W99" s="2169"/>
      <c r="X99" s="2169"/>
      <c r="Y99" s="2169"/>
      <c r="Z99" s="2169"/>
      <c r="AA99" s="2169"/>
      <c r="AB99" s="2169"/>
      <c r="AC99" s="2169"/>
    </row>
    <row r="100" spans="1:29" s="1337" customFormat="1" ht="14.4" thickBot="1">
      <c r="A100" s="686"/>
      <c r="B100" s="669"/>
      <c r="C100" s="691"/>
      <c r="D100" s="670"/>
      <c r="E100" s="670"/>
      <c r="F100" s="670"/>
      <c r="G100" s="691"/>
      <c r="H100" s="692"/>
      <c r="I100" s="692"/>
      <c r="J100" s="692"/>
      <c r="K100" s="692"/>
      <c r="L100" s="692"/>
      <c r="M100" s="693"/>
      <c r="N100" s="2166"/>
      <c r="O100" s="2166"/>
      <c r="P100" s="2167"/>
      <c r="Q100" s="2168"/>
      <c r="R100" s="2169"/>
      <c r="S100" s="2169"/>
      <c r="T100" s="2169"/>
      <c r="U100" s="2169"/>
      <c r="V100" s="2169"/>
      <c r="W100" s="2169"/>
      <c r="X100" s="2169"/>
      <c r="Y100" s="2169"/>
      <c r="Z100" s="2169"/>
      <c r="AA100" s="2169"/>
      <c r="AB100" s="2169"/>
      <c r="AC100" s="2169"/>
    </row>
    <row r="101" spans="1:29" ht="14.4" thickTop="1">
      <c r="A101" s="734"/>
      <c r="B101" s="672">
        <f>B36</f>
        <v>111</v>
      </c>
      <c r="C101" s="687"/>
      <c r="D101" s="687"/>
      <c r="E101" s="687"/>
      <c r="F101" s="687"/>
      <c r="G101" s="687"/>
      <c r="H101" s="688"/>
      <c r="I101" s="688"/>
      <c r="J101" s="688"/>
      <c r="K101" s="688"/>
      <c r="L101" s="689"/>
      <c r="M101" s="690"/>
      <c r="N101" s="2163"/>
      <c r="O101" s="2163"/>
      <c r="P101" s="2164"/>
      <c r="Q101" s="2157"/>
      <c r="R101" s="2144"/>
      <c r="S101" s="2144"/>
      <c r="T101" s="2144"/>
      <c r="U101" s="2144"/>
      <c r="V101" s="2144"/>
      <c r="W101" s="2144"/>
      <c r="X101" s="2144"/>
      <c r="Y101" s="2144"/>
      <c r="Z101" s="2144"/>
      <c r="AA101" s="2144"/>
      <c r="AB101" s="2144"/>
      <c r="AC101" s="2144"/>
    </row>
    <row r="102" spans="1:29" ht="14.4" thickBot="1">
      <c r="A102" s="668"/>
      <c r="B102" s="677"/>
      <c r="C102" s="691"/>
      <c r="D102" s="691"/>
      <c r="E102" s="691"/>
      <c r="F102" s="691"/>
      <c r="G102" s="691"/>
      <c r="H102" s="692"/>
      <c r="I102" s="692"/>
      <c r="J102" s="692"/>
      <c r="K102" s="692"/>
      <c r="L102" s="692"/>
      <c r="M102" s="693"/>
      <c r="N102" s="2165"/>
      <c r="O102" s="2165"/>
      <c r="P102" s="2164"/>
      <c r="Q102" s="2157"/>
      <c r="R102" s="2144"/>
      <c r="S102" s="2144"/>
      <c r="T102" s="2144"/>
      <c r="U102" s="2144"/>
      <c r="V102" s="2144"/>
      <c r="W102" s="2144"/>
      <c r="X102" s="2144"/>
      <c r="Y102" s="2144"/>
      <c r="Z102" s="2144"/>
      <c r="AA102" s="2144"/>
      <c r="AB102" s="2144"/>
      <c r="AC102" s="2144"/>
    </row>
    <row r="103" spans="1:29" ht="14.4"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683</v>
      </c>
      <c r="B1" s="921"/>
      <c r="C1" s="503" t="s">
        <v>757</v>
      </c>
      <c r="D1" s="848"/>
      <c r="E1" s="505"/>
      <c r="F1" s="2806"/>
      <c r="G1" s="1599" t="s">
        <v>758</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2" t="s">
        <v>759</v>
      </c>
      <c r="B2" s="849" t="e">
        <f>ROUND(B3*D3/10000,0)</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thickBot="1">
      <c r="A3" s="508" t="s">
        <v>760</v>
      </c>
      <c r="B3" s="509" t="e">
        <f>C37</f>
        <v>#DIV/0!</v>
      </c>
      <c r="C3" s="851" t="s">
        <v>761</v>
      </c>
      <c r="D3" s="850">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7"/>
    </row>
    <row r="4" spans="1:29" ht="14.4">
      <c r="A4" s="511" t="s">
        <v>762</v>
      </c>
      <c r="B4" s="512"/>
      <c r="C4" s="3368" t="s">
        <v>763</v>
      </c>
      <c r="D4" s="3369"/>
      <c r="E4" s="3404" t="s">
        <v>764</v>
      </c>
      <c r="F4" s="3405"/>
      <c r="G4" s="3368" t="s">
        <v>765</v>
      </c>
      <c r="H4" s="3369"/>
      <c r="I4" s="3368" t="s">
        <v>766</v>
      </c>
      <c r="J4" s="3369"/>
      <c r="K4" s="513" t="s">
        <v>767</v>
      </c>
      <c r="L4" s="2132"/>
      <c r="M4" s="2133"/>
      <c r="N4" s="2133"/>
      <c r="O4" s="2133"/>
      <c r="P4" s="3370" t="s">
        <v>768</v>
      </c>
      <c r="Q4" s="3371"/>
      <c r="R4" s="3376" t="s">
        <v>764</v>
      </c>
      <c r="S4" s="3377"/>
      <c r="T4" s="3376" t="s">
        <v>765</v>
      </c>
      <c r="U4" s="3377"/>
      <c r="V4" s="3363" t="s">
        <v>766</v>
      </c>
      <c r="W4" s="3363"/>
      <c r="X4" s="1565"/>
      <c r="Y4" s="3376" t="s">
        <v>768</v>
      </c>
      <c r="Z4" s="3377"/>
      <c r="AA4" s="3365" t="s">
        <v>764</v>
      </c>
      <c r="AB4" s="3366" t="s">
        <v>765</v>
      </c>
      <c r="AC4" s="3365" t="s">
        <v>766</v>
      </c>
    </row>
    <row r="5" spans="1:29">
      <c r="A5" s="514"/>
      <c r="B5" s="515"/>
      <c r="C5" s="3400" t="s">
        <v>2889</v>
      </c>
      <c r="D5" s="3385"/>
      <c r="E5" s="3406" t="s">
        <v>2890</v>
      </c>
      <c r="F5" s="3407"/>
      <c r="G5" s="3400" t="s">
        <v>2891</v>
      </c>
      <c r="H5" s="3385"/>
      <c r="I5" s="3400" t="s">
        <v>2892</v>
      </c>
      <c r="J5" s="3385"/>
      <c r="K5" s="513"/>
      <c r="L5" s="2132"/>
      <c r="M5" s="2133"/>
      <c r="N5" s="2133"/>
      <c r="O5" s="2133"/>
      <c r="P5" s="3372"/>
      <c r="Q5" s="3373"/>
      <c r="R5" s="3378"/>
      <c r="S5" s="3379"/>
      <c r="T5" s="3378"/>
      <c r="U5" s="3379"/>
      <c r="V5" s="3363"/>
      <c r="W5" s="3363"/>
      <c r="X5" s="1565"/>
      <c r="Y5" s="3378"/>
      <c r="Z5" s="3379"/>
      <c r="AA5" s="3366"/>
      <c r="AB5" s="3366"/>
      <c r="AC5" s="3366"/>
    </row>
    <row r="6" spans="1:29" ht="15" thickBot="1">
      <c r="A6" s="516"/>
      <c r="B6" s="517"/>
      <c r="C6" s="3401" t="s">
        <v>2893</v>
      </c>
      <c r="D6" s="3383"/>
      <c r="E6" s="3402" t="s">
        <v>2893</v>
      </c>
      <c r="F6" s="3403"/>
      <c r="G6" s="3401" t="s">
        <v>2893</v>
      </c>
      <c r="H6" s="3383"/>
      <c r="I6" s="3401" t="s">
        <v>2893</v>
      </c>
      <c r="J6" s="3383"/>
      <c r="K6" s="513" t="s">
        <v>493</v>
      </c>
      <c r="L6" s="2132"/>
      <c r="M6" s="2133"/>
      <c r="N6" s="2133"/>
      <c r="O6" s="2133"/>
      <c r="P6" s="3374"/>
      <c r="Q6" s="3375"/>
      <c r="R6" s="3378"/>
      <c r="S6" s="3379"/>
      <c r="T6" s="3380"/>
      <c r="U6" s="3381"/>
      <c r="V6" s="3363"/>
      <c r="W6" s="3363"/>
      <c r="X6" s="1565"/>
      <c r="Y6" s="3380"/>
      <c r="Z6" s="3381"/>
      <c r="AA6" s="3367"/>
      <c r="AB6" s="3367"/>
      <c r="AC6" s="3367"/>
    </row>
    <row r="7" spans="1:29" s="1218" customFormat="1" ht="15" thickBot="1">
      <c r="A7" s="2911"/>
      <c r="B7" s="2918" t="s">
        <v>494</v>
      </c>
      <c r="C7" s="518">
        <f>'数据-取费表'!B2</f>
        <v>43458</v>
      </c>
      <c r="D7" s="519">
        <v>100</v>
      </c>
      <c r="E7" s="520"/>
      <c r="F7" s="521">
        <f>SUMIF(46:46,YEAR(E7)&amp;"-"&amp;MONTH(E7),47:47)</f>
        <v>0</v>
      </c>
      <c r="G7" s="522"/>
      <c r="H7" s="519">
        <f>SUMIF(46:46,YEAR(G7)&amp;"-"&amp;MONTH(G7),47:47)</f>
        <v>0</v>
      </c>
      <c r="I7" s="522"/>
      <c r="J7" s="519">
        <f>SUMIF(46:46,YEAR(I7)&amp;"-"&amp;MONTH(I7),47:47)</f>
        <v>0</v>
      </c>
      <c r="K7" s="523"/>
      <c r="L7" s="2134"/>
      <c r="M7" s="2135"/>
      <c r="N7" s="2135"/>
      <c r="O7" s="2135"/>
      <c r="P7" s="3393" t="s">
        <v>495</v>
      </c>
      <c r="Q7" s="3395"/>
      <c r="R7" s="1566" t="s">
        <v>8</v>
      </c>
      <c r="S7" s="1567">
        <f t="shared" ref="S7:S14" si="0">F7</f>
        <v>0</v>
      </c>
      <c r="T7" s="1566" t="s">
        <v>8</v>
      </c>
      <c r="U7" s="1567">
        <f t="shared" ref="U7:U14" si="1">H7</f>
        <v>0</v>
      </c>
      <c r="V7" s="1566" t="s">
        <v>8</v>
      </c>
      <c r="W7" s="1567">
        <f t="shared" ref="W7:W14" si="2">J7</f>
        <v>0</v>
      </c>
      <c r="X7" s="1568"/>
      <c r="Y7" s="3393" t="s">
        <v>495</v>
      </c>
      <c r="Z7" s="3394"/>
      <c r="AA7" s="1569" t="e">
        <f>D7/F7</f>
        <v>#DIV/0!</v>
      </c>
      <c r="AB7" s="1569" t="e">
        <f>D7/H7</f>
        <v>#DIV/0!</v>
      </c>
      <c r="AC7" s="1569" t="e">
        <f>D7/J7</f>
        <v>#DIV/0!</v>
      </c>
    </row>
    <row r="8" spans="1:29" s="1218" customFormat="1" ht="15" thickBot="1">
      <c r="A8" s="2912"/>
      <c r="B8" s="2919" t="s">
        <v>496</v>
      </c>
      <c r="C8" s="524" t="s">
        <v>541</v>
      </c>
      <c r="D8" s="519">
        <v>100</v>
      </c>
      <c r="E8" s="524"/>
      <c r="F8" s="521">
        <f>SUMIF(49:49,E8,50:50)-SUMIF(49:49,C8,50:50)+100</f>
        <v>0</v>
      </c>
      <c r="G8" s="524"/>
      <c r="H8" s="519">
        <f>SUMIF(49:49,G8,50:50)-SUMIF(49:49,C8,50:50)+100</f>
        <v>0</v>
      </c>
      <c r="I8" s="524"/>
      <c r="J8" s="519">
        <f>SUMIF(49:49,I8,50:50)-SUMIF(49:49,C8,50:50)+100</f>
        <v>0</v>
      </c>
      <c r="K8" s="523"/>
      <c r="L8" s="2134"/>
      <c r="M8" s="2135"/>
      <c r="N8" s="2135"/>
      <c r="O8" s="2135"/>
      <c r="P8" s="3393" t="s">
        <v>498</v>
      </c>
      <c r="Q8" s="3394"/>
      <c r="R8" s="1566" t="s">
        <v>8</v>
      </c>
      <c r="S8" s="1567">
        <f t="shared" si="0"/>
        <v>0</v>
      </c>
      <c r="T8" s="1566" t="s">
        <v>8</v>
      </c>
      <c r="U8" s="1567">
        <f t="shared" si="1"/>
        <v>0</v>
      </c>
      <c r="V8" s="1566" t="s">
        <v>8</v>
      </c>
      <c r="W8" s="1567">
        <f t="shared" si="2"/>
        <v>0</v>
      </c>
      <c r="X8" s="1568"/>
      <c r="Y8" s="3393" t="s">
        <v>498</v>
      </c>
      <c r="Z8" s="3394"/>
      <c r="AA8" s="1569" t="e">
        <f t="shared" ref="AA8:AA34" si="3">D8/F8</f>
        <v>#DIV/0!</v>
      </c>
      <c r="AB8" s="1569" t="e">
        <f t="shared" ref="AB8:AB34" si="4">D8/H8</f>
        <v>#DIV/0!</v>
      </c>
      <c r="AC8" s="1569" t="e">
        <f t="shared" ref="AC8:AC34" si="5">D8/J8</f>
        <v>#DIV/0!</v>
      </c>
    </row>
    <row r="9" spans="1:29" s="1218" customFormat="1" ht="14.4">
      <c r="A9" s="2913"/>
      <c r="B9" s="2920" t="s">
        <v>2718</v>
      </c>
      <c r="C9" s="856"/>
      <c r="D9" s="253">
        <v>100</v>
      </c>
      <c r="E9" s="859"/>
      <c r="F9" s="253">
        <f>SUMIF(51:51,E9,52:52)-SUMIF(51:51,C9,52:52)+100</f>
        <v>100</v>
      </c>
      <c r="G9" s="859"/>
      <c r="H9" s="253">
        <f>SUMIF(51:51,G9,52:52)-SUMIF(51:51,C9,52:52)+100</f>
        <v>100</v>
      </c>
      <c r="I9" s="859"/>
      <c r="J9" s="253">
        <f>SUMIF(51:51,I9,52:52)-SUMIF(51:51,C9,52:52)+100</f>
        <v>100</v>
      </c>
      <c r="K9" s="523"/>
      <c r="L9" s="2134"/>
      <c r="M9" s="2135"/>
      <c r="N9" s="2135"/>
      <c r="O9" s="2136"/>
      <c r="P9" s="3362" t="s">
        <v>500</v>
      </c>
      <c r="Q9" s="1149" t="str">
        <f t="shared" ref="Q9:Q14" si="6">B9</f>
        <v>用途</v>
      </c>
      <c r="R9" s="1566" t="s">
        <v>8</v>
      </c>
      <c r="S9" s="1567">
        <f t="shared" si="0"/>
        <v>100</v>
      </c>
      <c r="T9" s="1566" t="s">
        <v>8</v>
      </c>
      <c r="U9" s="1567">
        <f t="shared" si="1"/>
        <v>100</v>
      </c>
      <c r="V9" s="1566" t="s">
        <v>8</v>
      </c>
      <c r="W9" s="1567">
        <f t="shared" si="2"/>
        <v>100</v>
      </c>
      <c r="X9" s="1568"/>
      <c r="Y9" s="3308" t="s">
        <v>501</v>
      </c>
      <c r="Z9" s="1148" t="str">
        <f t="shared" ref="Z9:Z14" si="7">Q9</f>
        <v>用途</v>
      </c>
      <c r="AA9" s="1569">
        <f t="shared" si="3"/>
        <v>1</v>
      </c>
      <c r="AB9" s="1569">
        <f t="shared" si="4"/>
        <v>1</v>
      </c>
      <c r="AC9" s="1569">
        <f t="shared" si="5"/>
        <v>1</v>
      </c>
    </row>
    <row r="10" spans="1:29" s="1336" customFormat="1" ht="28.8">
      <c r="A10" s="2914"/>
      <c r="B10" s="2919" t="s">
        <v>2719</v>
      </c>
      <c r="C10" s="860"/>
      <c r="D10" s="254">
        <v>100</v>
      </c>
      <c r="E10" s="860"/>
      <c r="F10" s="254">
        <f>SUMIF(53:53,E10,54:54)-SUMIF(53:53,C10,54:54)+100</f>
        <v>100</v>
      </c>
      <c r="G10" s="861"/>
      <c r="H10" s="254">
        <f>SUMIF(53:53,G10,54:54)-SUMIF(53:53,C10,54:54)+100</f>
        <v>100</v>
      </c>
      <c r="I10" s="860"/>
      <c r="J10" s="254">
        <f>SUMIF(53:53,I10,54:54)-SUMIF(53:53,C10,54:54)+100</f>
        <v>100</v>
      </c>
      <c r="K10" s="583"/>
      <c r="L10" s="2137"/>
      <c r="M10" s="2177"/>
      <c r="N10" s="2177"/>
      <c r="O10" s="2138"/>
      <c r="P10" s="3362"/>
      <c r="Q10" s="1149" t="str">
        <f t="shared" si="6"/>
        <v>土地使用年限（年）</v>
      </c>
      <c r="R10" s="1566" t="s">
        <v>8</v>
      </c>
      <c r="S10" s="1567">
        <f t="shared" si="0"/>
        <v>100</v>
      </c>
      <c r="T10" s="1566" t="s">
        <v>8</v>
      </c>
      <c r="U10" s="1567">
        <f t="shared" si="1"/>
        <v>100</v>
      </c>
      <c r="V10" s="1566" t="s">
        <v>8</v>
      </c>
      <c r="W10" s="1567">
        <f t="shared" si="2"/>
        <v>100</v>
      </c>
      <c r="X10" s="1568"/>
      <c r="Y10" s="3308"/>
      <c r="Z10" s="1148" t="str">
        <f t="shared" si="7"/>
        <v>土地使用年限（年）</v>
      </c>
      <c r="AA10" s="1569">
        <f t="shared" si="3"/>
        <v>1</v>
      </c>
      <c r="AB10" s="1569">
        <f t="shared" si="4"/>
        <v>1</v>
      </c>
      <c r="AC10" s="1569">
        <f t="shared" si="5"/>
        <v>1</v>
      </c>
    </row>
    <row r="11" spans="1:29" ht="15">
      <c r="A11" s="2916"/>
      <c r="B11" s="2922">
        <v>111</v>
      </c>
      <c r="C11" s="527"/>
      <c r="D11" s="254">
        <v>100</v>
      </c>
      <c r="E11" s="878"/>
      <c r="F11" s="254">
        <f>SUMIF(55:55,E11,56:56)-SUMIF(55:55,C11,56:56)+100</f>
        <v>100</v>
      </c>
      <c r="G11" s="878"/>
      <c r="H11" s="254">
        <f>SUMIF(55:55,G11,56:56)-SUMIF(55:55,C11,56:56)+100</f>
        <v>100</v>
      </c>
      <c r="I11" s="878"/>
      <c r="J11" s="254">
        <f>SUMIF(55:55,I11,56:56)-SUMIF(55:55,C11,56:56)+100</f>
        <v>100</v>
      </c>
      <c r="K11" s="580"/>
      <c r="L11" s="2139"/>
      <c r="M11" s="2133"/>
      <c r="N11" s="2133"/>
      <c r="O11" s="2140"/>
      <c r="P11" s="3362"/>
      <c r="Q11" s="1149">
        <f t="shared" si="6"/>
        <v>111</v>
      </c>
      <c r="R11" s="1566" t="s">
        <v>8</v>
      </c>
      <c r="S11" s="1567">
        <f t="shared" si="0"/>
        <v>100</v>
      </c>
      <c r="T11" s="1566" t="s">
        <v>8</v>
      </c>
      <c r="U11" s="1567">
        <f t="shared" si="1"/>
        <v>100</v>
      </c>
      <c r="V11" s="1566" t="s">
        <v>8</v>
      </c>
      <c r="W11" s="1567">
        <f t="shared" si="2"/>
        <v>100</v>
      </c>
      <c r="X11" s="1568"/>
      <c r="Y11" s="3308"/>
      <c r="Z11" s="1148">
        <f t="shared" si="7"/>
        <v>111</v>
      </c>
      <c r="AA11" s="1569">
        <f t="shared" si="3"/>
        <v>1</v>
      </c>
      <c r="AB11" s="1569">
        <f t="shared" si="4"/>
        <v>1</v>
      </c>
      <c r="AC11" s="1569">
        <f t="shared" si="5"/>
        <v>1</v>
      </c>
    </row>
    <row r="12" spans="1:29" s="1218" customFormat="1" ht="15">
      <c r="A12" s="2916"/>
      <c r="B12" s="2922">
        <v>111</v>
      </c>
      <c r="C12" s="527"/>
      <c r="D12" s="537">
        <v>100</v>
      </c>
      <c r="E12" s="878"/>
      <c r="F12" s="254">
        <f>SUMIF(57:57,E12,58:58)-SUMIF(57:57,C12,58:58)+100</f>
        <v>100</v>
      </c>
      <c r="G12" s="878"/>
      <c r="H12" s="254">
        <f>SUMIF(57:57,G12,58:58)-SUMIF(57:57,C12,58:58)+100</f>
        <v>100</v>
      </c>
      <c r="I12" s="878"/>
      <c r="J12" s="254">
        <f>SUMIF(57:57,I12,58:58)-SUMIF(57:57,C12,58:58)+100</f>
        <v>100</v>
      </c>
      <c r="K12" s="580"/>
      <c r="L12" s="2134"/>
      <c r="M12" s="2135"/>
      <c r="N12" s="2135"/>
      <c r="O12" s="2136"/>
      <c r="P12" s="3362"/>
      <c r="Q12" s="1149">
        <f t="shared" si="6"/>
        <v>111</v>
      </c>
      <c r="R12" s="1566" t="s">
        <v>8</v>
      </c>
      <c r="S12" s="1567">
        <f t="shared" si="0"/>
        <v>100</v>
      </c>
      <c r="T12" s="1566" t="s">
        <v>8</v>
      </c>
      <c r="U12" s="1567">
        <f t="shared" si="1"/>
        <v>100</v>
      </c>
      <c r="V12" s="1566" t="s">
        <v>8</v>
      </c>
      <c r="W12" s="1567">
        <f t="shared" si="2"/>
        <v>100</v>
      </c>
      <c r="X12" s="1568"/>
      <c r="Y12" s="3308"/>
      <c r="Z12" s="1148">
        <f t="shared" si="7"/>
        <v>111</v>
      </c>
      <c r="AA12" s="1569">
        <f>D12/F12</f>
        <v>1</v>
      </c>
      <c r="AB12" s="1569">
        <f>D12/H12</f>
        <v>1</v>
      </c>
      <c r="AC12" s="1569">
        <f>D12/J12</f>
        <v>1</v>
      </c>
    </row>
    <row r="13" spans="1:29" ht="15.6" thickBot="1">
      <c r="A13" s="2917"/>
      <c r="B13" s="2923">
        <v>111</v>
      </c>
      <c r="C13" s="538"/>
      <c r="D13" s="539">
        <v>100</v>
      </c>
      <c r="E13" s="878"/>
      <c r="F13" s="254">
        <f>SUMIF(59:59,E13,60:60)-SUMIF(59:59,C13,60:60)+100</f>
        <v>100</v>
      </c>
      <c r="G13" s="878"/>
      <c r="H13" s="539">
        <f>SUMIF(59:59,G13,60:60)-SUMIF(59:59,C13,60:60)+100</f>
        <v>100</v>
      </c>
      <c r="I13" s="878"/>
      <c r="J13" s="539">
        <f>SUMIF(59:59,I13,60:60)-SUMIF(59:59,C13,60:60)+100</f>
        <v>100</v>
      </c>
      <c r="K13" s="580"/>
      <c r="L13" s="2141"/>
      <c r="M13" s="2133"/>
      <c r="N13" s="2133"/>
      <c r="O13" s="2140"/>
      <c r="P13" s="3362"/>
      <c r="Q13" s="1149">
        <f t="shared" si="6"/>
        <v>111</v>
      </c>
      <c r="R13" s="1566" t="s">
        <v>8</v>
      </c>
      <c r="S13" s="1567">
        <f t="shared" si="0"/>
        <v>100</v>
      </c>
      <c r="T13" s="1566" t="s">
        <v>8</v>
      </c>
      <c r="U13" s="1567">
        <f t="shared" si="1"/>
        <v>100</v>
      </c>
      <c r="V13" s="1566" t="s">
        <v>8</v>
      </c>
      <c r="W13" s="1567">
        <f t="shared" si="2"/>
        <v>100</v>
      </c>
      <c r="X13" s="1568"/>
      <c r="Y13" s="3308"/>
      <c r="Z13" s="1148">
        <f t="shared" si="7"/>
        <v>111</v>
      </c>
      <c r="AA13" s="1569">
        <f t="shared" si="3"/>
        <v>1</v>
      </c>
      <c r="AB13" s="1569">
        <f t="shared" si="4"/>
        <v>1</v>
      </c>
      <c r="AC13" s="1569">
        <f t="shared" si="5"/>
        <v>1</v>
      </c>
    </row>
    <row r="14" spans="1:29" ht="96.6">
      <c r="A14" s="2909" t="s">
        <v>2716</v>
      </c>
      <c r="B14" s="165" t="s">
        <v>508</v>
      </c>
      <c r="C14" s="919"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6"/>
      <c r="L14" s="2141"/>
      <c r="M14" s="2133"/>
      <c r="N14" s="2133"/>
      <c r="O14" s="2140"/>
      <c r="P14" s="3396" t="s">
        <v>505</v>
      </c>
      <c r="Q14" s="1570" t="str">
        <f t="shared" si="6"/>
        <v>交通便捷度</v>
      </c>
      <c r="R14" s="1571" t="s">
        <v>8</v>
      </c>
      <c r="S14" s="1572">
        <f t="shared" si="0"/>
        <v>100</v>
      </c>
      <c r="T14" s="1571" t="s">
        <v>8</v>
      </c>
      <c r="U14" s="1572">
        <f t="shared" si="1"/>
        <v>100</v>
      </c>
      <c r="V14" s="1571" t="s">
        <v>8</v>
      </c>
      <c r="W14" s="1572">
        <f t="shared" si="2"/>
        <v>100</v>
      </c>
      <c r="X14" s="1565"/>
      <c r="Y14" s="3396" t="s">
        <v>505</v>
      </c>
      <c r="Z14" s="1573" t="str">
        <f t="shared" si="7"/>
        <v>交通便捷度</v>
      </c>
      <c r="AA14" s="1574">
        <f t="shared" si="3"/>
        <v>1</v>
      </c>
      <c r="AB14" s="1574">
        <f t="shared" si="4"/>
        <v>1</v>
      </c>
      <c r="AC14" s="1574">
        <f t="shared" si="5"/>
        <v>1</v>
      </c>
    </row>
    <row r="15" spans="1:29" ht="15">
      <c r="A15" s="531"/>
      <c r="B15" s="868"/>
      <c r="C15" s="575"/>
      <c r="D15" s="554"/>
      <c r="E15" s="575"/>
      <c r="F15" s="556"/>
      <c r="G15" s="575"/>
      <c r="H15" s="558"/>
      <c r="I15" s="575"/>
      <c r="J15" s="554"/>
      <c r="K15" s="897"/>
      <c r="L15" s="2141"/>
      <c r="M15" s="2133"/>
      <c r="N15" s="2133"/>
      <c r="O15" s="2140"/>
      <c r="P15" s="3397"/>
      <c r="Q15" s="1570"/>
      <c r="R15" s="1571"/>
      <c r="S15" s="1572"/>
      <c r="T15" s="1571"/>
      <c r="U15" s="1572"/>
      <c r="V15" s="1571"/>
      <c r="W15" s="1572"/>
      <c r="X15" s="1565"/>
      <c r="Y15" s="3397"/>
      <c r="Z15" s="1573"/>
      <c r="AA15" s="1574">
        <v>1</v>
      </c>
      <c r="AB15" s="1574">
        <v>1</v>
      </c>
      <c r="AC15" s="1574">
        <v>1</v>
      </c>
    </row>
    <row r="16" spans="1:29" ht="41.4">
      <c r="A16" s="531"/>
      <c r="B16" s="2602" t="s">
        <v>2508</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6"/>
      <c r="L16" s="2141"/>
      <c r="M16" s="2133"/>
      <c r="N16" s="2133"/>
      <c r="O16" s="2140"/>
      <c r="P16" s="3397"/>
      <c r="Q16" s="1570" t="str">
        <f>B16</f>
        <v>公共配套设施</v>
      </c>
      <c r="R16" s="1571" t="s">
        <v>8</v>
      </c>
      <c r="S16" s="1572">
        <f>F16</f>
        <v>100</v>
      </c>
      <c r="T16" s="1571" t="s">
        <v>8</v>
      </c>
      <c r="U16" s="1572">
        <f>H16</f>
        <v>100</v>
      </c>
      <c r="V16" s="1571" t="s">
        <v>8</v>
      </c>
      <c r="W16" s="1572">
        <f>J16</f>
        <v>100</v>
      </c>
      <c r="X16" s="1565"/>
      <c r="Y16" s="3397"/>
      <c r="Z16" s="1573" t="str">
        <f>Q16</f>
        <v>公共配套设施</v>
      </c>
      <c r="AA16" s="1574">
        <f t="shared" si="3"/>
        <v>1</v>
      </c>
      <c r="AB16" s="1574">
        <f t="shared" si="4"/>
        <v>1</v>
      </c>
      <c r="AC16" s="1574">
        <f t="shared" si="5"/>
        <v>1</v>
      </c>
    </row>
    <row r="17" spans="1:29" ht="15">
      <c r="A17" s="531"/>
      <c r="B17" s="565"/>
      <c r="C17" s="872"/>
      <c r="D17" s="554"/>
      <c r="E17" s="575"/>
      <c r="F17" s="556"/>
      <c r="G17" s="575"/>
      <c r="H17" s="554"/>
      <c r="I17" s="575"/>
      <c r="J17" s="554"/>
      <c r="K17" s="897"/>
      <c r="L17" s="2141"/>
      <c r="M17" s="2133"/>
      <c r="N17" s="2133"/>
      <c r="O17" s="2140"/>
      <c r="P17" s="3397"/>
      <c r="Q17" s="1570"/>
      <c r="R17" s="1571"/>
      <c r="S17" s="1572"/>
      <c r="T17" s="1571"/>
      <c r="U17" s="1572"/>
      <c r="V17" s="1571"/>
      <c r="W17" s="1572"/>
      <c r="X17" s="1565"/>
      <c r="Y17" s="3397"/>
      <c r="Z17" s="1573"/>
      <c r="AA17" s="1574">
        <v>1</v>
      </c>
      <c r="AB17" s="1574">
        <v>1</v>
      </c>
      <c r="AC17" s="1574">
        <v>1</v>
      </c>
    </row>
    <row r="18" spans="1:29" ht="41.4">
      <c r="A18" s="531"/>
      <c r="B18" s="2590" t="s">
        <v>2520</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6"/>
      <c r="L18" s="2141"/>
      <c r="M18" s="2133"/>
      <c r="N18" s="2133"/>
      <c r="O18" s="2140"/>
      <c r="P18" s="3397"/>
      <c r="Q18" s="2578" t="str">
        <f>B18</f>
        <v>基础设施水平</v>
      </c>
      <c r="R18" s="1571" t="s">
        <v>8</v>
      </c>
      <c r="S18" s="1572">
        <f>F18</f>
        <v>100</v>
      </c>
      <c r="T18" s="1571" t="s">
        <v>8</v>
      </c>
      <c r="U18" s="1572">
        <f>H18</f>
        <v>100</v>
      </c>
      <c r="V18" s="1571" t="s">
        <v>8</v>
      </c>
      <c r="W18" s="1572">
        <f>J18</f>
        <v>100</v>
      </c>
      <c r="X18" s="2580"/>
      <c r="Y18" s="3397"/>
      <c r="Z18" s="2579" t="str">
        <f>Q18</f>
        <v>基础设施水平</v>
      </c>
      <c r="AA18" s="1574">
        <f t="shared" ref="AA18" si="8">D18/F18</f>
        <v>1</v>
      </c>
      <c r="AB18" s="1574">
        <f t="shared" ref="AB18" si="9">D18/H18</f>
        <v>1</v>
      </c>
      <c r="AC18" s="1574">
        <f t="shared" ref="AC18" si="10">D18/J18</f>
        <v>1</v>
      </c>
    </row>
    <row r="19" spans="1:29" ht="15">
      <c r="A19" s="531"/>
      <c r="B19" s="577"/>
      <c r="C19" s="872"/>
      <c r="D19" s="558"/>
      <c r="E19" s="872"/>
      <c r="F19" s="562"/>
      <c r="G19" s="872"/>
      <c r="H19" s="554"/>
      <c r="I19" s="575"/>
      <c r="J19" s="554"/>
      <c r="K19" s="2601"/>
      <c r="L19" s="2141"/>
      <c r="M19" s="2133"/>
      <c r="N19" s="2133"/>
      <c r="O19" s="2140"/>
      <c r="P19" s="3397"/>
      <c r="Q19" s="2578"/>
      <c r="R19" s="1571"/>
      <c r="S19" s="1572"/>
      <c r="T19" s="1571"/>
      <c r="U19" s="1572"/>
      <c r="V19" s="1571"/>
      <c r="W19" s="1572"/>
      <c r="X19" s="2580"/>
      <c r="Y19" s="3397"/>
      <c r="Z19" s="2579"/>
      <c r="AA19" s="1574">
        <v>1</v>
      </c>
      <c r="AB19" s="1574">
        <v>1</v>
      </c>
      <c r="AC19" s="1574">
        <v>1</v>
      </c>
    </row>
    <row r="20" spans="1:29" ht="55.2">
      <c r="A20" s="531"/>
      <c r="B20" s="870" t="s">
        <v>769</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6"/>
      <c r="L20" s="2141"/>
      <c r="M20" s="2133"/>
      <c r="N20" s="2133"/>
      <c r="O20" s="2140"/>
      <c r="P20" s="3397"/>
      <c r="Q20" s="1570" t="str">
        <f>B20</f>
        <v>自然及人文环境</v>
      </c>
      <c r="R20" s="1571" t="s">
        <v>8</v>
      </c>
      <c r="S20" s="1572">
        <f>F20</f>
        <v>100</v>
      </c>
      <c r="T20" s="1571" t="s">
        <v>8</v>
      </c>
      <c r="U20" s="1572">
        <f>H20</f>
        <v>100</v>
      </c>
      <c r="V20" s="1571" t="s">
        <v>8</v>
      </c>
      <c r="W20" s="1572">
        <f>J20</f>
        <v>100</v>
      </c>
      <c r="X20" s="1565"/>
      <c r="Y20" s="3397"/>
      <c r="Z20" s="1573" t="str">
        <f>Q20</f>
        <v>自然及人文环境</v>
      </c>
      <c r="AA20" s="1574">
        <f t="shared" si="3"/>
        <v>1</v>
      </c>
      <c r="AB20" s="1574">
        <f t="shared" si="4"/>
        <v>1</v>
      </c>
      <c r="AC20" s="1574">
        <f t="shared" si="5"/>
        <v>1</v>
      </c>
    </row>
    <row r="21" spans="1:29" ht="15">
      <c r="A21" s="531"/>
      <c r="B21" s="594"/>
      <c r="C21" s="575"/>
      <c r="D21" s="554"/>
      <c r="E21" s="575"/>
      <c r="F21" s="556"/>
      <c r="G21" s="575"/>
      <c r="H21" s="554"/>
      <c r="I21" s="575"/>
      <c r="J21" s="554"/>
      <c r="K21" s="897"/>
      <c r="L21" s="2141"/>
      <c r="M21" s="2133"/>
      <c r="N21" s="2133"/>
      <c r="O21" s="2140"/>
      <c r="P21" s="3397"/>
      <c r="Q21" s="1570"/>
      <c r="R21" s="1571"/>
      <c r="S21" s="1572"/>
      <c r="T21" s="1571"/>
      <c r="U21" s="1572"/>
      <c r="V21" s="1571"/>
      <c r="W21" s="1572"/>
      <c r="X21" s="1565"/>
      <c r="Y21" s="3397"/>
      <c r="Z21" s="1573"/>
      <c r="AA21" s="1574">
        <v>1</v>
      </c>
      <c r="AB21" s="1574">
        <v>1</v>
      </c>
      <c r="AC21" s="1574">
        <v>1</v>
      </c>
    </row>
    <row r="22" spans="1:29" ht="15">
      <c r="A22" s="531"/>
      <c r="B22" s="870" t="s">
        <v>770</v>
      </c>
      <c r="C22" s="582"/>
      <c r="D22" s="558">
        <v>100</v>
      </c>
      <c r="E22" s="582"/>
      <c r="F22" s="574">
        <f>SUMIF(69:69,E22,70:70)-SUMIF(69:69,C22,70:70)+100</f>
        <v>100</v>
      </c>
      <c r="G22" s="582"/>
      <c r="H22" s="539">
        <f>SUMIF(69:69,G22,70:70)-SUMIF(69:69,C22,70:70)+100</f>
        <v>100</v>
      </c>
      <c r="I22" s="582"/>
      <c r="J22" s="539">
        <f>SUMIF(69:69,I22,70:70)-SUMIF(69:69,C22,70:70)+100</f>
        <v>100</v>
      </c>
      <c r="K22" s="583"/>
      <c r="L22" s="2141"/>
      <c r="M22" s="2133"/>
      <c r="N22" s="2133"/>
      <c r="O22" s="2140"/>
      <c r="P22" s="3397"/>
      <c r="Q22" s="1570" t="str">
        <f>B22</f>
        <v>楼层</v>
      </c>
      <c r="R22" s="1571" t="s">
        <v>8</v>
      </c>
      <c r="S22" s="1572">
        <f>F22</f>
        <v>100</v>
      </c>
      <c r="T22" s="1571" t="s">
        <v>8</v>
      </c>
      <c r="U22" s="1572">
        <f>H22</f>
        <v>100</v>
      </c>
      <c r="V22" s="1571" t="s">
        <v>8</v>
      </c>
      <c r="W22" s="1572">
        <f>J22</f>
        <v>100</v>
      </c>
      <c r="X22" s="1565"/>
      <c r="Y22" s="3397"/>
      <c r="Z22" s="1573" t="str">
        <f>Q22</f>
        <v>楼层</v>
      </c>
      <c r="AA22" s="1574">
        <f t="shared" si="3"/>
        <v>1</v>
      </c>
      <c r="AB22" s="1574">
        <f t="shared" si="4"/>
        <v>1</v>
      </c>
      <c r="AC22" s="1574">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1"/>
      <c r="M23" s="2133"/>
      <c r="N23" s="2133"/>
      <c r="O23" s="2140"/>
      <c r="P23" s="3397"/>
      <c r="Q23" s="1570">
        <f>B23</f>
        <v>111</v>
      </c>
      <c r="R23" s="1571" t="s">
        <v>8</v>
      </c>
      <c r="S23" s="1572">
        <f>F23</f>
        <v>100</v>
      </c>
      <c r="T23" s="1571" t="s">
        <v>8</v>
      </c>
      <c r="U23" s="1572">
        <f>H23</f>
        <v>100</v>
      </c>
      <c r="V23" s="1571" t="s">
        <v>8</v>
      </c>
      <c r="W23" s="1572">
        <f>J23</f>
        <v>100</v>
      </c>
      <c r="X23" s="1565"/>
      <c r="Y23" s="3397"/>
      <c r="Z23" s="1573">
        <f>Q23</f>
        <v>111</v>
      </c>
      <c r="AA23" s="1574">
        <f t="shared" si="3"/>
        <v>1</v>
      </c>
      <c r="AB23" s="1574">
        <f t="shared" si="4"/>
        <v>1</v>
      </c>
      <c r="AC23" s="1574">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1"/>
      <c r="M24" s="2133"/>
      <c r="N24" s="2133"/>
      <c r="O24" s="2140"/>
      <c r="P24" s="3397"/>
      <c r="Q24" s="1570">
        <f t="shared" ref="Q24:Q34" si="11">B24</f>
        <v>111</v>
      </c>
      <c r="R24" s="1571" t="s">
        <v>8</v>
      </c>
      <c r="S24" s="1572">
        <f>F24</f>
        <v>100</v>
      </c>
      <c r="T24" s="1571" t="s">
        <v>8</v>
      </c>
      <c r="U24" s="1572">
        <f>H24</f>
        <v>100</v>
      </c>
      <c r="V24" s="1571" t="s">
        <v>8</v>
      </c>
      <c r="W24" s="1572">
        <f>J24</f>
        <v>100</v>
      </c>
      <c r="X24" s="1565"/>
      <c r="Y24" s="3397"/>
      <c r="Z24" s="1573">
        <f>Q24</f>
        <v>111</v>
      </c>
      <c r="AA24" s="1574">
        <f t="shared" si="3"/>
        <v>1</v>
      </c>
      <c r="AB24" s="1574">
        <f t="shared" si="4"/>
        <v>1</v>
      </c>
      <c r="AC24" s="1574">
        <f t="shared" si="5"/>
        <v>1</v>
      </c>
    </row>
    <row r="25" spans="1:29" s="1218" customFormat="1" ht="15.6"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34"/>
      <c r="M25" s="2135"/>
      <c r="N25" s="2135"/>
      <c r="O25" s="2136"/>
      <c r="P25" s="3397"/>
      <c r="Q25" s="1149">
        <f t="shared" si="11"/>
        <v>111</v>
      </c>
      <c r="R25" s="1566" t="s">
        <v>8</v>
      </c>
      <c r="S25" s="1567">
        <f>F25</f>
        <v>100</v>
      </c>
      <c r="T25" s="1566" t="s">
        <v>8</v>
      </c>
      <c r="U25" s="1567">
        <f>H25</f>
        <v>100</v>
      </c>
      <c r="V25" s="1566" t="s">
        <v>8</v>
      </c>
      <c r="W25" s="1567">
        <f>J25</f>
        <v>100</v>
      </c>
      <c r="X25" s="1568"/>
      <c r="Y25" s="3397"/>
      <c r="Z25" s="1148">
        <f>Q25</f>
        <v>111</v>
      </c>
      <c r="AA25" s="1574">
        <f>D25/F25</f>
        <v>1</v>
      </c>
      <c r="AB25" s="1574">
        <f>D25/H25</f>
        <v>1</v>
      </c>
      <c r="AC25" s="1574">
        <f>D25/J25</f>
        <v>1</v>
      </c>
    </row>
    <row r="26" spans="1:29" ht="15">
      <c r="A26" s="2906" t="s">
        <v>2717</v>
      </c>
      <c r="B26" s="171" t="s">
        <v>773</v>
      </c>
      <c r="C26" s="914"/>
      <c r="D26" s="596">
        <v>100</v>
      </c>
      <c r="E26" s="914"/>
      <c r="F26" s="941">
        <f>SUMIF(77:77,E26,78:78)-SUMIF(77:77,C26,78:78)+100</f>
        <v>100</v>
      </c>
      <c r="G26" s="914"/>
      <c r="H26" s="596">
        <f>SUMIF(77:77,G26,78:78)-SUMIF(77:77,C26,78:78)+100</f>
        <v>100</v>
      </c>
      <c r="I26" s="914"/>
      <c r="J26" s="596">
        <f>SUMIF(77:77,I26,78:78)-SUMIF(77:77,C26,78:78)+100</f>
        <v>100</v>
      </c>
      <c r="K26" s="583"/>
      <c r="L26" s="2141"/>
      <c r="M26" s="2133"/>
      <c r="N26" s="2133"/>
      <c r="O26" s="2140"/>
      <c r="P26" s="3398" t="s">
        <v>786</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399" t="s">
        <v>786</v>
      </c>
      <c r="Z26" s="1573" t="str">
        <f t="shared" ref="Z26:Z34" si="15">Q26</f>
        <v>公共部分装修</v>
      </c>
      <c r="AA26" s="1574">
        <f t="shared" si="3"/>
        <v>1</v>
      </c>
      <c r="AB26" s="1574">
        <f t="shared" si="4"/>
        <v>1</v>
      </c>
      <c r="AC26" s="1574">
        <f t="shared" si="5"/>
        <v>1</v>
      </c>
    </row>
    <row r="27" spans="1:29" s="1337" customFormat="1" ht="15">
      <c r="A27" s="602"/>
      <c r="B27" s="526" t="s">
        <v>774</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39"/>
      <c r="M27" s="2170"/>
      <c r="N27" s="2170"/>
      <c r="O27" s="2142"/>
      <c r="P27" s="3399"/>
      <c r="Q27" s="1603" t="str">
        <f t="shared" si="11"/>
        <v>成新率</v>
      </c>
      <c r="R27" s="1575" t="s">
        <v>8</v>
      </c>
      <c r="S27" s="1576" t="e">
        <f t="shared" si="12"/>
        <v>#N/A</v>
      </c>
      <c r="T27" s="1575" t="s">
        <v>8</v>
      </c>
      <c r="U27" s="1576" t="e">
        <f t="shared" si="13"/>
        <v>#N/A</v>
      </c>
      <c r="V27" s="1575" t="s">
        <v>8</v>
      </c>
      <c r="W27" s="1576" t="e">
        <f t="shared" si="14"/>
        <v>#N/A</v>
      </c>
      <c r="X27" s="1577"/>
      <c r="Y27" s="3399"/>
      <c r="Z27" s="1578" t="str">
        <f t="shared" si="15"/>
        <v>成新率</v>
      </c>
      <c r="AA27" s="1574" t="e">
        <f t="shared" si="3"/>
        <v>#N/A</v>
      </c>
      <c r="AB27" s="1574" t="e">
        <f t="shared" si="4"/>
        <v>#N/A</v>
      </c>
      <c r="AC27" s="1574" t="e">
        <f t="shared" si="5"/>
        <v>#N/A</v>
      </c>
    </row>
    <row r="28" spans="1:29" ht="15">
      <c r="A28" s="593"/>
      <c r="B28" s="526" t="s">
        <v>775</v>
      </c>
      <c r="C28" s="573"/>
      <c r="D28" s="539">
        <v>100</v>
      </c>
      <c r="E28" s="573"/>
      <c r="F28" s="574">
        <f>SUMIF(82:82,E28,83:83)-SUMIF(82:82,C28,83:83)+100</f>
        <v>100</v>
      </c>
      <c r="G28" s="573"/>
      <c r="H28" s="539">
        <f>SUMIF(82:82,G28,83:83)-SUMIF(82:82,C28,83:83)+100</f>
        <v>100</v>
      </c>
      <c r="I28" s="573"/>
      <c r="J28" s="539">
        <f>SUMIF(82:82,I28,83:83)-SUMIF(82:82,C28,83:83)+100</f>
        <v>100</v>
      </c>
      <c r="K28" s="583"/>
      <c r="L28" s="2141"/>
      <c r="M28" s="2133"/>
      <c r="N28" s="2133"/>
      <c r="O28" s="2140"/>
      <c r="P28" s="3399"/>
      <c r="Q28" s="1570" t="str">
        <f t="shared" si="11"/>
        <v>物业等级</v>
      </c>
      <c r="R28" s="1571" t="s">
        <v>8</v>
      </c>
      <c r="S28" s="1572">
        <f t="shared" si="12"/>
        <v>100</v>
      </c>
      <c r="T28" s="1571" t="s">
        <v>8</v>
      </c>
      <c r="U28" s="1572">
        <f t="shared" si="13"/>
        <v>100</v>
      </c>
      <c r="V28" s="1571" t="s">
        <v>8</v>
      </c>
      <c r="W28" s="1572">
        <f t="shared" si="14"/>
        <v>100</v>
      </c>
      <c r="X28" s="1565"/>
      <c r="Y28" s="3399"/>
      <c r="Z28" s="1573" t="str">
        <f t="shared" si="15"/>
        <v>物业等级</v>
      </c>
      <c r="AA28" s="1574">
        <f t="shared" si="3"/>
        <v>1</v>
      </c>
      <c r="AB28" s="1574">
        <f t="shared" si="4"/>
        <v>1</v>
      </c>
      <c r="AC28" s="1574">
        <f t="shared" si="5"/>
        <v>1</v>
      </c>
    </row>
    <row r="29" spans="1:29" ht="15">
      <c r="A29" s="593"/>
      <c r="B29" s="526" t="s">
        <v>787</v>
      </c>
      <c r="C29" s="930"/>
      <c r="D29" s="539">
        <v>100</v>
      </c>
      <c r="E29" s="930"/>
      <c r="F29" s="574">
        <f>SUMIF(84:84,E29,85:85)-SUMIF(84:84,C29,85:85)+100</f>
        <v>100</v>
      </c>
      <c r="G29" s="930"/>
      <c r="H29" s="539">
        <f>SUMIF(84:84,G29,85:85)-SUMIF(84:84,C29,85:85)+100</f>
        <v>100</v>
      </c>
      <c r="I29" s="930"/>
      <c r="J29" s="539">
        <f>SUMIF(84:84,I29,85:85)-SUMIF(84:84,C29,85:85)+100</f>
        <v>100</v>
      </c>
      <c r="K29" s="583"/>
      <c r="L29" s="2141"/>
      <c r="M29" s="2133"/>
      <c r="N29" s="2133"/>
      <c r="O29" s="2140"/>
      <c r="P29" s="3399"/>
      <c r="Q29" s="1570" t="str">
        <f t="shared" si="11"/>
        <v>有无电梯</v>
      </c>
      <c r="R29" s="1571" t="s">
        <v>8</v>
      </c>
      <c r="S29" s="1572">
        <f t="shared" si="12"/>
        <v>100</v>
      </c>
      <c r="T29" s="1571" t="s">
        <v>8</v>
      </c>
      <c r="U29" s="1572">
        <f t="shared" si="13"/>
        <v>100</v>
      </c>
      <c r="V29" s="1571" t="s">
        <v>8</v>
      </c>
      <c r="W29" s="1572">
        <f t="shared" si="14"/>
        <v>100</v>
      </c>
      <c r="X29" s="1565"/>
      <c r="Y29" s="3399"/>
      <c r="Z29" s="1573" t="str">
        <f t="shared" si="15"/>
        <v>有无电梯</v>
      </c>
      <c r="AA29" s="1574">
        <f t="shared" si="3"/>
        <v>1</v>
      </c>
      <c r="AB29" s="1574">
        <f t="shared" si="4"/>
        <v>1</v>
      </c>
      <c r="AC29" s="1574">
        <f t="shared" si="5"/>
        <v>1</v>
      </c>
    </row>
    <row r="30" spans="1:29" ht="15">
      <c r="A30" s="593"/>
      <c r="B30" s="526" t="s">
        <v>788</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41"/>
      <c r="M30" s="2133"/>
      <c r="N30" s="2133"/>
      <c r="O30" s="2140"/>
      <c r="P30" s="3399"/>
      <c r="Q30" s="1570" t="str">
        <f t="shared" si="11"/>
        <v>建筑面积</v>
      </c>
      <c r="R30" s="1571" t="s">
        <v>8</v>
      </c>
      <c r="S30" s="1572" t="e">
        <f t="shared" si="12"/>
        <v>#N/A</v>
      </c>
      <c r="T30" s="1571" t="s">
        <v>8</v>
      </c>
      <c r="U30" s="1572" t="e">
        <f t="shared" si="13"/>
        <v>#N/A</v>
      </c>
      <c r="V30" s="1571" t="s">
        <v>8</v>
      </c>
      <c r="W30" s="1572" t="e">
        <f t="shared" si="14"/>
        <v>#N/A</v>
      </c>
      <c r="X30" s="1565"/>
      <c r="Y30" s="3399"/>
      <c r="Z30" s="1573" t="str">
        <f t="shared" si="15"/>
        <v>建筑面积</v>
      </c>
      <c r="AA30" s="1574" t="e">
        <f t="shared" si="3"/>
        <v>#N/A</v>
      </c>
      <c r="AB30" s="1574" t="e">
        <f t="shared" si="4"/>
        <v>#N/A</v>
      </c>
      <c r="AC30" s="1574" t="e">
        <f t="shared" si="5"/>
        <v>#N/A</v>
      </c>
    </row>
    <row r="31" spans="1:29" s="1218" customFormat="1" ht="15">
      <c r="A31" s="599"/>
      <c r="B31" s="526" t="s">
        <v>789</v>
      </c>
      <c r="C31" s="930"/>
      <c r="D31" s="254">
        <v>100</v>
      </c>
      <c r="E31" s="930"/>
      <c r="F31" s="574">
        <f>SUMIF(89:89,E31,90:90)-SUMIF(89:89,C31,90:90)+100</f>
        <v>100</v>
      </c>
      <c r="G31" s="930"/>
      <c r="H31" s="539">
        <f>SUMIF(89:89,G31,90:90)-SUMIF(89:89,C31,90:90)+100</f>
        <v>100</v>
      </c>
      <c r="I31" s="930"/>
      <c r="J31" s="539">
        <f>SUMIF(89:89,I31,90:90)-SUMIF(89:89,C31,90:90)+100</f>
        <v>100</v>
      </c>
      <c r="K31" s="583"/>
      <c r="L31" s="2134"/>
      <c r="M31" s="2135"/>
      <c r="N31" s="2135"/>
      <c r="O31" s="2136"/>
      <c r="P31" s="3399"/>
      <c r="Q31" s="1149" t="str">
        <f t="shared" si="11"/>
        <v>是否封闭</v>
      </c>
      <c r="R31" s="1566" t="s">
        <v>8</v>
      </c>
      <c r="S31" s="1567">
        <f t="shared" si="12"/>
        <v>100</v>
      </c>
      <c r="T31" s="1566" t="s">
        <v>8</v>
      </c>
      <c r="U31" s="1567">
        <f t="shared" si="13"/>
        <v>100</v>
      </c>
      <c r="V31" s="1566" t="s">
        <v>8</v>
      </c>
      <c r="W31" s="1567">
        <f t="shared" si="14"/>
        <v>100</v>
      </c>
      <c r="X31" s="1568"/>
      <c r="Y31" s="3399"/>
      <c r="Z31" s="1148" t="str">
        <f t="shared" si="15"/>
        <v>是否封闭</v>
      </c>
      <c r="AA31" s="1569">
        <f t="shared" si="3"/>
        <v>1</v>
      </c>
      <c r="AB31" s="1569">
        <f t="shared" si="4"/>
        <v>1</v>
      </c>
      <c r="AC31" s="1569">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41"/>
      <c r="M32" s="2133"/>
      <c r="N32" s="2133"/>
      <c r="O32" s="2140"/>
      <c r="P32" s="3399" t="s">
        <v>515</v>
      </c>
      <c r="Q32" s="1570">
        <f t="shared" si="11"/>
        <v>111</v>
      </c>
      <c r="R32" s="1571" t="s">
        <v>8</v>
      </c>
      <c r="S32" s="1572">
        <f t="shared" si="12"/>
        <v>100</v>
      </c>
      <c r="T32" s="1571" t="s">
        <v>8</v>
      </c>
      <c r="U32" s="1572">
        <f t="shared" si="13"/>
        <v>100</v>
      </c>
      <c r="V32" s="1571" t="s">
        <v>8</v>
      </c>
      <c r="W32" s="1572">
        <f t="shared" si="14"/>
        <v>100</v>
      </c>
      <c r="X32" s="1565"/>
      <c r="Y32" s="3399" t="s">
        <v>515</v>
      </c>
      <c r="Z32" s="1573">
        <f t="shared" si="15"/>
        <v>111</v>
      </c>
      <c r="AA32" s="1574">
        <f t="shared" si="3"/>
        <v>1</v>
      </c>
      <c r="AB32" s="1574">
        <f t="shared" si="4"/>
        <v>1</v>
      </c>
      <c r="AC32" s="1574">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41"/>
      <c r="M33" s="2133"/>
      <c r="N33" s="2133"/>
      <c r="O33" s="2140"/>
      <c r="P33" s="3399"/>
      <c r="Q33" s="1570">
        <f t="shared" si="11"/>
        <v>111</v>
      </c>
      <c r="R33" s="1571" t="s">
        <v>8</v>
      </c>
      <c r="S33" s="1572">
        <f t="shared" si="12"/>
        <v>100</v>
      </c>
      <c r="T33" s="1571" t="s">
        <v>8</v>
      </c>
      <c r="U33" s="1572">
        <f t="shared" si="13"/>
        <v>100</v>
      </c>
      <c r="V33" s="1571" t="s">
        <v>8</v>
      </c>
      <c r="W33" s="1572">
        <f t="shared" si="14"/>
        <v>100</v>
      </c>
      <c r="X33" s="1565"/>
      <c r="Y33" s="3399"/>
      <c r="Z33" s="1573">
        <f t="shared" si="15"/>
        <v>111</v>
      </c>
      <c r="AA33" s="1574">
        <f t="shared" si="3"/>
        <v>1</v>
      </c>
      <c r="AB33" s="1574">
        <f t="shared" si="4"/>
        <v>1</v>
      </c>
      <c r="AC33" s="1574">
        <f t="shared" si="5"/>
        <v>1</v>
      </c>
    </row>
    <row r="34" spans="1:29" ht="15.6"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41"/>
      <c r="M34" s="2133"/>
      <c r="N34" s="2133"/>
      <c r="O34" s="2140"/>
      <c r="P34" s="3399"/>
      <c r="Q34" s="1570">
        <f t="shared" si="11"/>
        <v>111</v>
      </c>
      <c r="R34" s="1571" t="s">
        <v>8</v>
      </c>
      <c r="S34" s="1572">
        <f t="shared" si="12"/>
        <v>100</v>
      </c>
      <c r="T34" s="1571" t="s">
        <v>8</v>
      </c>
      <c r="U34" s="1572">
        <f t="shared" si="13"/>
        <v>100</v>
      </c>
      <c r="V34" s="1571" t="s">
        <v>8</v>
      </c>
      <c r="W34" s="1572">
        <f t="shared" si="14"/>
        <v>100</v>
      </c>
      <c r="X34" s="1565"/>
      <c r="Y34" s="3399"/>
      <c r="Z34" s="1573">
        <f t="shared" si="15"/>
        <v>111</v>
      </c>
      <c r="AA34" s="1574">
        <f t="shared" si="3"/>
        <v>1</v>
      </c>
      <c r="AB34" s="1574">
        <f t="shared" si="4"/>
        <v>1</v>
      </c>
      <c r="AC34" s="1574">
        <f t="shared" si="5"/>
        <v>1</v>
      </c>
    </row>
    <row r="35" spans="1:29" ht="14.4">
      <c r="A35" s="606" t="s">
        <v>701</v>
      </c>
      <c r="B35" s="885"/>
      <c r="C35" s="2626" t="s">
        <v>1</v>
      </c>
      <c r="D35" s="2627"/>
      <c r="E35" s="2628"/>
      <c r="F35" s="2629"/>
      <c r="G35" s="2630"/>
      <c r="H35" s="2631"/>
      <c r="I35" s="2628"/>
      <c r="J35" s="2631"/>
      <c r="K35" s="1609"/>
      <c r="L35" s="2143"/>
      <c r="M35" s="2144"/>
      <c r="N35" s="2133"/>
      <c r="O35" s="2144"/>
      <c r="P35" s="3362" t="str">
        <f>A35</f>
        <v>成交单价（元/平方米）</v>
      </c>
      <c r="Q35" s="3362"/>
      <c r="R35" s="3477">
        <f>E35</f>
        <v>0</v>
      </c>
      <c r="S35" s="3477"/>
      <c r="T35" s="3477">
        <f>G35</f>
        <v>0</v>
      </c>
      <c r="U35" s="3477"/>
      <c r="V35" s="3477">
        <f>I35</f>
        <v>0</v>
      </c>
      <c r="W35" s="3477"/>
      <c r="X35" s="1557"/>
      <c r="Y35" s="1579"/>
      <c r="Z35" s="1557"/>
      <c r="AA35" s="1557"/>
      <c r="AB35" s="1557"/>
      <c r="AC35" s="1557"/>
    </row>
    <row r="36" spans="1:29" ht="15" thickBot="1">
      <c r="A36" s="614" t="s">
        <v>2722</v>
      </c>
      <c r="B36" s="886"/>
      <c r="C36" s="2632" t="e">
        <f>R37</f>
        <v>#DIV/0!</v>
      </c>
      <c r="D36" s="2633"/>
      <c r="E36" s="2634" t="e">
        <f>R36</f>
        <v>#DIV/0!</v>
      </c>
      <c r="F36" s="2634"/>
      <c r="G36" s="2632" t="e">
        <f>T36</f>
        <v>#DIV/0!</v>
      </c>
      <c r="H36" s="2633"/>
      <c r="I36" s="2634" t="e">
        <f>V36</f>
        <v>#DIV/0!</v>
      </c>
      <c r="J36" s="2633"/>
      <c r="K36" s="1610"/>
      <c r="L36" s="2143"/>
      <c r="M36" s="2144"/>
      <c r="N36" s="2133"/>
      <c r="O36" s="2144"/>
      <c r="P36" s="3362" t="str">
        <f>A36</f>
        <v>比较价格（元/平方米）</v>
      </c>
      <c r="Q36" s="3362"/>
      <c r="R36" s="3477" t="e">
        <f>IF(F1="售价",ROUND(PRODUCT(R35,AA7:AA34),0),ROUND(PRODUCT(R35,AA7:AA34),1))</f>
        <v>#DIV/0!</v>
      </c>
      <c r="S36" s="3477"/>
      <c r="T36" s="3477" t="e">
        <f>IF(F1="售价",ROUND(PRODUCT(T35,AB7:AB34),0),ROUND(PRODUCT(T35,AB7:AB34),1))</f>
        <v>#DIV/0!</v>
      </c>
      <c r="U36" s="3477"/>
      <c r="V36" s="3477" t="e">
        <f>IF(F1="售价",ROUND(PRODUCT(V35,AC7:AC34),0),ROUND(PRODUCT(V35,AC7:AC34),1))</f>
        <v>#DIV/0!</v>
      </c>
      <c r="W36" s="3477"/>
      <c r="X36" s="1557"/>
      <c r="Y36" s="1557"/>
      <c r="Z36" s="1557"/>
      <c r="AA36" s="1557"/>
      <c r="AB36" s="1557"/>
      <c r="AC36" s="1557"/>
    </row>
    <row r="37" spans="1:29" ht="15" thickBot="1">
      <c r="A37" s="620" t="s">
        <v>2895</v>
      </c>
      <c r="B37" s="621"/>
      <c r="C37" s="2635" t="e">
        <f>R37</f>
        <v>#DIV/0!</v>
      </c>
      <c r="D37" s="2635"/>
      <c r="E37" s="2635"/>
      <c r="F37" s="2635"/>
      <c r="G37" s="2635"/>
      <c r="H37" s="2635"/>
      <c r="I37" s="2635"/>
      <c r="J37" s="2635"/>
      <c r="K37" s="1611"/>
      <c r="L37" s="2143"/>
      <c r="M37" s="2144"/>
      <c r="N37" s="2144"/>
      <c r="O37" s="2144"/>
      <c r="P37" s="3359" t="str">
        <f>A37</f>
        <v>估价对象XX用房的比较价格（楼面单价，元/平方米）</v>
      </c>
      <c r="Q37" s="3360"/>
      <c r="R37" s="3476" t="e">
        <f>IF(F1="售价",ROUND(AVERAGE(R36:V36),0),ROUND(AVERAGE(R36:V36),1))</f>
        <v>#DIV/0!</v>
      </c>
      <c r="S37" s="3476"/>
      <c r="T37" s="3476"/>
      <c r="U37" s="3476"/>
      <c r="V37" s="3476"/>
      <c r="W37" s="3476"/>
      <c r="X37" s="1557"/>
      <c r="Y37" s="1557"/>
      <c r="Z37" s="1557"/>
      <c r="AA37" s="1557"/>
      <c r="AB37" s="1557"/>
      <c r="AC37" s="1557"/>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3" t="s">
        <v>522</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3" t="s">
        <v>523</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3" customFormat="1" ht="13.5" customHeight="1">
      <c r="A42" s="2145"/>
      <c r="B42" s="2145"/>
      <c r="C42" s="623" t="s">
        <v>524</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3"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2.2" thickBot="1">
      <c r="A45" s="1582" t="s">
        <v>539</v>
      </c>
      <c r="B45" s="1557"/>
      <c r="C45" s="1581"/>
      <c r="D45" s="1581"/>
      <c r="E45" s="1581"/>
      <c r="F45" s="1583"/>
      <c r="G45" s="1583"/>
      <c r="H45" s="1581"/>
      <c r="I45" s="1581"/>
      <c r="J45" s="1581"/>
      <c r="K45" s="1584"/>
      <c r="L45" s="1580"/>
      <c r="M45" s="1581"/>
      <c r="N45" s="1581"/>
      <c r="O45" s="1581"/>
      <c r="P45" s="2156"/>
      <c r="Q45" s="2157"/>
      <c r="R45" s="2144"/>
      <c r="S45" s="2144"/>
      <c r="T45" s="2144"/>
      <c r="U45" s="2144"/>
      <c r="V45" s="2144"/>
      <c r="W45" s="2144"/>
      <c r="X45" s="2144"/>
      <c r="Y45" s="2144"/>
      <c r="Z45" s="2144"/>
      <c r="AA45" s="2144"/>
      <c r="AB45" s="2144"/>
      <c r="AC45" s="2144"/>
    </row>
    <row r="46" spans="1:29" s="1345" customFormat="1" ht="14.4">
      <c r="A46" s="644" t="s">
        <v>494</v>
      </c>
      <c r="B46" s="645"/>
      <c r="C46" s="2801" t="str">
        <f>YEAR(C7)&amp;"-"&amp;MONTH(C7)</f>
        <v>2018-12</v>
      </c>
      <c r="D46" s="2803">
        <f>EDATE(C46,-1)</f>
        <v>43405</v>
      </c>
      <c r="E46" s="2803">
        <f t="shared" ref="E46:O46" si="16">EDATE(D46,-1)</f>
        <v>43374</v>
      </c>
      <c r="F46" s="2803">
        <f t="shared" si="16"/>
        <v>43344</v>
      </c>
      <c r="G46" s="2803">
        <f t="shared" si="16"/>
        <v>43313</v>
      </c>
      <c r="H46" s="2803">
        <f t="shared" si="16"/>
        <v>43282</v>
      </c>
      <c r="I46" s="2803">
        <f t="shared" si="16"/>
        <v>43252</v>
      </c>
      <c r="J46" s="2803">
        <f t="shared" si="16"/>
        <v>43221</v>
      </c>
      <c r="K46" s="2803">
        <f t="shared" si="16"/>
        <v>43191</v>
      </c>
      <c r="L46" s="2803">
        <f t="shared" si="16"/>
        <v>43160</v>
      </c>
      <c r="M46" s="2803">
        <f t="shared" si="16"/>
        <v>43132</v>
      </c>
      <c r="N46" s="2803">
        <f t="shared" si="16"/>
        <v>43101</v>
      </c>
      <c r="O46" s="2803">
        <f t="shared" si="16"/>
        <v>43070</v>
      </c>
      <c r="P46" s="2159"/>
      <c r="Q46" s="2160"/>
      <c r="R46" s="2160"/>
      <c r="S46" s="2160"/>
      <c r="T46" s="2160"/>
      <c r="U46" s="2160"/>
      <c r="V46" s="2160"/>
      <c r="W46" s="2160"/>
      <c r="X46" s="2160"/>
      <c r="Y46" s="2160"/>
      <c r="Z46" s="2160"/>
      <c r="AA46" s="2160"/>
      <c r="AB46" s="2160"/>
      <c r="AC46" s="2160"/>
    </row>
    <row r="47" spans="1:29" s="1218" customFormat="1">
      <c r="A47" s="646"/>
      <c r="B47" s="647"/>
      <c r="C47" s="648">
        <v>100</v>
      </c>
      <c r="D47" s="649"/>
      <c r="E47" s="649"/>
      <c r="F47" s="649"/>
      <c r="G47" s="649"/>
      <c r="H47" s="649"/>
      <c r="I47" s="649"/>
      <c r="J47" s="649"/>
      <c r="K47" s="649"/>
      <c r="L47" s="649"/>
      <c r="M47" s="650"/>
      <c r="N47" s="649"/>
      <c r="O47" s="651"/>
      <c r="P47" s="2157"/>
      <c r="Q47" s="1992"/>
      <c r="R47" s="1992"/>
      <c r="S47" s="1992"/>
      <c r="T47" s="1992"/>
      <c r="U47" s="1992"/>
      <c r="V47" s="1992"/>
      <c r="W47" s="1992"/>
      <c r="X47" s="1992"/>
      <c r="Y47" s="1992"/>
      <c r="Z47" s="1992"/>
      <c r="AA47" s="1992"/>
      <c r="AB47" s="1992"/>
      <c r="AC47" s="1992"/>
    </row>
    <row r="48" spans="1:29" s="1218" customFormat="1" ht="15" thickBot="1">
      <c r="A48" s="652" t="s">
        <v>540</v>
      </c>
      <c r="B48" s="653"/>
      <c r="C48" s="654"/>
      <c r="D48" s="655"/>
      <c r="E48" s="655"/>
      <c r="F48" s="655"/>
      <c r="G48" s="655"/>
      <c r="H48" s="655"/>
      <c r="I48" s="655"/>
      <c r="J48" s="655"/>
      <c r="K48" s="655"/>
      <c r="L48" s="655"/>
      <c r="M48" s="656"/>
      <c r="N48" s="655"/>
      <c r="O48" s="657"/>
      <c r="P48" s="2157"/>
      <c r="Q48" s="2157"/>
      <c r="R48" s="1992"/>
      <c r="S48" s="1992"/>
      <c r="T48" s="1992"/>
      <c r="U48" s="1992"/>
      <c r="V48" s="1992"/>
      <c r="W48" s="1992"/>
      <c r="X48" s="1992"/>
      <c r="Y48" s="1992"/>
      <c r="Z48" s="1992"/>
      <c r="AA48" s="1992"/>
      <c r="AB48" s="1992"/>
      <c r="AC48" s="1992"/>
    </row>
    <row r="49" spans="1:29" s="1218" customFormat="1" ht="14.4">
      <c r="A49" s="658" t="s">
        <v>496</v>
      </c>
      <c r="B49" s="647"/>
      <c r="C49" s="659" t="s">
        <v>541</v>
      </c>
      <c r="D49" s="660"/>
      <c r="E49" s="660"/>
      <c r="F49" s="660"/>
      <c r="G49" s="660"/>
      <c r="H49" s="660"/>
      <c r="I49" s="660"/>
      <c r="J49" s="660"/>
      <c r="K49" s="660"/>
      <c r="L49" s="661"/>
      <c r="M49" s="662"/>
      <c r="N49" s="2161"/>
      <c r="O49" s="2161"/>
      <c r="P49" s="2162"/>
      <c r="Q49" s="2157"/>
      <c r="R49" s="1992"/>
      <c r="S49" s="1992"/>
      <c r="T49" s="1992"/>
      <c r="U49" s="1992"/>
      <c r="V49" s="1992"/>
      <c r="W49" s="1992"/>
      <c r="X49" s="1992"/>
      <c r="Y49" s="1992"/>
      <c r="Z49" s="1992"/>
      <c r="AA49" s="1992"/>
      <c r="AB49" s="1992"/>
      <c r="AC49" s="1992"/>
    </row>
    <row r="50" spans="1:29" s="1218" customFormat="1" ht="14.4" thickBot="1">
      <c r="A50" s="658"/>
      <c r="B50" s="647"/>
      <c r="C50" s="648">
        <v>100</v>
      </c>
      <c r="D50" s="649"/>
      <c r="E50" s="649"/>
      <c r="F50" s="649"/>
      <c r="G50" s="649"/>
      <c r="H50" s="649"/>
      <c r="I50" s="649"/>
      <c r="J50" s="649"/>
      <c r="K50" s="649"/>
      <c r="L50" s="649"/>
      <c r="M50" s="651"/>
      <c r="N50" s="2161"/>
      <c r="O50" s="2161"/>
      <c r="P50" s="2157"/>
      <c r="Q50" s="2157"/>
      <c r="R50" s="1992"/>
      <c r="S50" s="1992"/>
      <c r="T50" s="1992"/>
      <c r="U50" s="1992"/>
      <c r="V50" s="1992"/>
      <c r="W50" s="1992"/>
      <c r="X50" s="1992"/>
      <c r="Y50" s="1992"/>
      <c r="Z50" s="1992"/>
      <c r="AA50" s="1992"/>
      <c r="AB50" s="1992"/>
      <c r="AC50" s="1992"/>
    </row>
    <row r="51" spans="1:29" ht="14.4">
      <c r="A51" s="663" t="s">
        <v>542</v>
      </c>
      <c r="B51" s="664" t="s">
        <v>499</v>
      </c>
      <c r="C51" s="703">
        <f>C9</f>
        <v>0</v>
      </c>
      <c r="D51" s="597"/>
      <c r="E51" s="597"/>
      <c r="F51" s="597"/>
      <c r="G51" s="597"/>
      <c r="H51" s="597"/>
      <c r="I51" s="597"/>
      <c r="J51" s="597"/>
      <c r="K51" s="665"/>
      <c r="L51" s="666"/>
      <c r="M51" s="667"/>
      <c r="N51" s="2163"/>
      <c r="O51" s="2163"/>
      <c r="P51" s="2164"/>
      <c r="Q51" s="2157"/>
      <c r="R51" s="2144"/>
      <c r="S51" s="2144"/>
      <c r="T51" s="2144"/>
      <c r="U51" s="2144"/>
      <c r="V51" s="2144"/>
      <c r="W51" s="2144"/>
      <c r="X51" s="2144"/>
      <c r="Y51" s="2144"/>
      <c r="Z51" s="2144"/>
      <c r="AA51" s="2144"/>
      <c r="AB51" s="2144"/>
      <c r="AC51" s="2144"/>
    </row>
    <row r="52" spans="1:29" ht="14.4" thickBot="1">
      <c r="A52" s="668"/>
      <c r="B52" s="669"/>
      <c r="C52" s="670">
        <v>100</v>
      </c>
      <c r="D52" s="670"/>
      <c r="E52" s="670"/>
      <c r="F52" s="670"/>
      <c r="G52" s="670"/>
      <c r="H52" s="670"/>
      <c r="I52" s="670"/>
      <c r="J52" s="670"/>
      <c r="K52" s="670"/>
      <c r="L52" s="670"/>
      <c r="M52" s="671"/>
      <c r="N52" s="2165"/>
      <c r="O52" s="2165"/>
      <c r="P52" s="2164"/>
      <c r="Q52" s="2157"/>
      <c r="R52" s="2144"/>
      <c r="S52" s="2144"/>
      <c r="T52" s="2144"/>
      <c r="U52" s="2144"/>
      <c r="V52" s="2144"/>
      <c r="W52" s="2144"/>
      <c r="X52" s="2144"/>
      <c r="Y52" s="2144"/>
      <c r="Z52" s="2144"/>
      <c r="AA52" s="2144"/>
      <c r="AB52" s="2144"/>
      <c r="AC52" s="2144"/>
    </row>
    <row r="53" spans="1:29" ht="29.4" thickTop="1">
      <c r="A53" s="668"/>
      <c r="B53" s="672" t="s">
        <v>502</v>
      </c>
      <c r="C53" s="673" t="s">
        <v>702</v>
      </c>
      <c r="D53" s="673" t="s">
        <v>703</v>
      </c>
      <c r="E53" s="673" t="s">
        <v>704</v>
      </c>
      <c r="F53" s="673" t="s">
        <v>705</v>
      </c>
      <c r="G53" s="673" t="s">
        <v>706</v>
      </c>
      <c r="H53" s="673" t="s">
        <v>707</v>
      </c>
      <c r="I53" s="673" t="s">
        <v>708</v>
      </c>
      <c r="J53" s="673"/>
      <c r="K53" s="674"/>
      <c r="L53" s="675"/>
      <c r="M53" s="676"/>
      <c r="N53" s="2163"/>
      <c r="O53" s="2163"/>
      <c r="P53" s="2164"/>
      <c r="Q53" s="2157"/>
      <c r="R53" s="2144"/>
      <c r="S53" s="2144"/>
      <c r="T53" s="2144"/>
      <c r="U53" s="2144"/>
      <c r="V53" s="2144"/>
      <c r="W53" s="2144"/>
      <c r="X53" s="2144"/>
      <c r="Y53" s="2144"/>
      <c r="Z53" s="2144"/>
      <c r="AA53" s="2144"/>
      <c r="AB53" s="2144"/>
      <c r="AC53" s="2144"/>
    </row>
    <row r="54" spans="1:29" ht="14.4" thickBot="1">
      <c r="A54" s="668"/>
      <c r="B54" s="677"/>
      <c r="C54" s="678" t="s">
        <v>13</v>
      </c>
      <c r="D54" s="678" t="s">
        <v>14</v>
      </c>
      <c r="E54" s="678">
        <v>100</v>
      </c>
      <c r="F54" s="678">
        <f>E54-$K10</f>
        <v>100</v>
      </c>
      <c r="G54" s="678">
        <f>F54-$K10</f>
        <v>100</v>
      </c>
      <c r="H54" s="678">
        <f>G54-$K10</f>
        <v>100</v>
      </c>
      <c r="I54" s="678">
        <f>H54-$K10</f>
        <v>100</v>
      </c>
      <c r="J54" s="678"/>
      <c r="K54" s="678"/>
      <c r="L54" s="678"/>
      <c r="M54" s="679"/>
      <c r="N54" s="2165"/>
      <c r="O54" s="2165"/>
      <c r="P54" s="2164"/>
      <c r="Q54" s="2157"/>
      <c r="R54" s="2144"/>
      <c r="S54" s="2144"/>
      <c r="T54" s="2144"/>
      <c r="U54" s="2144"/>
      <c r="V54" s="2144"/>
      <c r="W54" s="2144"/>
      <c r="X54" s="2144"/>
      <c r="Y54" s="2144"/>
      <c r="Z54" s="2144"/>
      <c r="AA54" s="2144"/>
      <c r="AB54" s="2144"/>
      <c r="AC54" s="2144"/>
    </row>
    <row r="55" spans="1:29" ht="14.4" thickTop="1">
      <c r="A55" s="668"/>
      <c r="B55" s="933">
        <f>B11</f>
        <v>111</v>
      </c>
      <c r="C55" s="540"/>
      <c r="D55" s="540"/>
      <c r="E55" s="540"/>
      <c r="F55" s="540"/>
      <c r="G55" s="540"/>
      <c r="H55" s="540"/>
      <c r="I55" s="540"/>
      <c r="J55" s="540"/>
      <c r="K55" s="683"/>
      <c r="L55" s="684"/>
      <c r="M55" s="685"/>
      <c r="N55" s="2163"/>
      <c r="O55" s="2163"/>
      <c r="P55" s="2164"/>
      <c r="Q55" s="2157"/>
      <c r="R55" s="2144"/>
      <c r="S55" s="2144"/>
      <c r="T55" s="2144"/>
      <c r="U55" s="2144"/>
      <c r="V55" s="2144"/>
      <c r="W55" s="2144"/>
      <c r="X55" s="2144"/>
      <c r="Y55" s="2144"/>
      <c r="Z55" s="2144"/>
      <c r="AA55" s="2144"/>
      <c r="AB55" s="2144"/>
      <c r="AC55" s="2144"/>
    </row>
    <row r="56" spans="1:29" ht="14.4" thickBot="1">
      <c r="A56" s="668"/>
      <c r="B56" s="669"/>
      <c r="C56" s="691"/>
      <c r="D56" s="670"/>
      <c r="E56" s="670"/>
      <c r="F56" s="670"/>
      <c r="G56" s="670"/>
      <c r="H56" s="670"/>
      <c r="I56" s="670"/>
      <c r="J56" s="670"/>
      <c r="K56" s="670"/>
      <c r="L56" s="670"/>
      <c r="M56" s="671"/>
      <c r="N56" s="2165"/>
      <c r="O56" s="2165"/>
      <c r="P56" s="2164"/>
      <c r="Q56" s="2157"/>
      <c r="R56" s="2144"/>
      <c r="S56" s="2144"/>
      <c r="T56" s="2144"/>
      <c r="U56" s="2144"/>
      <c r="V56" s="2144"/>
      <c r="W56" s="2144"/>
      <c r="X56" s="2144"/>
      <c r="Y56" s="2144"/>
      <c r="Z56" s="2144"/>
      <c r="AA56" s="2144"/>
      <c r="AB56" s="2144"/>
      <c r="AC56" s="2144"/>
    </row>
    <row r="57" spans="1:29" s="1337" customFormat="1" ht="14.4" thickTop="1">
      <c r="A57" s="686"/>
      <c r="B57" s="672">
        <f>B12</f>
        <v>111</v>
      </c>
      <c r="C57" s="540"/>
      <c r="D57" s="540"/>
      <c r="E57" s="540"/>
      <c r="F57" s="540"/>
      <c r="G57" s="687"/>
      <c r="H57" s="688"/>
      <c r="I57" s="688"/>
      <c r="J57" s="688"/>
      <c r="K57" s="688"/>
      <c r="L57" s="689"/>
      <c r="M57" s="690"/>
      <c r="N57" s="2166"/>
      <c r="O57" s="2166"/>
      <c r="P57" s="2167"/>
      <c r="Q57" s="2168"/>
      <c r="R57" s="2169"/>
      <c r="S57" s="2169"/>
      <c r="T57" s="2169"/>
      <c r="U57" s="2169"/>
      <c r="V57" s="2169"/>
      <c r="W57" s="2169"/>
      <c r="X57" s="2169"/>
      <c r="Y57" s="2169"/>
      <c r="Z57" s="2169"/>
      <c r="AA57" s="2169"/>
      <c r="AB57" s="2169"/>
      <c r="AC57" s="2169"/>
    </row>
    <row r="58" spans="1:29" s="1337" customFormat="1" ht="14.4" thickBot="1">
      <c r="A58" s="686"/>
      <c r="B58" s="677"/>
      <c r="C58" s="691"/>
      <c r="D58" s="670"/>
      <c r="E58" s="670"/>
      <c r="F58" s="670"/>
      <c r="G58" s="670"/>
      <c r="H58" s="670"/>
      <c r="I58" s="670"/>
      <c r="J58" s="670"/>
      <c r="K58" s="670"/>
      <c r="L58" s="670"/>
      <c r="M58" s="671"/>
      <c r="N58" s="2165"/>
      <c r="O58" s="2165"/>
      <c r="P58" s="2167"/>
      <c r="Q58" s="2168"/>
      <c r="R58" s="2169"/>
      <c r="S58" s="2169"/>
      <c r="T58" s="2169"/>
      <c r="U58" s="2169"/>
      <c r="V58" s="2169"/>
      <c r="W58" s="2169"/>
      <c r="X58" s="2169"/>
      <c r="Y58" s="2169"/>
      <c r="Z58" s="2169"/>
      <c r="AA58" s="2169"/>
      <c r="AB58" s="2169"/>
      <c r="AC58" s="2169"/>
    </row>
    <row r="59" spans="1:29" s="1337" customFormat="1" ht="14.4" thickTop="1">
      <c r="A59" s="686"/>
      <c r="B59" s="672">
        <f>B13</f>
        <v>111</v>
      </c>
      <c r="C59" s="540"/>
      <c r="D59" s="540"/>
      <c r="E59" s="540"/>
      <c r="F59" s="540"/>
      <c r="G59" s="687"/>
      <c r="H59" s="688"/>
      <c r="I59" s="688"/>
      <c r="J59" s="688"/>
      <c r="K59" s="688"/>
      <c r="L59" s="689"/>
      <c r="M59" s="690"/>
      <c r="N59" s="2166"/>
      <c r="O59" s="2166"/>
      <c r="P59" s="2170"/>
      <c r="Q59" s="2171"/>
      <c r="R59" s="2169"/>
      <c r="S59" s="2169"/>
      <c r="T59" s="2169"/>
      <c r="U59" s="2169"/>
      <c r="V59" s="2169"/>
      <c r="W59" s="2169"/>
      <c r="X59" s="2169"/>
      <c r="Y59" s="2169"/>
      <c r="Z59" s="2169"/>
      <c r="AA59" s="2169"/>
      <c r="AB59" s="2169"/>
      <c r="AC59" s="2169"/>
    </row>
    <row r="60" spans="1:29" s="1337" customFormat="1" ht="14.4" thickBot="1">
      <c r="A60" s="686"/>
      <c r="B60" s="677"/>
      <c r="C60" s="691"/>
      <c r="D60" s="691"/>
      <c r="E60" s="691"/>
      <c r="F60" s="691"/>
      <c r="G60" s="691"/>
      <c r="H60" s="692"/>
      <c r="I60" s="692"/>
      <c r="J60" s="692"/>
      <c r="K60" s="692"/>
      <c r="L60" s="692"/>
      <c r="M60" s="693"/>
      <c r="N60" s="2166"/>
      <c r="O60" s="2166"/>
      <c r="P60" s="2167"/>
      <c r="Q60" s="2168"/>
      <c r="R60" s="2169"/>
      <c r="S60" s="2169"/>
      <c r="T60" s="2169"/>
      <c r="U60" s="2169"/>
      <c r="V60" s="2169"/>
      <c r="W60" s="2169"/>
      <c r="X60" s="2169"/>
      <c r="Y60" s="2169"/>
      <c r="Z60" s="2169"/>
      <c r="AA60" s="2169"/>
      <c r="AB60" s="2169"/>
      <c r="AC60" s="2169"/>
    </row>
    <row r="61" spans="1:29" ht="15" thickTop="1">
      <c r="A61" s="663" t="s">
        <v>504</v>
      </c>
      <c r="B61" s="664" t="s">
        <v>551</v>
      </c>
      <c r="C61" s="702" t="s">
        <v>544</v>
      </c>
      <c r="D61" s="702" t="s">
        <v>545</v>
      </c>
      <c r="E61" s="702" t="s">
        <v>546</v>
      </c>
      <c r="F61" s="702" t="s">
        <v>547</v>
      </c>
      <c r="G61" s="702" t="s">
        <v>548</v>
      </c>
      <c r="H61" s="703"/>
      <c r="I61" s="703"/>
      <c r="J61" s="703"/>
      <c r="K61" s="704"/>
      <c r="L61" s="705"/>
      <c r="M61" s="706"/>
      <c r="N61" s="2163"/>
      <c r="O61" s="2163"/>
      <c r="P61" s="2173"/>
      <c r="Q61" s="2157"/>
      <c r="R61" s="2144"/>
      <c r="S61" s="2144"/>
      <c r="T61" s="2144"/>
      <c r="U61" s="2144"/>
      <c r="V61" s="2144"/>
      <c r="W61" s="2144"/>
      <c r="X61" s="2144"/>
      <c r="Y61" s="2144"/>
      <c r="Z61" s="2144"/>
      <c r="AA61" s="2144"/>
      <c r="AB61" s="2144"/>
      <c r="AC61" s="2144"/>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65"/>
      <c r="O62" s="2165"/>
      <c r="P62" s="2164"/>
      <c r="Q62" s="2157"/>
      <c r="R62" s="2144"/>
      <c r="S62" s="2144"/>
      <c r="T62" s="2144"/>
      <c r="U62" s="2144"/>
      <c r="V62" s="2144"/>
      <c r="W62" s="2144"/>
      <c r="X62" s="2144"/>
      <c r="Y62" s="2144"/>
      <c r="Z62" s="2144"/>
      <c r="AA62" s="2144"/>
      <c r="AB62" s="2144"/>
      <c r="AC62" s="2144"/>
    </row>
    <row r="63" spans="1:29" ht="15" thickTop="1">
      <c r="A63" s="668"/>
      <c r="B63" s="1895" t="s">
        <v>2519</v>
      </c>
      <c r="C63" s="707" t="s">
        <v>544</v>
      </c>
      <c r="D63" s="707" t="s">
        <v>545</v>
      </c>
      <c r="E63" s="707" t="s">
        <v>546</v>
      </c>
      <c r="F63" s="707" t="s">
        <v>547</v>
      </c>
      <c r="G63" s="707" t="s">
        <v>548</v>
      </c>
      <c r="H63" s="673"/>
      <c r="I63" s="673"/>
      <c r="J63" s="673"/>
      <c r="K63" s="674"/>
      <c r="L63" s="675"/>
      <c r="M63" s="676"/>
      <c r="N63" s="2163"/>
      <c r="O63" s="2163"/>
      <c r="P63" s="2164"/>
      <c r="Q63" s="2157"/>
      <c r="R63" s="2144"/>
      <c r="S63" s="2144"/>
      <c r="T63" s="2144"/>
      <c r="U63" s="2144"/>
      <c r="V63" s="2144"/>
      <c r="W63" s="2144"/>
      <c r="X63" s="2144"/>
      <c r="Y63" s="2144"/>
      <c r="Z63" s="2144"/>
      <c r="AA63" s="2144"/>
      <c r="AB63" s="2144"/>
      <c r="AC63" s="2144"/>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65"/>
      <c r="O64" s="2165"/>
      <c r="P64" s="2164"/>
      <c r="Q64" s="2157"/>
      <c r="R64" s="2144"/>
      <c r="S64" s="2144"/>
      <c r="T64" s="2144"/>
      <c r="U64" s="2144"/>
      <c r="V64" s="2144"/>
      <c r="W64" s="2144"/>
      <c r="X64" s="2144"/>
      <c r="Y64" s="2144"/>
      <c r="Z64" s="2144"/>
      <c r="AA64" s="2144"/>
      <c r="AB64" s="2144"/>
      <c r="AC64" s="2144"/>
    </row>
    <row r="65" spans="1:29" ht="15" thickTop="1">
      <c r="A65" s="668"/>
      <c r="B65" s="2596" t="s">
        <v>2520</v>
      </c>
      <c r="C65" s="2597" t="s">
        <v>2521</v>
      </c>
      <c r="D65" s="2597" t="s">
        <v>2522</v>
      </c>
      <c r="E65" s="2597" t="s">
        <v>2523</v>
      </c>
      <c r="F65" s="2597" t="s">
        <v>2524</v>
      </c>
      <c r="G65" s="2597" t="s">
        <v>2525</v>
      </c>
      <c r="H65" s="673"/>
      <c r="I65" s="673"/>
      <c r="J65" s="673"/>
      <c r="K65" s="673"/>
      <c r="L65" s="673"/>
      <c r="M65" s="2600"/>
      <c r="N65" s="2165"/>
      <c r="O65" s="2165"/>
      <c r="P65" s="2164"/>
      <c r="Q65" s="2157"/>
      <c r="R65" s="2144"/>
      <c r="S65" s="2144"/>
      <c r="T65" s="2144"/>
      <c r="U65" s="2144"/>
      <c r="V65" s="2144"/>
      <c r="W65" s="2144"/>
      <c r="X65" s="2144"/>
      <c r="Y65" s="2144"/>
      <c r="Z65" s="2144"/>
      <c r="AA65" s="2144"/>
      <c r="AB65" s="2144"/>
      <c r="AC65" s="2144"/>
    </row>
    <row r="66" spans="1:29" ht="14.4" thickBot="1">
      <c r="A66" s="668"/>
      <c r="B66" s="680"/>
      <c r="C66" s="678">
        <v>100</v>
      </c>
      <c r="D66" s="678">
        <f>C66-$K18</f>
        <v>100</v>
      </c>
      <c r="E66" s="678">
        <f>D66-$K18</f>
        <v>100</v>
      </c>
      <c r="F66" s="678">
        <f>E66-$K18</f>
        <v>100</v>
      </c>
      <c r="G66" s="678">
        <f>F66-$K18</f>
        <v>100</v>
      </c>
      <c r="H66" s="933"/>
      <c r="I66" s="933"/>
      <c r="J66" s="933"/>
      <c r="K66" s="933"/>
      <c r="L66" s="933"/>
      <c r="M66" s="558"/>
      <c r="N66" s="2165"/>
      <c r="O66" s="2165"/>
      <c r="P66" s="2164"/>
      <c r="Q66" s="2157"/>
      <c r="R66" s="2144"/>
      <c r="S66" s="2144"/>
      <c r="T66" s="2144"/>
      <c r="U66" s="2144"/>
      <c r="V66" s="2144"/>
      <c r="W66" s="2144"/>
      <c r="X66" s="2144"/>
      <c r="Y66" s="2144"/>
      <c r="Z66" s="2144"/>
      <c r="AA66" s="2144"/>
      <c r="AB66" s="2144"/>
      <c r="AC66" s="2144"/>
    </row>
    <row r="67" spans="1:29" ht="15" thickTop="1">
      <c r="A67" s="668"/>
      <c r="B67" s="672" t="s">
        <v>709</v>
      </c>
      <c r="C67" s="707" t="s">
        <v>544</v>
      </c>
      <c r="D67" s="707" t="s">
        <v>545</v>
      </c>
      <c r="E67" s="707" t="s">
        <v>546</v>
      </c>
      <c r="F67" s="707" t="s">
        <v>547</v>
      </c>
      <c r="G67" s="707" t="s">
        <v>548</v>
      </c>
      <c r="H67" s="673"/>
      <c r="I67" s="673"/>
      <c r="J67" s="673"/>
      <c r="K67" s="674"/>
      <c r="L67" s="675"/>
      <c r="M67" s="676"/>
      <c r="N67" s="2163"/>
      <c r="O67" s="2163"/>
      <c r="P67" s="2164"/>
      <c r="Q67" s="2157"/>
      <c r="R67" s="2144"/>
      <c r="S67" s="2144"/>
      <c r="T67" s="2144"/>
      <c r="U67" s="2144"/>
      <c r="V67" s="2144"/>
      <c r="W67" s="2144"/>
      <c r="X67" s="2144"/>
      <c r="Y67" s="2144"/>
      <c r="Z67" s="2144"/>
      <c r="AA67" s="2144"/>
      <c r="AB67" s="2144"/>
      <c r="AC67" s="2144"/>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65"/>
      <c r="O68" s="2165"/>
      <c r="P68" s="2164"/>
      <c r="Q68" s="2157"/>
      <c r="R68" s="2144"/>
      <c r="S68" s="2144"/>
      <c r="T68" s="2144"/>
      <c r="U68" s="2144"/>
      <c r="V68" s="2144"/>
      <c r="W68" s="2144"/>
      <c r="X68" s="2144"/>
      <c r="Y68" s="2144"/>
      <c r="Z68" s="2144"/>
      <c r="AA68" s="2144"/>
      <c r="AB68" s="2144"/>
      <c r="AC68" s="2144"/>
    </row>
    <row r="69" spans="1:29" ht="15" thickTop="1">
      <c r="A69" s="668"/>
      <c r="B69" s="672" t="s">
        <v>710</v>
      </c>
      <c r="C69" s="687"/>
      <c r="D69" s="687"/>
      <c r="E69" s="687"/>
      <c r="F69" s="687"/>
      <c r="G69" s="687"/>
      <c r="H69" s="717"/>
      <c r="I69" s="717"/>
      <c r="J69" s="717"/>
      <c r="K69" s="718"/>
      <c r="L69" s="719"/>
      <c r="M69" s="720"/>
      <c r="N69" s="2163"/>
      <c r="O69" s="2163"/>
      <c r="P69" s="2164"/>
      <c r="Q69" s="2157"/>
      <c r="R69" s="2144"/>
      <c r="S69" s="2144"/>
      <c r="T69" s="2144"/>
      <c r="U69" s="2144"/>
      <c r="V69" s="2144"/>
      <c r="W69" s="2144"/>
      <c r="X69" s="2144"/>
      <c r="Y69" s="2144"/>
      <c r="Z69" s="2144"/>
      <c r="AA69" s="2144"/>
      <c r="AB69" s="2144"/>
      <c r="AC69" s="2144"/>
    </row>
    <row r="70" spans="1:29" ht="14.4" thickBot="1">
      <c r="A70" s="668"/>
      <c r="B70" s="677"/>
      <c r="C70" s="678">
        <v>100</v>
      </c>
      <c r="D70" s="678">
        <f>C70-$K22</f>
        <v>100</v>
      </c>
      <c r="E70" s="678"/>
      <c r="F70" s="678"/>
      <c r="G70" s="678"/>
      <c r="H70" s="678"/>
      <c r="I70" s="678"/>
      <c r="J70" s="678"/>
      <c r="K70" s="678"/>
      <c r="L70" s="678"/>
      <c r="M70" s="679"/>
      <c r="N70" s="2165"/>
      <c r="O70" s="2165"/>
      <c r="P70" s="2164"/>
      <c r="Q70" s="2157"/>
      <c r="R70" s="2144"/>
      <c r="S70" s="2144"/>
      <c r="T70" s="2144"/>
      <c r="U70" s="2144"/>
      <c r="V70" s="2144"/>
      <c r="W70" s="2144"/>
      <c r="X70" s="2144"/>
      <c r="Y70" s="2144"/>
      <c r="Z70" s="2144"/>
      <c r="AA70" s="2144"/>
      <c r="AB70" s="2144"/>
      <c r="AC70" s="2144"/>
    </row>
    <row r="71" spans="1:29" s="1218" customFormat="1" ht="14.4" thickTop="1">
      <c r="A71" s="708"/>
      <c r="B71" s="672">
        <f>B23</f>
        <v>111</v>
      </c>
      <c r="C71" s="540"/>
      <c r="D71" s="540"/>
      <c r="E71" s="540"/>
      <c r="F71" s="540"/>
      <c r="G71" s="687"/>
      <c r="H71" s="687"/>
      <c r="I71" s="687"/>
      <c r="J71" s="687"/>
      <c r="K71" s="687"/>
      <c r="L71" s="888"/>
      <c r="M71" s="889"/>
      <c r="N71" s="2161"/>
      <c r="O71" s="2161"/>
      <c r="P71" s="2164"/>
      <c r="Q71" s="2157"/>
      <c r="R71" s="1992"/>
      <c r="S71" s="1992"/>
      <c r="T71" s="1992"/>
      <c r="U71" s="1992"/>
      <c r="V71" s="1992"/>
      <c r="W71" s="1992"/>
      <c r="X71" s="1992"/>
      <c r="Y71" s="1992"/>
      <c r="Z71" s="1992"/>
      <c r="AA71" s="1992"/>
      <c r="AB71" s="1992"/>
      <c r="AC71" s="1992"/>
    </row>
    <row r="72" spans="1:29" s="1218" customFormat="1" ht="14.4" thickBot="1">
      <c r="A72" s="708"/>
      <c r="B72" s="677"/>
      <c r="C72" s="691"/>
      <c r="D72" s="670"/>
      <c r="E72" s="670"/>
      <c r="F72" s="670"/>
      <c r="G72" s="670"/>
      <c r="H72" s="670"/>
      <c r="I72" s="670"/>
      <c r="J72" s="670"/>
      <c r="K72" s="670"/>
      <c r="L72" s="670"/>
      <c r="M72" s="671"/>
      <c r="N72" s="2165"/>
      <c r="O72" s="2165"/>
      <c r="P72" s="2164"/>
      <c r="Q72" s="2157"/>
      <c r="R72" s="1992"/>
      <c r="S72" s="1992"/>
      <c r="T72" s="1992"/>
      <c r="U72" s="1992"/>
      <c r="V72" s="1992"/>
      <c r="W72" s="1992"/>
      <c r="X72" s="1992"/>
      <c r="Y72" s="1992"/>
      <c r="Z72" s="1992"/>
      <c r="AA72" s="1992"/>
      <c r="AB72" s="1992"/>
      <c r="AC72" s="1992"/>
    </row>
    <row r="73" spans="1:29" s="1218" customFormat="1" ht="14.4" thickTop="1">
      <c r="A73" s="708"/>
      <c r="B73" s="672">
        <f>B24</f>
        <v>111</v>
      </c>
      <c r="C73" s="540"/>
      <c r="D73" s="540"/>
      <c r="E73" s="540"/>
      <c r="F73" s="540"/>
      <c r="G73" s="687"/>
      <c r="H73" s="687"/>
      <c r="I73" s="687"/>
      <c r="J73" s="687"/>
      <c r="K73" s="687"/>
      <c r="L73" s="687"/>
      <c r="M73" s="889"/>
      <c r="N73" s="2161"/>
      <c r="O73" s="2161"/>
      <c r="P73" s="2164"/>
      <c r="Q73" s="2157"/>
      <c r="R73" s="1992"/>
      <c r="S73" s="1992"/>
      <c r="T73" s="1992"/>
      <c r="U73" s="1992"/>
      <c r="V73" s="1992"/>
      <c r="W73" s="1992"/>
      <c r="X73" s="1992"/>
      <c r="Y73" s="1992"/>
      <c r="Z73" s="1992"/>
      <c r="AA73" s="1992"/>
      <c r="AB73" s="1992"/>
      <c r="AC73" s="1992"/>
    </row>
    <row r="74" spans="1:29" s="1218" customFormat="1" ht="14.4" thickBot="1">
      <c r="A74" s="708"/>
      <c r="B74" s="677"/>
      <c r="C74" s="691"/>
      <c r="D74" s="670"/>
      <c r="E74" s="670"/>
      <c r="F74" s="670"/>
      <c r="G74" s="670"/>
      <c r="H74" s="670"/>
      <c r="I74" s="670"/>
      <c r="J74" s="670"/>
      <c r="K74" s="670"/>
      <c r="L74" s="670"/>
      <c r="M74" s="671"/>
      <c r="N74" s="2165"/>
      <c r="O74" s="2165"/>
      <c r="P74" s="2164"/>
      <c r="Q74" s="2157"/>
      <c r="R74" s="1992"/>
      <c r="S74" s="1992"/>
      <c r="T74" s="1992"/>
      <c r="U74" s="1992"/>
      <c r="V74" s="1992"/>
      <c r="W74" s="1992"/>
      <c r="X74" s="1992"/>
      <c r="Y74" s="1992"/>
      <c r="Z74" s="1992"/>
      <c r="AA74" s="1992"/>
      <c r="AB74" s="1992"/>
      <c r="AC74" s="1992"/>
    </row>
    <row r="75" spans="1:29" s="1337" customFormat="1" ht="14.4" thickTop="1">
      <c r="A75" s="686"/>
      <c r="B75" s="672">
        <f>B25</f>
        <v>111</v>
      </c>
      <c r="C75" s="540"/>
      <c r="D75" s="540"/>
      <c r="E75" s="540"/>
      <c r="F75" s="540"/>
      <c r="G75" s="687"/>
      <c r="H75" s="688"/>
      <c r="I75" s="688"/>
      <c r="J75" s="688"/>
      <c r="K75" s="688"/>
      <c r="L75" s="689"/>
      <c r="M75" s="690"/>
      <c r="N75" s="2166"/>
      <c r="O75" s="2166"/>
      <c r="P75" s="2167"/>
      <c r="Q75" s="2168"/>
      <c r="R75" s="2169"/>
      <c r="S75" s="2169"/>
      <c r="T75" s="2169"/>
      <c r="U75" s="2169"/>
      <c r="V75" s="2169"/>
      <c r="W75" s="2169"/>
      <c r="X75" s="2169"/>
      <c r="Y75" s="2169"/>
      <c r="Z75" s="2169"/>
      <c r="AA75" s="2169"/>
      <c r="AB75" s="2169"/>
      <c r="AC75" s="2169"/>
    </row>
    <row r="76" spans="1:29" s="1337" customFormat="1" ht="14.4" thickBot="1">
      <c r="A76" s="686"/>
      <c r="B76" s="677"/>
      <c r="C76" s="691"/>
      <c r="D76" s="691"/>
      <c r="E76" s="691"/>
      <c r="F76" s="691"/>
      <c r="G76" s="670"/>
      <c r="H76" s="670"/>
      <c r="I76" s="670"/>
      <c r="J76" s="670"/>
      <c r="K76" s="670"/>
      <c r="L76" s="670"/>
      <c r="M76" s="671"/>
      <c r="N76" s="2166"/>
      <c r="O76" s="2166"/>
      <c r="P76" s="2167"/>
      <c r="Q76" s="2168"/>
      <c r="R76" s="2169"/>
      <c r="S76" s="2169"/>
      <c r="T76" s="2169"/>
      <c r="U76" s="2169"/>
      <c r="V76" s="2169"/>
      <c r="W76" s="2169"/>
      <c r="X76" s="2169"/>
      <c r="Y76" s="2169"/>
      <c r="Z76" s="2169"/>
      <c r="AA76" s="2169"/>
      <c r="AB76" s="2169"/>
      <c r="AC76" s="2169"/>
    </row>
    <row r="77" spans="1:29" ht="15" thickTop="1">
      <c r="A77" s="663" t="s">
        <v>516</v>
      </c>
      <c r="B77" s="664" t="s">
        <v>716</v>
      </c>
      <c r="C77" s="687"/>
      <c r="D77" s="687"/>
      <c r="E77" s="597"/>
      <c r="F77" s="597"/>
      <c r="G77" s="597"/>
      <c r="H77" s="597"/>
      <c r="I77" s="597"/>
      <c r="J77" s="597"/>
      <c r="K77" s="665"/>
      <c r="L77" s="666"/>
      <c r="M77" s="667"/>
      <c r="N77" s="2163"/>
      <c r="O77" s="2163"/>
      <c r="P77" s="2164"/>
      <c r="Q77" s="2157"/>
      <c r="R77" s="2144"/>
      <c r="S77" s="2144"/>
      <c r="T77" s="2144"/>
      <c r="U77" s="2144"/>
      <c r="V77" s="2144"/>
      <c r="W77" s="2144"/>
      <c r="X77" s="2144"/>
      <c r="Y77" s="2144"/>
      <c r="Z77" s="2144"/>
      <c r="AA77" s="2144"/>
      <c r="AB77" s="2144"/>
      <c r="AC77" s="2144"/>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5"/>
      <c r="O78" s="2165"/>
      <c r="P78" s="2164"/>
      <c r="Q78" s="2157"/>
      <c r="R78" s="2144"/>
      <c r="S78" s="2144"/>
      <c r="T78" s="2144"/>
      <c r="U78" s="2144"/>
      <c r="V78" s="2144"/>
      <c r="W78" s="2144"/>
      <c r="X78" s="2144"/>
      <c r="Y78" s="2144"/>
      <c r="Z78" s="2144"/>
      <c r="AA78" s="2144"/>
      <c r="AB78" s="2144"/>
      <c r="AC78" s="2144"/>
    </row>
    <row r="79" spans="1:29" ht="15" thickTop="1">
      <c r="A79" s="668"/>
      <c r="B79" s="672" t="s">
        <v>781</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1"/>
      <c r="O79" s="2161"/>
      <c r="P79" s="2164"/>
      <c r="Q79" s="2157"/>
      <c r="R79" s="2144"/>
      <c r="S79" s="2144"/>
      <c r="T79" s="2144"/>
      <c r="U79" s="2144"/>
      <c r="V79" s="2144"/>
      <c r="W79" s="2144"/>
      <c r="X79" s="2144"/>
      <c r="Y79" s="2144"/>
      <c r="Z79" s="2144"/>
      <c r="AA79" s="2144"/>
      <c r="AB79" s="2144"/>
      <c r="AC79" s="2144"/>
    </row>
    <row r="80" spans="1:29">
      <c r="A80" s="668"/>
      <c r="B80" s="680"/>
      <c r="C80" s="892">
        <v>0.5</v>
      </c>
      <c r="D80" s="892">
        <v>0.6</v>
      </c>
      <c r="E80" s="892">
        <v>0.7</v>
      </c>
      <c r="F80" s="892">
        <v>0.8</v>
      </c>
      <c r="G80" s="892">
        <v>0.9</v>
      </c>
      <c r="H80" s="892">
        <v>1.0001</v>
      </c>
      <c r="I80" s="933"/>
      <c r="J80" s="933"/>
      <c r="K80" s="943"/>
      <c r="L80" s="944"/>
      <c r="M80" s="945"/>
      <c r="N80" s="2161"/>
      <c r="O80" s="2161"/>
      <c r="P80" s="2164"/>
      <c r="Q80" s="2157"/>
      <c r="R80" s="2144"/>
      <c r="S80" s="2144"/>
      <c r="T80" s="2144"/>
      <c r="U80" s="2144"/>
      <c r="V80" s="2144"/>
      <c r="W80" s="2144"/>
      <c r="X80" s="2144"/>
      <c r="Y80" s="2144"/>
      <c r="Z80" s="2144"/>
      <c r="AA80" s="2144"/>
      <c r="AB80" s="2144"/>
      <c r="AC80" s="2144"/>
    </row>
    <row r="81" spans="1:29" s="1337"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4"/>
      <c r="B82" s="680" t="s">
        <v>782</v>
      </c>
      <c r="C82" s="687"/>
      <c r="D82" s="687"/>
      <c r="E82" s="717"/>
      <c r="F82" s="717"/>
      <c r="G82" s="717"/>
      <c r="H82" s="717"/>
      <c r="I82" s="717"/>
      <c r="J82" s="717"/>
      <c r="K82" s="718"/>
      <c r="L82" s="719"/>
      <c r="M82" s="720"/>
      <c r="N82" s="2163"/>
      <c r="O82" s="2163"/>
      <c r="P82" s="2164"/>
      <c r="Q82" s="2157"/>
      <c r="R82" s="2144"/>
      <c r="S82" s="2144"/>
      <c r="T82" s="2144"/>
      <c r="U82" s="2144"/>
      <c r="V82" s="2144"/>
      <c r="W82" s="2144"/>
      <c r="X82" s="2144"/>
      <c r="Y82" s="2144"/>
      <c r="Z82" s="2144"/>
      <c r="AA82" s="2144"/>
      <c r="AB82" s="2144"/>
      <c r="AC82" s="2144"/>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4"/>
      <c r="B84" s="672" t="s">
        <v>790</v>
      </c>
      <c r="C84" s="687"/>
      <c r="D84" s="687"/>
      <c r="E84" s="687"/>
      <c r="F84" s="687"/>
      <c r="G84" s="687"/>
      <c r="H84" s="687"/>
      <c r="I84" s="717"/>
      <c r="J84" s="717"/>
      <c r="K84" s="718"/>
      <c r="L84" s="719"/>
      <c r="M84" s="720"/>
      <c r="N84" s="2163"/>
      <c r="O84" s="2163"/>
      <c r="P84" s="2164"/>
      <c r="Q84" s="2157"/>
      <c r="R84" s="2144"/>
      <c r="S84" s="2144"/>
      <c r="T84" s="2144"/>
      <c r="U84" s="2144"/>
      <c r="V84" s="2144"/>
      <c r="W84" s="2144"/>
      <c r="X84" s="2144"/>
      <c r="Y84" s="2144"/>
      <c r="Z84" s="2144"/>
      <c r="AA84" s="2144"/>
      <c r="AB84" s="2144"/>
      <c r="AC84" s="2144"/>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4"/>
      <c r="B86" s="680" t="s">
        <v>791</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3"/>
      <c r="O86" s="2163"/>
      <c r="P86" s="2164"/>
      <c r="Q86" s="2157"/>
      <c r="R86" s="2144"/>
      <c r="S86" s="2144"/>
      <c r="T86" s="2144"/>
      <c r="U86" s="2144"/>
      <c r="V86" s="2144"/>
      <c r="W86" s="2144"/>
      <c r="X86" s="2144"/>
      <c r="Y86" s="2144"/>
      <c r="Z86" s="2144"/>
      <c r="AA86" s="2144"/>
      <c r="AB86" s="2144"/>
      <c r="AC86" s="2144"/>
    </row>
    <row r="87" spans="1:29">
      <c r="A87" s="734"/>
      <c r="B87" s="680"/>
      <c r="C87" s="729"/>
      <c r="D87" s="729"/>
      <c r="E87" s="729"/>
      <c r="F87" s="729"/>
      <c r="G87" s="729"/>
      <c r="H87" s="729"/>
      <c r="I87" s="729"/>
      <c r="J87" s="730"/>
      <c r="K87" s="730"/>
      <c r="L87" s="731"/>
      <c r="M87" s="732"/>
      <c r="N87" s="2163"/>
      <c r="O87" s="2163"/>
      <c r="P87" s="2164"/>
      <c r="Q87" s="2157"/>
      <c r="R87" s="2144"/>
      <c r="S87" s="2144"/>
      <c r="T87" s="2144"/>
      <c r="U87" s="2144"/>
      <c r="V87" s="2144"/>
      <c r="W87" s="2144"/>
      <c r="X87" s="2144"/>
      <c r="Y87" s="2144"/>
      <c r="Z87" s="2144"/>
      <c r="AA87" s="2144"/>
      <c r="AB87" s="2144"/>
      <c r="AC87" s="2144"/>
    </row>
    <row r="88" spans="1:29" ht="14.4" thickBot="1">
      <c r="A88" s="668"/>
      <c r="B88" s="677"/>
      <c r="C88" s="691"/>
      <c r="D88" s="670"/>
      <c r="E88" s="670"/>
      <c r="F88" s="670"/>
      <c r="G88" s="670"/>
      <c r="H88" s="670"/>
      <c r="I88" s="670"/>
      <c r="J88" s="670"/>
      <c r="K88" s="670"/>
      <c r="L88" s="670"/>
      <c r="M88" s="670"/>
      <c r="N88" s="2165"/>
      <c r="O88" s="2165"/>
      <c r="P88" s="2164"/>
      <c r="Q88" s="2157"/>
      <c r="R88" s="2144"/>
      <c r="S88" s="2144"/>
      <c r="T88" s="2144"/>
      <c r="U88" s="2144"/>
      <c r="V88" s="2144"/>
      <c r="W88" s="2144"/>
      <c r="X88" s="2144"/>
      <c r="Y88" s="2144"/>
      <c r="Z88" s="2144"/>
      <c r="AA88" s="2144"/>
      <c r="AB88" s="2144"/>
      <c r="AC88" s="2144"/>
    </row>
    <row r="89" spans="1:29" s="1337" customFormat="1" ht="15" thickTop="1">
      <c r="A89" s="727"/>
      <c r="B89" s="672" t="s">
        <v>792</v>
      </c>
      <c r="C89" s="687"/>
      <c r="D89" s="687"/>
      <c r="E89" s="687"/>
      <c r="F89" s="687"/>
      <c r="G89" s="687"/>
      <c r="H89" s="687"/>
      <c r="I89" s="687"/>
      <c r="J89" s="687"/>
      <c r="K89" s="687"/>
      <c r="L89" s="687"/>
      <c r="M89" s="889"/>
      <c r="N89" s="2166"/>
      <c r="O89" s="2166"/>
      <c r="P89" s="2167"/>
      <c r="Q89" s="2168"/>
      <c r="R89" s="2169"/>
      <c r="S89" s="2169"/>
      <c r="T89" s="2169"/>
      <c r="U89" s="2169"/>
      <c r="V89" s="2169"/>
      <c r="W89" s="2169"/>
      <c r="X89" s="2169"/>
      <c r="Y89" s="2169"/>
      <c r="Z89" s="2169"/>
      <c r="AA89" s="2169"/>
      <c r="AB89" s="2169"/>
      <c r="AC89" s="2169"/>
    </row>
    <row r="90" spans="1:29" s="1337" customFormat="1" ht="14.4" thickBot="1">
      <c r="A90" s="686"/>
      <c r="B90" s="677"/>
      <c r="C90" s="691"/>
      <c r="D90" s="670"/>
      <c r="E90" s="670"/>
      <c r="F90" s="670"/>
      <c r="G90" s="670"/>
      <c r="H90" s="670"/>
      <c r="I90" s="670"/>
      <c r="J90" s="670"/>
      <c r="K90" s="670"/>
      <c r="L90" s="670"/>
      <c r="M90" s="671"/>
      <c r="N90" s="2166"/>
      <c r="O90" s="2166"/>
      <c r="P90" s="2167"/>
      <c r="Q90" s="2168"/>
      <c r="R90" s="2169"/>
      <c r="S90" s="2169"/>
      <c r="T90" s="2169"/>
      <c r="U90" s="2169"/>
      <c r="V90" s="2169"/>
      <c r="W90" s="2169"/>
      <c r="X90" s="2169"/>
      <c r="Y90" s="2169"/>
      <c r="Z90" s="2169"/>
      <c r="AA90" s="2169"/>
      <c r="AB90" s="2169"/>
      <c r="AC90" s="2169"/>
    </row>
    <row r="91" spans="1:29" ht="14.4" thickTop="1">
      <c r="A91" s="734"/>
      <c r="B91" s="672">
        <f>B32</f>
        <v>111</v>
      </c>
      <c r="C91" s="540"/>
      <c r="D91" s="540"/>
      <c r="E91" s="540"/>
      <c r="F91" s="540"/>
      <c r="G91" s="687"/>
      <c r="H91" s="688"/>
      <c r="I91" s="688"/>
      <c r="J91" s="688"/>
      <c r="K91" s="688"/>
      <c r="L91" s="689"/>
      <c r="M91" s="690"/>
      <c r="N91" s="2163"/>
      <c r="O91" s="2163"/>
      <c r="P91" s="2164"/>
      <c r="Q91" s="2157"/>
      <c r="R91" s="2144"/>
      <c r="S91" s="2144"/>
      <c r="T91" s="2144"/>
      <c r="U91" s="2144"/>
      <c r="V91" s="2144"/>
      <c r="W91" s="2144"/>
      <c r="X91" s="2144"/>
      <c r="Y91" s="2144"/>
      <c r="Z91" s="2144"/>
      <c r="AA91" s="2144"/>
      <c r="AB91" s="2144"/>
      <c r="AC91" s="2144"/>
    </row>
    <row r="92" spans="1:29" ht="14.4" thickBot="1">
      <c r="A92" s="668"/>
      <c r="B92" s="677"/>
      <c r="C92" s="691"/>
      <c r="D92" s="670"/>
      <c r="E92" s="670"/>
      <c r="F92" s="670"/>
      <c r="G92" s="691"/>
      <c r="H92" s="692"/>
      <c r="I92" s="692"/>
      <c r="J92" s="692"/>
      <c r="K92" s="692"/>
      <c r="L92" s="692"/>
      <c r="M92" s="693"/>
      <c r="N92" s="2165"/>
      <c r="O92" s="2165"/>
      <c r="P92" s="2164"/>
      <c r="Q92" s="2157"/>
      <c r="R92" s="2144"/>
      <c r="S92" s="2144"/>
      <c r="T92" s="2144"/>
      <c r="U92" s="2144"/>
      <c r="V92" s="2144"/>
      <c r="W92" s="2144"/>
      <c r="X92" s="2144"/>
      <c r="Y92" s="2144"/>
      <c r="Z92" s="2144"/>
      <c r="AA92" s="2144"/>
      <c r="AB92" s="2144"/>
      <c r="AC92" s="2144"/>
    </row>
    <row r="93" spans="1:29" ht="14.4" thickTop="1">
      <c r="A93" s="734"/>
      <c r="B93" s="672">
        <f>B33</f>
        <v>111</v>
      </c>
      <c r="C93" s="540"/>
      <c r="D93" s="540"/>
      <c r="E93" s="540"/>
      <c r="F93" s="540"/>
      <c r="G93" s="687"/>
      <c r="H93" s="688"/>
      <c r="I93" s="688"/>
      <c r="J93" s="688"/>
      <c r="K93" s="688"/>
      <c r="L93" s="689"/>
      <c r="M93" s="690"/>
      <c r="N93" s="2163"/>
      <c r="O93" s="2163"/>
      <c r="P93" s="2164"/>
      <c r="Q93" s="2157"/>
      <c r="R93" s="2144"/>
      <c r="S93" s="2144"/>
      <c r="T93" s="2144"/>
      <c r="U93" s="2144"/>
      <c r="V93" s="2144"/>
      <c r="W93" s="2144"/>
      <c r="X93" s="2144"/>
      <c r="Y93" s="2144"/>
      <c r="Z93" s="2144"/>
      <c r="AA93" s="2144"/>
      <c r="AB93" s="2144"/>
      <c r="AC93" s="2144"/>
    </row>
    <row r="94" spans="1:29" ht="14.4" thickBot="1">
      <c r="A94" s="668"/>
      <c r="B94" s="677"/>
      <c r="C94" s="691"/>
      <c r="D94" s="670"/>
      <c r="E94" s="670"/>
      <c r="F94" s="670"/>
      <c r="G94" s="691"/>
      <c r="H94" s="692"/>
      <c r="I94" s="692"/>
      <c r="J94" s="692"/>
      <c r="K94" s="692"/>
      <c r="L94" s="692"/>
      <c r="M94" s="693"/>
      <c r="N94" s="2165"/>
      <c r="O94" s="2165"/>
      <c r="P94" s="2164"/>
      <c r="Q94" s="2157"/>
      <c r="R94" s="2144"/>
      <c r="S94" s="2144"/>
      <c r="T94" s="2144"/>
      <c r="U94" s="2144"/>
      <c r="V94" s="2144"/>
      <c r="W94" s="2144"/>
      <c r="X94" s="2144"/>
      <c r="Y94" s="2144"/>
      <c r="Z94" s="2144"/>
      <c r="AA94" s="2144"/>
      <c r="AB94" s="2144"/>
      <c r="AC94" s="2144"/>
    </row>
    <row r="95" spans="1:29" ht="14.4" thickTop="1">
      <c r="A95" s="734"/>
      <c r="B95" s="915">
        <f>B34</f>
        <v>111</v>
      </c>
      <c r="C95" s="540"/>
      <c r="D95" s="540"/>
      <c r="E95" s="540"/>
      <c r="F95" s="540"/>
      <c r="G95" s="687"/>
      <c r="H95" s="688"/>
      <c r="I95" s="688"/>
      <c r="J95" s="688"/>
      <c r="K95" s="688"/>
      <c r="L95" s="689"/>
      <c r="M95" s="690"/>
      <c r="N95" s="2165"/>
      <c r="O95" s="2165"/>
      <c r="P95" s="2204"/>
      <c r="Q95" s="2205"/>
      <c r="R95" s="2144"/>
      <c r="S95" s="2144"/>
      <c r="T95" s="2144"/>
      <c r="U95" s="2144"/>
      <c r="V95" s="2144"/>
      <c r="W95" s="2144"/>
      <c r="X95" s="2144"/>
      <c r="Y95" s="2144"/>
      <c r="Z95" s="2144"/>
      <c r="AA95" s="2144"/>
      <c r="AB95" s="2144"/>
      <c r="AC95" s="2144"/>
    </row>
    <row r="96" spans="1:29" ht="14.4" thickBot="1">
      <c r="A96" s="668"/>
      <c r="B96" s="677"/>
      <c r="C96" s="691"/>
      <c r="D96" s="691"/>
      <c r="E96" s="691"/>
      <c r="F96" s="691"/>
      <c r="G96" s="691"/>
      <c r="H96" s="692"/>
      <c r="I96" s="692"/>
      <c r="J96" s="692"/>
      <c r="K96" s="692"/>
      <c r="L96" s="692"/>
      <c r="M96" s="693"/>
      <c r="N96" s="2165"/>
      <c r="O96" s="2165"/>
      <c r="P96" s="2164"/>
      <c r="Q96" s="2157"/>
      <c r="R96" s="2144"/>
      <c r="S96" s="2144"/>
      <c r="T96" s="2144"/>
      <c r="U96" s="2144"/>
      <c r="V96" s="2144"/>
      <c r="W96" s="2144"/>
      <c r="X96" s="2144"/>
      <c r="Y96" s="2144"/>
      <c r="Z96" s="2144"/>
      <c r="AA96" s="2144"/>
      <c r="AB96" s="2144"/>
      <c r="AC96" s="2144"/>
    </row>
    <row r="97" spans="1:29" ht="14.4"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3.2"/>
  <cols>
    <col min="1" max="1" width="11.44140625" style="1248" customWidth="1"/>
    <col min="2" max="2" width="9.2187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4"/>
    <col min="19" max="19" width="9" style="1248"/>
    <col min="20" max="35" width="9" style="256"/>
    <col min="36" max="16384" width="9" style="1248"/>
  </cols>
  <sheetData>
    <row r="1" spans="1:45" s="256" customFormat="1" ht="14.25" customHeight="1" thickBot="1">
      <c r="A1" s="364"/>
      <c r="B1" s="2233" t="s">
        <v>2265</v>
      </c>
      <c r="C1" s="3489" t="s">
        <v>2266</v>
      </c>
      <c r="D1" s="3490"/>
      <c r="E1" s="3490"/>
      <c r="F1" s="3490"/>
      <c r="G1" s="3490"/>
      <c r="H1" s="3490"/>
      <c r="I1" s="3490"/>
      <c r="J1" s="3490"/>
      <c r="K1" s="3490"/>
      <c r="L1" s="3490"/>
      <c r="M1" s="3490"/>
      <c r="N1" s="3490"/>
      <c r="O1" s="3490"/>
      <c r="P1" s="3490"/>
      <c r="Q1" s="3490"/>
      <c r="R1" s="3490"/>
      <c r="S1" s="3491"/>
      <c r="T1" s="2233" t="s">
        <v>2267</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7" t="s">
        <v>2268</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5" t="str">
        <f>S3&amp;"(含)"&amp;"-"</f>
        <v>(含)-</v>
      </c>
      <c r="T2" s="950"/>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1"/>
      <c r="C3" s="952"/>
      <c r="D3" s="953"/>
      <c r="E3" s="953"/>
      <c r="F3" s="953"/>
      <c r="G3" s="953"/>
      <c r="H3" s="953"/>
      <c r="I3" s="953"/>
      <c r="J3" s="954"/>
      <c r="K3" s="954"/>
      <c r="L3" s="955"/>
      <c r="M3" s="2238"/>
      <c r="N3" s="2239"/>
      <c r="O3" s="953"/>
      <c r="P3" s="953"/>
      <c r="Q3" s="953"/>
      <c r="R3" s="953"/>
      <c r="S3" s="2240"/>
      <c r="T3" s="956"/>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8"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9" t="s">
        <v>2888</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8"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91" t="s">
        <v>2887</v>
      </c>
      <c r="C7" s="1960"/>
      <c r="D7" s="1961"/>
      <c r="E7" s="1961"/>
      <c r="F7" s="1961"/>
      <c r="G7" s="1961"/>
      <c r="H7" s="1961"/>
      <c r="I7" s="1961"/>
      <c r="J7" s="1961"/>
      <c r="K7" s="1961"/>
      <c r="L7" s="1961"/>
      <c r="M7" s="2258"/>
      <c r="N7" s="2259"/>
      <c r="O7" s="2260"/>
      <c r="P7" s="2261"/>
      <c r="Q7" s="2262"/>
      <c r="R7" s="2263"/>
      <c r="S7" s="2264"/>
      <c r="T7" s="957"/>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8"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91" t="s">
        <v>2886</v>
      </c>
      <c r="C9" s="1960"/>
      <c r="D9" s="1961"/>
      <c r="E9" s="1961"/>
      <c r="F9" s="1961"/>
      <c r="G9" s="1961"/>
      <c r="H9" s="1961"/>
      <c r="I9" s="1961"/>
      <c r="J9" s="1961"/>
      <c r="K9" s="1961"/>
      <c r="L9" s="1962"/>
      <c r="M9" s="2258"/>
      <c r="N9" s="2259"/>
      <c r="O9" s="2260"/>
      <c r="P9" s="2261"/>
      <c r="Q9" s="2262"/>
      <c r="R9" s="2263"/>
      <c r="S9" s="2264"/>
      <c r="T9" s="957"/>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8" thickBot="1">
      <c r="A10" s="2250"/>
      <c r="B10" s="3090"/>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9" t="s">
        <v>2901</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8"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9" t="s">
        <v>2885</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8"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9" t="s">
        <v>2884</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8"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2269</v>
      </c>
      <c r="B17" s="2277" t="s">
        <v>2270</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8"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0"/>
      <c r="B19" s="946"/>
      <c r="C19" s="1989"/>
      <c r="D19" s="1989"/>
      <c r="E19" s="1989"/>
      <c r="F19" s="1989"/>
      <c r="G19" s="1989"/>
      <c r="H19" s="1989"/>
      <c r="I19" s="1989"/>
      <c r="J19" s="1989"/>
      <c r="K19" s="1989"/>
      <c r="L19" s="1989"/>
      <c r="M19" s="1989"/>
      <c r="N19" s="1989"/>
      <c r="O19" s="1989"/>
      <c r="P19" s="1989"/>
      <c r="Q19" s="1989"/>
      <c r="R19" s="2224"/>
      <c r="S19" s="2027"/>
    </row>
    <row r="20" spans="1:45" ht="15.6">
      <c r="A20" s="958" t="s">
        <v>793</v>
      </c>
      <c r="B20" s="774">
        <f>S22</f>
        <v>0</v>
      </c>
      <c r="C20" s="1989"/>
      <c r="D20" s="1989"/>
      <c r="E20" s="1989"/>
      <c r="F20" s="1989"/>
      <c r="G20" s="1989"/>
      <c r="H20" s="1989"/>
      <c r="I20" s="1989"/>
      <c r="J20" s="1989"/>
      <c r="K20" s="1989"/>
      <c r="L20" s="1989"/>
      <c r="M20" s="1989"/>
      <c r="N20" s="1989"/>
      <c r="O20" s="1989"/>
      <c r="P20" s="1989"/>
      <c r="Q20" s="1989"/>
      <c r="R20" s="2224"/>
      <c r="S20" s="2027"/>
    </row>
    <row r="21" spans="1:45" ht="15.6">
      <c r="A21" s="958" t="s">
        <v>794</v>
      </c>
      <c r="B21" s="774" t="e">
        <f>R22</f>
        <v>#DIV/0!</v>
      </c>
      <c r="C21" s="1989"/>
      <c r="D21" s="1989"/>
      <c r="E21" s="1989"/>
      <c r="F21" s="1989"/>
      <c r="G21" s="1989"/>
      <c r="H21" s="1989"/>
      <c r="I21" s="1989"/>
      <c r="J21" s="1989"/>
      <c r="K21" s="1989"/>
      <c r="L21" s="1989"/>
      <c r="M21" s="1989"/>
      <c r="N21" s="1989"/>
      <c r="O21" s="1989"/>
      <c r="P21" s="1989"/>
      <c r="Q21" s="1989"/>
      <c r="R21" s="2224"/>
      <c r="S21" s="2027"/>
    </row>
    <row r="22" spans="1:45">
      <c r="A22" s="798" t="s">
        <v>795</v>
      </c>
      <c r="B22" s="52">
        <f>SUM(B24:B10000)</f>
        <v>0</v>
      </c>
      <c r="C22" s="3486" t="s">
        <v>19</v>
      </c>
      <c r="D22" s="3487"/>
      <c r="E22" s="3487"/>
      <c r="F22" s="3487"/>
      <c r="G22" s="3487"/>
      <c r="H22" s="3487"/>
      <c r="I22" s="3487"/>
      <c r="J22" s="3487"/>
      <c r="K22" s="3487"/>
      <c r="L22" s="3487"/>
      <c r="M22" s="3487"/>
      <c r="N22" s="3487"/>
      <c r="O22" s="3487"/>
      <c r="P22" s="3487"/>
      <c r="Q22" s="3488"/>
      <c r="R22" s="489" t="e">
        <f>ROUND(S22*10000/B22,0)</f>
        <v>#DIV/0!</v>
      </c>
      <c r="S22" s="52">
        <f>SUM(S24:S10000)</f>
        <v>0</v>
      </c>
    </row>
    <row r="23" spans="1:45" s="1612" customFormat="1" ht="24">
      <c r="A23" s="16" t="s">
        <v>796</v>
      </c>
      <c r="B23" s="16" t="s">
        <v>797</v>
      </c>
      <c r="C23" s="16" t="s">
        <v>798</v>
      </c>
      <c r="D23" s="16" t="str">
        <f>B5</f>
        <v>修正项2</v>
      </c>
      <c r="E23" s="16" t="s">
        <v>798</v>
      </c>
      <c r="F23" s="16" t="str">
        <f>B7</f>
        <v>修正项3</v>
      </c>
      <c r="G23" s="16" t="s">
        <v>798</v>
      </c>
      <c r="H23" s="16" t="str">
        <f>B9</f>
        <v>修正项4</v>
      </c>
      <c r="I23" s="16" t="s">
        <v>798</v>
      </c>
      <c r="J23" s="16" t="str">
        <f>B11</f>
        <v>修正项5</v>
      </c>
      <c r="K23" s="16" t="s">
        <v>798</v>
      </c>
      <c r="L23" s="16" t="str">
        <f>B13</f>
        <v>修正项6</v>
      </c>
      <c r="M23" s="16" t="s">
        <v>798</v>
      </c>
      <c r="N23" s="16" t="str">
        <f>B15</f>
        <v>修正项7</v>
      </c>
      <c r="O23" s="16" t="s">
        <v>798</v>
      </c>
      <c r="P23" s="16" t="str">
        <f>B17</f>
        <v>楼层</v>
      </c>
      <c r="Q23" s="16" t="s">
        <v>798</v>
      </c>
      <c r="R23" s="490" t="s">
        <v>799</v>
      </c>
      <c r="S23" s="16" t="s">
        <v>800</v>
      </c>
      <c r="T23" s="17"/>
      <c r="U23" s="17"/>
      <c r="V23" s="17"/>
      <c r="W23" s="17"/>
      <c r="X23" s="17"/>
      <c r="Y23" s="17"/>
      <c r="Z23" s="17"/>
      <c r="AA23" s="17"/>
      <c r="AB23" s="17"/>
      <c r="AC23" s="17"/>
      <c r="AD23" s="17"/>
      <c r="AE23" s="17"/>
      <c r="AF23" s="17"/>
      <c r="AG23" s="17"/>
      <c r="AH23" s="17"/>
      <c r="AI23" s="17"/>
    </row>
    <row r="24" spans="1:45" s="1613" customFormat="1">
      <c r="A24" s="959" t="s">
        <v>801</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3"/>
      <c r="B25" s="136"/>
      <c r="C25" s="52">
        <f>IF(B25="",1,(LOOKUP(B25,$3:$3,$4:$4)-LOOKUP($B$24,$3:$3,$4:$4)+100)/100)</f>
        <v>1</v>
      </c>
      <c r="D25" s="961"/>
      <c r="E25" s="52">
        <f>(SUMIF($5:$5,D25,$6:$6)-SUMIF($5:$5,$D$24,$6:$6)+100)/100</f>
        <v>1</v>
      </c>
      <c r="F25" s="961"/>
      <c r="G25" s="52">
        <f>(SUMIF($7:$7,F25,$8:$8)-SUMIF($7:$7,$F$24,$8:$8)+100)/100</f>
        <v>1</v>
      </c>
      <c r="H25" s="961"/>
      <c r="I25" s="52">
        <f>(SUMIF($9:$9,H25,$10:$10)-SUMIF($9:$9,$H$24,$10:$10)+100)/100</f>
        <v>1</v>
      </c>
      <c r="J25" s="961"/>
      <c r="K25" s="52">
        <f>(SUMIF($11:$11,J25,$12:$12)-SUMIF($11:$11,$J$24,$12:$12)+100)/100</f>
        <v>1</v>
      </c>
      <c r="L25" s="961"/>
      <c r="M25" s="52">
        <f>(SUMIF($13:$13,L25,$14:$14)-SUMIF($13:$13,$L$24,$14:$14)+100)/100</f>
        <v>1</v>
      </c>
      <c r="N25" s="961"/>
      <c r="O25" s="52">
        <f>(SUMIF($15:$15,N25,$16:$16)-SUMIF($15:$15,$N$24,$16:$16)+100)/100</f>
        <v>1</v>
      </c>
      <c r="P25" s="961"/>
      <c r="Q25" s="52">
        <f>(SUMIF($17:$17,P25,$18:$18)-SUMIF($17:$17,$P$24,$18:$18)+100)/100</f>
        <v>1</v>
      </c>
      <c r="R25" s="489">
        <f>IF(B25="",0,ROUND($R$24*C25*E25*G25*I25*K25*M25*O25*Q25,0))</f>
        <v>0</v>
      </c>
      <c r="S25" s="798">
        <f t="shared" si="11"/>
        <v>0</v>
      </c>
    </row>
    <row r="26" spans="1:45">
      <c r="A26" s="963"/>
      <c r="B26" s="136"/>
      <c r="C26" s="52">
        <f t="shared" ref="C26:C89" si="12">IF(B26="",1,(LOOKUP(B26,$3:$3,$4:$4)-LOOKUP($B$24,$3:$3,$4:$4)+100)/100)</f>
        <v>1</v>
      </c>
      <c r="D26" s="961"/>
      <c r="E26" s="52">
        <f t="shared" ref="E26:E89" si="13">(SUMIF($5:$5,D26,$6:$6)-SUMIF($5:$5,$D$24,$6:$6)+100)/100</f>
        <v>1</v>
      </c>
      <c r="F26" s="961"/>
      <c r="G26" s="52">
        <f t="shared" ref="G26:G89" si="14">(SUMIF($7:$7,F26,$8:$8)-SUMIF($7:$7,$F$24,$8:$8)+100)/100</f>
        <v>1</v>
      </c>
      <c r="H26" s="961"/>
      <c r="I26" s="52">
        <f t="shared" ref="I26:I89" si="15">(SUMIF($9:$9,H26,$10:$10)-SUMIF($9:$9,$H$24,$10:$10)+100)/100</f>
        <v>1</v>
      </c>
      <c r="J26" s="961"/>
      <c r="K26" s="52">
        <f t="shared" ref="K26:K89" si="16">(SUMIF($11:$11,J26,$12:$12)-SUMIF($11:$11,$J$24,$12:$12)+100)/100</f>
        <v>1</v>
      </c>
      <c r="L26" s="961"/>
      <c r="M26" s="52">
        <f t="shared" ref="M26:M89" si="17">(SUMIF($13:$13,L26,$14:$14)-SUMIF($13:$13,$L$24,$14:$14)+100)/100</f>
        <v>1</v>
      </c>
      <c r="N26" s="961"/>
      <c r="O26" s="52">
        <f t="shared" ref="O26:O89" si="18">(SUMIF($15:$15,N26,$16:$16)-SUMIF($15:$15,$N$24,$16:$16)+100)/100</f>
        <v>1</v>
      </c>
      <c r="P26" s="961"/>
      <c r="Q26" s="52">
        <f t="shared" ref="Q26:Q89" si="19">(SUMIF($17:$17,P26,$18:$18)-SUMIF($17:$17,$P$24,$18:$18)+100)/100</f>
        <v>1</v>
      </c>
      <c r="R26" s="489">
        <f t="shared" ref="R26:R89" si="20">IF(B26="",0,ROUND($R$24*C26*E26*G26*I26*K26*M26*O26*Q26,0))</f>
        <v>0</v>
      </c>
      <c r="S26" s="798">
        <f t="shared" si="11"/>
        <v>0</v>
      </c>
    </row>
    <row r="27" spans="1:45">
      <c r="A27" s="963"/>
      <c r="B27" s="136"/>
      <c r="C27" s="52">
        <f t="shared" si="12"/>
        <v>1</v>
      </c>
      <c r="D27" s="961"/>
      <c r="E27" s="52">
        <f t="shared" si="13"/>
        <v>1</v>
      </c>
      <c r="F27" s="961"/>
      <c r="G27" s="52">
        <f t="shared" si="14"/>
        <v>1</v>
      </c>
      <c r="H27" s="961"/>
      <c r="I27" s="52">
        <f t="shared" si="15"/>
        <v>1</v>
      </c>
      <c r="J27" s="961"/>
      <c r="K27" s="52">
        <f t="shared" si="16"/>
        <v>1</v>
      </c>
      <c r="L27" s="961"/>
      <c r="M27" s="52">
        <f t="shared" si="17"/>
        <v>1</v>
      </c>
      <c r="N27" s="961"/>
      <c r="O27" s="52">
        <f t="shared" si="18"/>
        <v>1</v>
      </c>
      <c r="P27" s="961"/>
      <c r="Q27" s="52">
        <f t="shared" si="19"/>
        <v>1</v>
      </c>
      <c r="R27" s="489">
        <f t="shared" si="20"/>
        <v>0</v>
      </c>
      <c r="S27" s="798">
        <f t="shared" si="11"/>
        <v>0</v>
      </c>
    </row>
    <row r="28" spans="1:45">
      <c r="A28" s="963"/>
      <c r="B28" s="136"/>
      <c r="C28" s="52">
        <f t="shared" si="12"/>
        <v>1</v>
      </c>
      <c r="D28" s="961"/>
      <c r="E28" s="52">
        <f t="shared" si="13"/>
        <v>1</v>
      </c>
      <c r="F28" s="961"/>
      <c r="G28" s="52">
        <f t="shared" si="14"/>
        <v>1</v>
      </c>
      <c r="H28" s="961"/>
      <c r="I28" s="52">
        <f t="shared" si="15"/>
        <v>1</v>
      </c>
      <c r="J28" s="961"/>
      <c r="K28" s="52">
        <f t="shared" si="16"/>
        <v>1</v>
      </c>
      <c r="L28" s="961"/>
      <c r="M28" s="52">
        <f t="shared" si="17"/>
        <v>1</v>
      </c>
      <c r="N28" s="961"/>
      <c r="O28" s="52">
        <f t="shared" si="18"/>
        <v>1</v>
      </c>
      <c r="P28" s="961"/>
      <c r="Q28" s="52">
        <f t="shared" si="19"/>
        <v>1</v>
      </c>
      <c r="R28" s="489">
        <f t="shared" si="20"/>
        <v>0</v>
      </c>
      <c r="S28" s="798">
        <f t="shared" si="11"/>
        <v>0</v>
      </c>
    </row>
    <row r="29" spans="1:45">
      <c r="A29" s="963"/>
      <c r="B29" s="136"/>
      <c r="C29" s="52">
        <f t="shared" si="12"/>
        <v>1</v>
      </c>
      <c r="D29" s="961"/>
      <c r="E29" s="52">
        <f t="shared" si="13"/>
        <v>1</v>
      </c>
      <c r="F29" s="961"/>
      <c r="G29" s="52">
        <f t="shared" si="14"/>
        <v>1</v>
      </c>
      <c r="H29" s="961"/>
      <c r="I29" s="52">
        <f t="shared" si="15"/>
        <v>1</v>
      </c>
      <c r="J29" s="961"/>
      <c r="K29" s="52">
        <f t="shared" si="16"/>
        <v>1</v>
      </c>
      <c r="L29" s="961"/>
      <c r="M29" s="52">
        <f t="shared" si="17"/>
        <v>1</v>
      </c>
      <c r="N29" s="961"/>
      <c r="O29" s="52">
        <f t="shared" si="18"/>
        <v>1</v>
      </c>
      <c r="P29" s="961"/>
      <c r="Q29" s="52">
        <f t="shared" si="19"/>
        <v>1</v>
      </c>
      <c r="R29" s="489">
        <f t="shared" si="20"/>
        <v>0</v>
      </c>
      <c r="S29" s="798">
        <f t="shared" si="11"/>
        <v>0</v>
      </c>
    </row>
    <row r="30" spans="1:45">
      <c r="A30" s="963"/>
      <c r="B30" s="136"/>
      <c r="C30" s="52">
        <f t="shared" si="12"/>
        <v>1</v>
      </c>
      <c r="D30" s="961"/>
      <c r="E30" s="52">
        <f t="shared" si="13"/>
        <v>1</v>
      </c>
      <c r="F30" s="961"/>
      <c r="G30" s="52">
        <f t="shared" si="14"/>
        <v>1</v>
      </c>
      <c r="H30" s="961"/>
      <c r="I30" s="52">
        <f t="shared" si="15"/>
        <v>1</v>
      </c>
      <c r="J30" s="961"/>
      <c r="K30" s="52">
        <f t="shared" si="16"/>
        <v>1</v>
      </c>
      <c r="L30" s="961"/>
      <c r="M30" s="52">
        <f t="shared" si="17"/>
        <v>1</v>
      </c>
      <c r="N30" s="961"/>
      <c r="O30" s="52">
        <f t="shared" si="18"/>
        <v>1</v>
      </c>
      <c r="P30" s="961"/>
      <c r="Q30" s="52">
        <f t="shared" si="19"/>
        <v>1</v>
      </c>
      <c r="R30" s="489">
        <f t="shared" si="20"/>
        <v>0</v>
      </c>
      <c r="S30" s="798">
        <f t="shared" si="11"/>
        <v>0</v>
      </c>
    </row>
    <row r="31" spans="1:45">
      <c r="A31" s="963"/>
      <c r="B31" s="136"/>
      <c r="C31" s="52">
        <f t="shared" si="12"/>
        <v>1</v>
      </c>
      <c r="D31" s="961"/>
      <c r="E31" s="52">
        <f t="shared" si="13"/>
        <v>1</v>
      </c>
      <c r="F31" s="961"/>
      <c r="G31" s="52">
        <f t="shared" si="14"/>
        <v>1</v>
      </c>
      <c r="H31" s="961"/>
      <c r="I31" s="52">
        <f t="shared" si="15"/>
        <v>1</v>
      </c>
      <c r="J31" s="961"/>
      <c r="K31" s="52">
        <f t="shared" si="16"/>
        <v>1</v>
      </c>
      <c r="L31" s="961"/>
      <c r="M31" s="52">
        <f t="shared" si="17"/>
        <v>1</v>
      </c>
      <c r="N31" s="961"/>
      <c r="O31" s="52">
        <f t="shared" si="18"/>
        <v>1</v>
      </c>
      <c r="P31" s="961"/>
      <c r="Q31" s="52">
        <f t="shared" si="19"/>
        <v>1</v>
      </c>
      <c r="R31" s="489">
        <f t="shared" si="20"/>
        <v>0</v>
      </c>
      <c r="S31" s="798">
        <f t="shared" si="11"/>
        <v>0</v>
      </c>
    </row>
    <row r="32" spans="1:45">
      <c r="A32" s="963"/>
      <c r="B32" s="136"/>
      <c r="C32" s="52">
        <f t="shared" si="12"/>
        <v>1</v>
      </c>
      <c r="D32" s="961"/>
      <c r="E32" s="52">
        <f t="shared" si="13"/>
        <v>1</v>
      </c>
      <c r="F32" s="961"/>
      <c r="G32" s="52">
        <f t="shared" si="14"/>
        <v>1</v>
      </c>
      <c r="H32" s="961"/>
      <c r="I32" s="52">
        <f t="shared" si="15"/>
        <v>1</v>
      </c>
      <c r="J32" s="961"/>
      <c r="K32" s="52">
        <f t="shared" si="16"/>
        <v>1</v>
      </c>
      <c r="L32" s="961"/>
      <c r="M32" s="52">
        <f t="shared" si="17"/>
        <v>1</v>
      </c>
      <c r="N32" s="961"/>
      <c r="O32" s="52">
        <f t="shared" si="18"/>
        <v>1</v>
      </c>
      <c r="P32" s="961"/>
      <c r="Q32" s="52">
        <f t="shared" si="19"/>
        <v>1</v>
      </c>
      <c r="R32" s="489">
        <f t="shared" si="20"/>
        <v>0</v>
      </c>
      <c r="S32" s="798">
        <f t="shared" si="11"/>
        <v>0</v>
      </c>
    </row>
    <row r="33" spans="1:19">
      <c r="A33" s="963"/>
      <c r="B33" s="136"/>
      <c r="C33" s="52">
        <f t="shared" si="12"/>
        <v>1</v>
      </c>
      <c r="D33" s="961"/>
      <c r="E33" s="52">
        <f t="shared" si="13"/>
        <v>1</v>
      </c>
      <c r="F33" s="961"/>
      <c r="G33" s="52">
        <f t="shared" si="14"/>
        <v>1</v>
      </c>
      <c r="H33" s="961"/>
      <c r="I33" s="52">
        <f t="shared" si="15"/>
        <v>1</v>
      </c>
      <c r="J33" s="961"/>
      <c r="K33" s="52">
        <f t="shared" si="16"/>
        <v>1</v>
      </c>
      <c r="L33" s="961"/>
      <c r="M33" s="52">
        <f t="shared" si="17"/>
        <v>1</v>
      </c>
      <c r="N33" s="961"/>
      <c r="O33" s="52">
        <f t="shared" si="18"/>
        <v>1</v>
      </c>
      <c r="P33" s="961"/>
      <c r="Q33" s="52">
        <f t="shared" si="19"/>
        <v>1</v>
      </c>
      <c r="R33" s="489">
        <f t="shared" si="20"/>
        <v>0</v>
      </c>
      <c r="S33" s="798">
        <f t="shared" si="11"/>
        <v>0</v>
      </c>
    </row>
    <row r="34" spans="1:19">
      <c r="A34" s="963"/>
      <c r="B34" s="136"/>
      <c r="C34" s="52">
        <f t="shared" si="12"/>
        <v>1</v>
      </c>
      <c r="D34" s="961"/>
      <c r="E34" s="52">
        <f t="shared" si="13"/>
        <v>1</v>
      </c>
      <c r="F34" s="961"/>
      <c r="G34" s="52">
        <f t="shared" si="14"/>
        <v>1</v>
      </c>
      <c r="H34" s="961"/>
      <c r="I34" s="52">
        <f t="shared" si="15"/>
        <v>1</v>
      </c>
      <c r="J34" s="961"/>
      <c r="K34" s="52">
        <f t="shared" si="16"/>
        <v>1</v>
      </c>
      <c r="L34" s="961"/>
      <c r="M34" s="52">
        <f t="shared" si="17"/>
        <v>1</v>
      </c>
      <c r="N34" s="961"/>
      <c r="O34" s="52">
        <f t="shared" si="18"/>
        <v>1</v>
      </c>
      <c r="P34" s="961"/>
      <c r="Q34" s="52">
        <f t="shared" si="19"/>
        <v>1</v>
      </c>
      <c r="R34" s="489">
        <f t="shared" si="20"/>
        <v>0</v>
      </c>
      <c r="S34" s="798">
        <f t="shared" si="11"/>
        <v>0</v>
      </c>
    </row>
    <row r="35" spans="1:19">
      <c r="A35" s="963"/>
      <c r="B35" s="136"/>
      <c r="C35" s="52">
        <f t="shared" si="12"/>
        <v>1</v>
      </c>
      <c r="D35" s="961"/>
      <c r="E35" s="52">
        <f t="shared" si="13"/>
        <v>1</v>
      </c>
      <c r="F35" s="961"/>
      <c r="G35" s="52">
        <f t="shared" si="14"/>
        <v>1</v>
      </c>
      <c r="H35" s="961"/>
      <c r="I35" s="52">
        <f t="shared" si="15"/>
        <v>1</v>
      </c>
      <c r="J35" s="961"/>
      <c r="K35" s="52">
        <f t="shared" si="16"/>
        <v>1</v>
      </c>
      <c r="L35" s="961"/>
      <c r="M35" s="52">
        <f t="shared" si="17"/>
        <v>1</v>
      </c>
      <c r="N35" s="961"/>
      <c r="O35" s="52">
        <f t="shared" si="18"/>
        <v>1</v>
      </c>
      <c r="P35" s="961"/>
      <c r="Q35" s="52">
        <f t="shared" si="19"/>
        <v>1</v>
      </c>
      <c r="R35" s="489">
        <f t="shared" si="20"/>
        <v>0</v>
      </c>
      <c r="S35" s="798">
        <f t="shared" si="11"/>
        <v>0</v>
      </c>
    </row>
    <row r="36" spans="1:19">
      <c r="A36" s="963"/>
      <c r="B36" s="136"/>
      <c r="C36" s="52">
        <f t="shared" si="12"/>
        <v>1</v>
      </c>
      <c r="D36" s="961"/>
      <c r="E36" s="52">
        <f t="shared" si="13"/>
        <v>1</v>
      </c>
      <c r="F36" s="961"/>
      <c r="G36" s="52">
        <f t="shared" si="14"/>
        <v>1</v>
      </c>
      <c r="H36" s="961"/>
      <c r="I36" s="52">
        <f t="shared" si="15"/>
        <v>1</v>
      </c>
      <c r="J36" s="961"/>
      <c r="K36" s="52">
        <f t="shared" si="16"/>
        <v>1</v>
      </c>
      <c r="L36" s="961"/>
      <c r="M36" s="52">
        <f t="shared" si="17"/>
        <v>1</v>
      </c>
      <c r="N36" s="961"/>
      <c r="O36" s="52">
        <f t="shared" si="18"/>
        <v>1</v>
      </c>
      <c r="P36" s="961"/>
      <c r="Q36" s="52">
        <f t="shared" si="19"/>
        <v>1</v>
      </c>
      <c r="R36" s="489">
        <f t="shared" si="20"/>
        <v>0</v>
      </c>
      <c r="S36" s="798">
        <f t="shared" si="11"/>
        <v>0</v>
      </c>
    </row>
    <row r="37" spans="1:19">
      <c r="A37" s="963"/>
      <c r="B37" s="136"/>
      <c r="C37" s="52">
        <f t="shared" si="12"/>
        <v>1</v>
      </c>
      <c r="D37" s="961"/>
      <c r="E37" s="52">
        <f t="shared" si="13"/>
        <v>1</v>
      </c>
      <c r="F37" s="961"/>
      <c r="G37" s="52">
        <f t="shared" si="14"/>
        <v>1</v>
      </c>
      <c r="H37" s="961"/>
      <c r="I37" s="52">
        <f t="shared" si="15"/>
        <v>1</v>
      </c>
      <c r="J37" s="961"/>
      <c r="K37" s="52">
        <f t="shared" si="16"/>
        <v>1</v>
      </c>
      <c r="L37" s="961"/>
      <c r="M37" s="52">
        <f t="shared" si="17"/>
        <v>1</v>
      </c>
      <c r="N37" s="961"/>
      <c r="O37" s="52">
        <f t="shared" si="18"/>
        <v>1</v>
      </c>
      <c r="P37" s="961"/>
      <c r="Q37" s="52">
        <f t="shared" si="19"/>
        <v>1</v>
      </c>
      <c r="R37" s="489">
        <f t="shared" si="20"/>
        <v>0</v>
      </c>
      <c r="S37" s="798">
        <f t="shared" si="11"/>
        <v>0</v>
      </c>
    </row>
    <row r="38" spans="1:19">
      <c r="A38" s="963"/>
      <c r="B38" s="136"/>
      <c r="C38" s="52">
        <f t="shared" si="12"/>
        <v>1</v>
      </c>
      <c r="D38" s="961"/>
      <c r="E38" s="52">
        <f t="shared" si="13"/>
        <v>1</v>
      </c>
      <c r="F38" s="961"/>
      <c r="G38" s="52">
        <f t="shared" si="14"/>
        <v>1</v>
      </c>
      <c r="H38" s="961"/>
      <c r="I38" s="52">
        <f t="shared" si="15"/>
        <v>1</v>
      </c>
      <c r="J38" s="961"/>
      <c r="K38" s="52">
        <f t="shared" si="16"/>
        <v>1</v>
      </c>
      <c r="L38" s="961"/>
      <c r="M38" s="52">
        <f t="shared" si="17"/>
        <v>1</v>
      </c>
      <c r="N38" s="961"/>
      <c r="O38" s="52">
        <f t="shared" si="18"/>
        <v>1</v>
      </c>
      <c r="P38" s="961"/>
      <c r="Q38" s="52">
        <f t="shared" si="19"/>
        <v>1</v>
      </c>
      <c r="R38" s="489">
        <f t="shared" si="20"/>
        <v>0</v>
      </c>
      <c r="S38" s="798">
        <f t="shared" si="11"/>
        <v>0</v>
      </c>
    </row>
    <row r="39" spans="1:19">
      <c r="A39" s="963"/>
      <c r="B39" s="136"/>
      <c r="C39" s="52">
        <f t="shared" si="12"/>
        <v>1</v>
      </c>
      <c r="D39" s="961"/>
      <c r="E39" s="52">
        <f t="shared" si="13"/>
        <v>1</v>
      </c>
      <c r="F39" s="961"/>
      <c r="G39" s="52">
        <f t="shared" si="14"/>
        <v>1</v>
      </c>
      <c r="H39" s="961"/>
      <c r="I39" s="52">
        <f t="shared" si="15"/>
        <v>1</v>
      </c>
      <c r="J39" s="961"/>
      <c r="K39" s="52">
        <f t="shared" si="16"/>
        <v>1</v>
      </c>
      <c r="L39" s="961"/>
      <c r="M39" s="52">
        <f t="shared" si="17"/>
        <v>1</v>
      </c>
      <c r="N39" s="961"/>
      <c r="O39" s="52">
        <f t="shared" si="18"/>
        <v>1</v>
      </c>
      <c r="P39" s="961"/>
      <c r="Q39" s="52">
        <f t="shared" si="19"/>
        <v>1</v>
      </c>
      <c r="R39" s="489">
        <f t="shared" si="20"/>
        <v>0</v>
      </c>
      <c r="S39" s="798">
        <f t="shared" si="11"/>
        <v>0</v>
      </c>
    </row>
    <row r="40" spans="1:19">
      <c r="A40" s="963"/>
      <c r="B40" s="136"/>
      <c r="C40" s="52">
        <f t="shared" si="12"/>
        <v>1</v>
      </c>
      <c r="D40" s="961"/>
      <c r="E40" s="52">
        <f t="shared" si="13"/>
        <v>1</v>
      </c>
      <c r="F40" s="961"/>
      <c r="G40" s="52">
        <f t="shared" si="14"/>
        <v>1</v>
      </c>
      <c r="H40" s="961"/>
      <c r="I40" s="52">
        <f t="shared" si="15"/>
        <v>1</v>
      </c>
      <c r="J40" s="961"/>
      <c r="K40" s="52">
        <f t="shared" si="16"/>
        <v>1</v>
      </c>
      <c r="L40" s="961"/>
      <c r="M40" s="52">
        <f t="shared" si="17"/>
        <v>1</v>
      </c>
      <c r="N40" s="961"/>
      <c r="O40" s="52">
        <f t="shared" si="18"/>
        <v>1</v>
      </c>
      <c r="P40" s="961"/>
      <c r="Q40" s="52">
        <f t="shared" si="19"/>
        <v>1</v>
      </c>
      <c r="R40" s="489">
        <f t="shared" si="20"/>
        <v>0</v>
      </c>
      <c r="S40" s="798">
        <f t="shared" si="11"/>
        <v>0</v>
      </c>
    </row>
    <row r="41" spans="1:19">
      <c r="A41" s="963"/>
      <c r="B41" s="136"/>
      <c r="C41" s="52">
        <f t="shared" si="12"/>
        <v>1</v>
      </c>
      <c r="D41" s="961"/>
      <c r="E41" s="52">
        <f t="shared" si="13"/>
        <v>1</v>
      </c>
      <c r="F41" s="961"/>
      <c r="G41" s="52">
        <f t="shared" si="14"/>
        <v>1</v>
      </c>
      <c r="H41" s="961"/>
      <c r="I41" s="52">
        <f t="shared" si="15"/>
        <v>1</v>
      </c>
      <c r="J41" s="961"/>
      <c r="K41" s="52">
        <f t="shared" si="16"/>
        <v>1</v>
      </c>
      <c r="L41" s="961"/>
      <c r="M41" s="52">
        <f t="shared" si="17"/>
        <v>1</v>
      </c>
      <c r="N41" s="961"/>
      <c r="O41" s="52">
        <f t="shared" si="18"/>
        <v>1</v>
      </c>
      <c r="P41" s="961"/>
      <c r="Q41" s="52">
        <f t="shared" si="19"/>
        <v>1</v>
      </c>
      <c r="R41" s="489">
        <f t="shared" si="20"/>
        <v>0</v>
      </c>
      <c r="S41" s="798">
        <f t="shared" si="11"/>
        <v>0</v>
      </c>
    </row>
    <row r="42" spans="1:19">
      <c r="A42" s="963"/>
      <c r="B42" s="136"/>
      <c r="C42" s="52">
        <f t="shared" si="12"/>
        <v>1</v>
      </c>
      <c r="D42" s="961"/>
      <c r="E42" s="52">
        <f t="shared" si="13"/>
        <v>1</v>
      </c>
      <c r="F42" s="961"/>
      <c r="G42" s="52">
        <f t="shared" si="14"/>
        <v>1</v>
      </c>
      <c r="H42" s="961"/>
      <c r="I42" s="52">
        <f t="shared" si="15"/>
        <v>1</v>
      </c>
      <c r="J42" s="961"/>
      <c r="K42" s="52">
        <f t="shared" si="16"/>
        <v>1</v>
      </c>
      <c r="L42" s="961"/>
      <c r="M42" s="52">
        <f t="shared" si="17"/>
        <v>1</v>
      </c>
      <c r="N42" s="961"/>
      <c r="O42" s="52">
        <f t="shared" si="18"/>
        <v>1</v>
      </c>
      <c r="P42" s="961"/>
      <c r="Q42" s="52">
        <f t="shared" si="19"/>
        <v>1</v>
      </c>
      <c r="R42" s="489">
        <f t="shared" si="20"/>
        <v>0</v>
      </c>
      <c r="S42" s="798">
        <f t="shared" si="11"/>
        <v>0</v>
      </c>
    </row>
    <row r="43" spans="1:19">
      <c r="A43" s="963"/>
      <c r="B43" s="136"/>
      <c r="C43" s="52">
        <f t="shared" si="12"/>
        <v>1</v>
      </c>
      <c r="D43" s="961"/>
      <c r="E43" s="52">
        <f t="shared" si="13"/>
        <v>1</v>
      </c>
      <c r="F43" s="961"/>
      <c r="G43" s="52">
        <f t="shared" si="14"/>
        <v>1</v>
      </c>
      <c r="H43" s="961"/>
      <c r="I43" s="52">
        <f t="shared" si="15"/>
        <v>1</v>
      </c>
      <c r="J43" s="961"/>
      <c r="K43" s="52">
        <f t="shared" si="16"/>
        <v>1</v>
      </c>
      <c r="L43" s="961"/>
      <c r="M43" s="52">
        <f t="shared" si="17"/>
        <v>1</v>
      </c>
      <c r="N43" s="961"/>
      <c r="O43" s="52">
        <f t="shared" si="18"/>
        <v>1</v>
      </c>
      <c r="P43" s="961"/>
      <c r="Q43" s="52">
        <f t="shared" si="19"/>
        <v>1</v>
      </c>
      <c r="R43" s="489">
        <f t="shared" si="20"/>
        <v>0</v>
      </c>
      <c r="S43" s="798">
        <f t="shared" si="11"/>
        <v>0</v>
      </c>
    </row>
    <row r="44" spans="1:19">
      <c r="A44" s="963"/>
      <c r="B44" s="136"/>
      <c r="C44" s="52">
        <f t="shared" si="12"/>
        <v>1</v>
      </c>
      <c r="D44" s="961"/>
      <c r="E44" s="52">
        <f t="shared" si="13"/>
        <v>1</v>
      </c>
      <c r="F44" s="961"/>
      <c r="G44" s="52">
        <f t="shared" si="14"/>
        <v>1</v>
      </c>
      <c r="H44" s="961"/>
      <c r="I44" s="52">
        <f t="shared" si="15"/>
        <v>1</v>
      </c>
      <c r="J44" s="961"/>
      <c r="K44" s="52">
        <f t="shared" si="16"/>
        <v>1</v>
      </c>
      <c r="L44" s="961"/>
      <c r="M44" s="52">
        <f t="shared" si="17"/>
        <v>1</v>
      </c>
      <c r="N44" s="961"/>
      <c r="O44" s="52">
        <f t="shared" si="18"/>
        <v>1</v>
      </c>
      <c r="P44" s="961"/>
      <c r="Q44" s="52">
        <f t="shared" si="19"/>
        <v>1</v>
      </c>
      <c r="R44" s="489">
        <f t="shared" si="20"/>
        <v>0</v>
      </c>
      <c r="S44" s="798">
        <f t="shared" si="11"/>
        <v>0</v>
      </c>
    </row>
    <row r="45" spans="1:19">
      <c r="A45" s="963"/>
      <c r="B45" s="136"/>
      <c r="C45" s="52">
        <f t="shared" si="12"/>
        <v>1</v>
      </c>
      <c r="D45" s="961"/>
      <c r="E45" s="52">
        <f t="shared" si="13"/>
        <v>1</v>
      </c>
      <c r="F45" s="961"/>
      <c r="G45" s="52">
        <f t="shared" si="14"/>
        <v>1</v>
      </c>
      <c r="H45" s="961"/>
      <c r="I45" s="52">
        <f t="shared" si="15"/>
        <v>1</v>
      </c>
      <c r="J45" s="961"/>
      <c r="K45" s="52">
        <f t="shared" si="16"/>
        <v>1</v>
      </c>
      <c r="L45" s="961"/>
      <c r="M45" s="52">
        <f t="shared" si="17"/>
        <v>1</v>
      </c>
      <c r="N45" s="961"/>
      <c r="O45" s="52">
        <f t="shared" si="18"/>
        <v>1</v>
      </c>
      <c r="P45" s="961"/>
      <c r="Q45" s="52">
        <f t="shared" si="19"/>
        <v>1</v>
      </c>
      <c r="R45" s="489">
        <f t="shared" si="20"/>
        <v>0</v>
      </c>
      <c r="S45" s="798">
        <f t="shared" si="11"/>
        <v>0</v>
      </c>
    </row>
    <row r="46" spans="1:19">
      <c r="A46" s="963"/>
      <c r="B46" s="136"/>
      <c r="C46" s="52">
        <f t="shared" si="12"/>
        <v>1</v>
      </c>
      <c r="D46" s="961"/>
      <c r="E46" s="52">
        <f t="shared" si="13"/>
        <v>1</v>
      </c>
      <c r="F46" s="961"/>
      <c r="G46" s="52">
        <f t="shared" si="14"/>
        <v>1</v>
      </c>
      <c r="H46" s="961"/>
      <c r="I46" s="52">
        <f t="shared" si="15"/>
        <v>1</v>
      </c>
      <c r="J46" s="961"/>
      <c r="K46" s="52">
        <f t="shared" si="16"/>
        <v>1</v>
      </c>
      <c r="L46" s="961"/>
      <c r="M46" s="52">
        <f t="shared" si="17"/>
        <v>1</v>
      </c>
      <c r="N46" s="961"/>
      <c r="O46" s="52">
        <f t="shared" si="18"/>
        <v>1</v>
      </c>
      <c r="P46" s="961"/>
      <c r="Q46" s="52">
        <f t="shared" si="19"/>
        <v>1</v>
      </c>
      <c r="R46" s="489">
        <f t="shared" si="20"/>
        <v>0</v>
      </c>
      <c r="S46" s="798">
        <f t="shared" si="11"/>
        <v>0</v>
      </c>
    </row>
    <row r="47" spans="1:19">
      <c r="A47" s="963"/>
      <c r="B47" s="136"/>
      <c r="C47" s="52">
        <f t="shared" si="12"/>
        <v>1</v>
      </c>
      <c r="D47" s="961"/>
      <c r="E47" s="52">
        <f t="shared" si="13"/>
        <v>1</v>
      </c>
      <c r="F47" s="961"/>
      <c r="G47" s="52">
        <f t="shared" si="14"/>
        <v>1</v>
      </c>
      <c r="H47" s="961"/>
      <c r="I47" s="52">
        <f t="shared" si="15"/>
        <v>1</v>
      </c>
      <c r="J47" s="961"/>
      <c r="K47" s="52">
        <f t="shared" si="16"/>
        <v>1</v>
      </c>
      <c r="L47" s="961"/>
      <c r="M47" s="52">
        <f t="shared" si="17"/>
        <v>1</v>
      </c>
      <c r="N47" s="961"/>
      <c r="O47" s="52">
        <f t="shared" si="18"/>
        <v>1</v>
      </c>
      <c r="P47" s="961"/>
      <c r="Q47" s="52">
        <f t="shared" si="19"/>
        <v>1</v>
      </c>
      <c r="R47" s="489">
        <f t="shared" si="20"/>
        <v>0</v>
      </c>
      <c r="S47" s="798">
        <f t="shared" si="11"/>
        <v>0</v>
      </c>
    </row>
    <row r="48" spans="1:19">
      <c r="A48" s="963"/>
      <c r="B48" s="136"/>
      <c r="C48" s="52">
        <f t="shared" si="12"/>
        <v>1</v>
      </c>
      <c r="D48" s="961"/>
      <c r="E48" s="52">
        <f t="shared" si="13"/>
        <v>1</v>
      </c>
      <c r="F48" s="961"/>
      <c r="G48" s="52">
        <f t="shared" si="14"/>
        <v>1</v>
      </c>
      <c r="H48" s="961"/>
      <c r="I48" s="52">
        <f t="shared" si="15"/>
        <v>1</v>
      </c>
      <c r="J48" s="961"/>
      <c r="K48" s="52">
        <f t="shared" si="16"/>
        <v>1</v>
      </c>
      <c r="L48" s="961"/>
      <c r="M48" s="52">
        <f t="shared" si="17"/>
        <v>1</v>
      </c>
      <c r="N48" s="961"/>
      <c r="O48" s="52">
        <f t="shared" si="18"/>
        <v>1</v>
      </c>
      <c r="P48" s="961"/>
      <c r="Q48" s="52">
        <f t="shared" si="19"/>
        <v>1</v>
      </c>
      <c r="R48" s="489">
        <f t="shared" si="20"/>
        <v>0</v>
      </c>
      <c r="S48" s="798">
        <f t="shared" si="11"/>
        <v>0</v>
      </c>
    </row>
    <row r="49" spans="1:19">
      <c r="A49" s="963"/>
      <c r="B49" s="136"/>
      <c r="C49" s="52">
        <f t="shared" si="12"/>
        <v>1</v>
      </c>
      <c r="D49" s="961"/>
      <c r="E49" s="52">
        <f t="shared" si="13"/>
        <v>1</v>
      </c>
      <c r="F49" s="961"/>
      <c r="G49" s="52">
        <f t="shared" si="14"/>
        <v>1</v>
      </c>
      <c r="H49" s="961"/>
      <c r="I49" s="52">
        <f t="shared" si="15"/>
        <v>1</v>
      </c>
      <c r="J49" s="961"/>
      <c r="K49" s="52">
        <f t="shared" si="16"/>
        <v>1</v>
      </c>
      <c r="L49" s="961"/>
      <c r="M49" s="52">
        <f t="shared" si="17"/>
        <v>1</v>
      </c>
      <c r="N49" s="961"/>
      <c r="O49" s="52">
        <f t="shared" si="18"/>
        <v>1</v>
      </c>
      <c r="P49" s="961"/>
      <c r="Q49" s="52">
        <f t="shared" si="19"/>
        <v>1</v>
      </c>
      <c r="R49" s="489">
        <f t="shared" si="20"/>
        <v>0</v>
      </c>
      <c r="S49" s="798">
        <f t="shared" si="11"/>
        <v>0</v>
      </c>
    </row>
    <row r="50" spans="1:19">
      <c r="A50" s="963"/>
      <c r="B50" s="136"/>
      <c r="C50" s="52">
        <f t="shared" si="12"/>
        <v>1</v>
      </c>
      <c r="D50" s="961"/>
      <c r="E50" s="52">
        <f t="shared" si="13"/>
        <v>1</v>
      </c>
      <c r="F50" s="961"/>
      <c r="G50" s="52">
        <f t="shared" si="14"/>
        <v>1</v>
      </c>
      <c r="H50" s="961"/>
      <c r="I50" s="52">
        <f t="shared" si="15"/>
        <v>1</v>
      </c>
      <c r="J50" s="961"/>
      <c r="K50" s="52">
        <f t="shared" si="16"/>
        <v>1</v>
      </c>
      <c r="L50" s="961"/>
      <c r="M50" s="52">
        <f t="shared" si="17"/>
        <v>1</v>
      </c>
      <c r="N50" s="961"/>
      <c r="O50" s="52">
        <f t="shared" si="18"/>
        <v>1</v>
      </c>
      <c r="P50" s="961"/>
      <c r="Q50" s="52">
        <f t="shared" si="19"/>
        <v>1</v>
      </c>
      <c r="R50" s="489">
        <f t="shared" si="20"/>
        <v>0</v>
      </c>
      <c r="S50" s="798">
        <f t="shared" si="11"/>
        <v>0</v>
      </c>
    </row>
    <row r="51" spans="1:19">
      <c r="A51" s="963"/>
      <c r="B51" s="136"/>
      <c r="C51" s="52">
        <f t="shared" si="12"/>
        <v>1</v>
      </c>
      <c r="D51" s="961"/>
      <c r="E51" s="52">
        <f t="shared" si="13"/>
        <v>1</v>
      </c>
      <c r="F51" s="961"/>
      <c r="G51" s="52">
        <f t="shared" si="14"/>
        <v>1</v>
      </c>
      <c r="H51" s="961"/>
      <c r="I51" s="52">
        <f t="shared" si="15"/>
        <v>1</v>
      </c>
      <c r="J51" s="961"/>
      <c r="K51" s="52">
        <f t="shared" si="16"/>
        <v>1</v>
      </c>
      <c r="L51" s="961"/>
      <c r="M51" s="52">
        <f t="shared" si="17"/>
        <v>1</v>
      </c>
      <c r="N51" s="961"/>
      <c r="O51" s="52">
        <f t="shared" si="18"/>
        <v>1</v>
      </c>
      <c r="P51" s="961"/>
      <c r="Q51" s="52">
        <f t="shared" si="19"/>
        <v>1</v>
      </c>
      <c r="R51" s="489">
        <f t="shared" si="20"/>
        <v>0</v>
      </c>
      <c r="S51" s="798">
        <f t="shared" si="11"/>
        <v>0</v>
      </c>
    </row>
    <row r="52" spans="1:19">
      <c r="A52" s="963"/>
      <c r="B52" s="136"/>
      <c r="C52" s="52">
        <f t="shared" si="12"/>
        <v>1</v>
      </c>
      <c r="D52" s="961"/>
      <c r="E52" s="52">
        <f t="shared" si="13"/>
        <v>1</v>
      </c>
      <c r="F52" s="961"/>
      <c r="G52" s="52">
        <f t="shared" si="14"/>
        <v>1</v>
      </c>
      <c r="H52" s="961"/>
      <c r="I52" s="52">
        <f t="shared" si="15"/>
        <v>1</v>
      </c>
      <c r="J52" s="961"/>
      <c r="K52" s="52">
        <f t="shared" si="16"/>
        <v>1</v>
      </c>
      <c r="L52" s="961"/>
      <c r="M52" s="52">
        <f t="shared" si="17"/>
        <v>1</v>
      </c>
      <c r="N52" s="961"/>
      <c r="O52" s="52">
        <f t="shared" si="18"/>
        <v>1</v>
      </c>
      <c r="P52" s="961"/>
      <c r="Q52" s="52">
        <f t="shared" si="19"/>
        <v>1</v>
      </c>
      <c r="R52" s="489">
        <f t="shared" si="20"/>
        <v>0</v>
      </c>
      <c r="S52" s="798">
        <f t="shared" si="11"/>
        <v>0</v>
      </c>
    </row>
    <row r="53" spans="1:19">
      <c r="A53" s="963"/>
      <c r="B53" s="136"/>
      <c r="C53" s="52">
        <f t="shared" si="12"/>
        <v>1</v>
      </c>
      <c r="D53" s="961"/>
      <c r="E53" s="52">
        <f t="shared" si="13"/>
        <v>1</v>
      </c>
      <c r="F53" s="961"/>
      <c r="G53" s="52">
        <f t="shared" si="14"/>
        <v>1</v>
      </c>
      <c r="H53" s="961"/>
      <c r="I53" s="52">
        <f t="shared" si="15"/>
        <v>1</v>
      </c>
      <c r="J53" s="961"/>
      <c r="K53" s="52">
        <f t="shared" si="16"/>
        <v>1</v>
      </c>
      <c r="L53" s="961"/>
      <c r="M53" s="52">
        <f t="shared" si="17"/>
        <v>1</v>
      </c>
      <c r="N53" s="961"/>
      <c r="O53" s="52">
        <f t="shared" si="18"/>
        <v>1</v>
      </c>
      <c r="P53" s="961"/>
      <c r="Q53" s="52">
        <f t="shared" si="19"/>
        <v>1</v>
      </c>
      <c r="R53" s="489">
        <f t="shared" si="20"/>
        <v>0</v>
      </c>
      <c r="S53" s="798">
        <f t="shared" si="11"/>
        <v>0</v>
      </c>
    </row>
    <row r="54" spans="1:19">
      <c r="A54" s="963"/>
      <c r="B54" s="136"/>
      <c r="C54" s="52">
        <f t="shared" si="12"/>
        <v>1</v>
      </c>
      <c r="D54" s="961"/>
      <c r="E54" s="52">
        <f t="shared" si="13"/>
        <v>1</v>
      </c>
      <c r="F54" s="961"/>
      <c r="G54" s="52">
        <f t="shared" si="14"/>
        <v>1</v>
      </c>
      <c r="H54" s="961"/>
      <c r="I54" s="52">
        <f t="shared" si="15"/>
        <v>1</v>
      </c>
      <c r="J54" s="961"/>
      <c r="K54" s="52">
        <f t="shared" si="16"/>
        <v>1</v>
      </c>
      <c r="L54" s="961"/>
      <c r="M54" s="52">
        <f t="shared" si="17"/>
        <v>1</v>
      </c>
      <c r="N54" s="961"/>
      <c r="O54" s="52">
        <f t="shared" si="18"/>
        <v>1</v>
      </c>
      <c r="P54" s="961"/>
      <c r="Q54" s="52">
        <f t="shared" si="19"/>
        <v>1</v>
      </c>
      <c r="R54" s="489">
        <f t="shared" si="20"/>
        <v>0</v>
      </c>
      <c r="S54" s="798">
        <f t="shared" si="11"/>
        <v>0</v>
      </c>
    </row>
    <row r="55" spans="1:19">
      <c r="A55" s="963"/>
      <c r="B55" s="136"/>
      <c r="C55" s="52">
        <f t="shared" si="12"/>
        <v>1</v>
      </c>
      <c r="D55" s="961"/>
      <c r="E55" s="52">
        <f t="shared" si="13"/>
        <v>1</v>
      </c>
      <c r="F55" s="961"/>
      <c r="G55" s="52">
        <f t="shared" si="14"/>
        <v>1</v>
      </c>
      <c r="H55" s="961"/>
      <c r="I55" s="52">
        <f t="shared" si="15"/>
        <v>1</v>
      </c>
      <c r="J55" s="961"/>
      <c r="K55" s="52">
        <f t="shared" si="16"/>
        <v>1</v>
      </c>
      <c r="L55" s="961"/>
      <c r="M55" s="52">
        <f t="shared" si="17"/>
        <v>1</v>
      </c>
      <c r="N55" s="961"/>
      <c r="O55" s="52">
        <f t="shared" si="18"/>
        <v>1</v>
      </c>
      <c r="P55" s="961"/>
      <c r="Q55" s="52">
        <f t="shared" si="19"/>
        <v>1</v>
      </c>
      <c r="R55" s="489">
        <f t="shared" si="20"/>
        <v>0</v>
      </c>
      <c r="S55" s="798">
        <f t="shared" ref="S55:S77" si="21">ROUND(R55*B55/10000,0)</f>
        <v>0</v>
      </c>
    </row>
    <row r="56" spans="1:19">
      <c r="A56" s="963"/>
      <c r="B56" s="136"/>
      <c r="C56" s="52">
        <f t="shared" si="12"/>
        <v>1</v>
      </c>
      <c r="D56" s="961"/>
      <c r="E56" s="52">
        <f t="shared" si="13"/>
        <v>1</v>
      </c>
      <c r="F56" s="961"/>
      <c r="G56" s="52">
        <f t="shared" si="14"/>
        <v>1</v>
      </c>
      <c r="H56" s="961"/>
      <c r="I56" s="52">
        <f t="shared" si="15"/>
        <v>1</v>
      </c>
      <c r="J56" s="961"/>
      <c r="K56" s="52">
        <f t="shared" si="16"/>
        <v>1</v>
      </c>
      <c r="L56" s="961"/>
      <c r="M56" s="52">
        <f t="shared" si="17"/>
        <v>1</v>
      </c>
      <c r="N56" s="961"/>
      <c r="O56" s="52">
        <f t="shared" si="18"/>
        <v>1</v>
      </c>
      <c r="P56" s="961"/>
      <c r="Q56" s="52">
        <f t="shared" si="19"/>
        <v>1</v>
      </c>
      <c r="R56" s="489">
        <f t="shared" si="20"/>
        <v>0</v>
      </c>
      <c r="S56" s="798">
        <f t="shared" si="21"/>
        <v>0</v>
      </c>
    </row>
    <row r="57" spans="1:19">
      <c r="A57" s="963"/>
      <c r="B57" s="136"/>
      <c r="C57" s="52">
        <f t="shared" si="12"/>
        <v>1</v>
      </c>
      <c r="D57" s="961"/>
      <c r="E57" s="52">
        <f t="shared" si="13"/>
        <v>1</v>
      </c>
      <c r="F57" s="961"/>
      <c r="G57" s="52">
        <f t="shared" si="14"/>
        <v>1</v>
      </c>
      <c r="H57" s="961"/>
      <c r="I57" s="52">
        <f t="shared" si="15"/>
        <v>1</v>
      </c>
      <c r="J57" s="961"/>
      <c r="K57" s="52">
        <f t="shared" si="16"/>
        <v>1</v>
      </c>
      <c r="L57" s="961"/>
      <c r="M57" s="52">
        <f t="shared" si="17"/>
        <v>1</v>
      </c>
      <c r="N57" s="961"/>
      <c r="O57" s="52">
        <f t="shared" si="18"/>
        <v>1</v>
      </c>
      <c r="P57" s="961"/>
      <c r="Q57" s="52">
        <f t="shared" si="19"/>
        <v>1</v>
      </c>
      <c r="R57" s="489">
        <f t="shared" si="20"/>
        <v>0</v>
      </c>
      <c r="S57" s="798">
        <f t="shared" si="21"/>
        <v>0</v>
      </c>
    </row>
    <row r="58" spans="1:19">
      <c r="A58" s="963"/>
      <c r="B58" s="136"/>
      <c r="C58" s="52">
        <f t="shared" si="12"/>
        <v>1</v>
      </c>
      <c r="D58" s="961"/>
      <c r="E58" s="52">
        <f t="shared" si="13"/>
        <v>1</v>
      </c>
      <c r="F58" s="961"/>
      <c r="G58" s="52">
        <f t="shared" si="14"/>
        <v>1</v>
      </c>
      <c r="H58" s="961"/>
      <c r="I58" s="52">
        <f t="shared" si="15"/>
        <v>1</v>
      </c>
      <c r="J58" s="961"/>
      <c r="K58" s="52">
        <f t="shared" si="16"/>
        <v>1</v>
      </c>
      <c r="L58" s="961"/>
      <c r="M58" s="52">
        <f t="shared" si="17"/>
        <v>1</v>
      </c>
      <c r="N58" s="961"/>
      <c r="O58" s="52">
        <f t="shared" si="18"/>
        <v>1</v>
      </c>
      <c r="P58" s="961"/>
      <c r="Q58" s="52">
        <f t="shared" si="19"/>
        <v>1</v>
      </c>
      <c r="R58" s="489">
        <f t="shared" si="20"/>
        <v>0</v>
      </c>
      <c r="S58" s="798">
        <f t="shared" si="21"/>
        <v>0</v>
      </c>
    </row>
    <row r="59" spans="1:19">
      <c r="A59" s="963"/>
      <c r="B59" s="136"/>
      <c r="C59" s="52">
        <f t="shared" si="12"/>
        <v>1</v>
      </c>
      <c r="D59" s="961"/>
      <c r="E59" s="52">
        <f t="shared" si="13"/>
        <v>1</v>
      </c>
      <c r="F59" s="961"/>
      <c r="G59" s="52">
        <f t="shared" si="14"/>
        <v>1</v>
      </c>
      <c r="H59" s="961"/>
      <c r="I59" s="52">
        <f t="shared" si="15"/>
        <v>1</v>
      </c>
      <c r="J59" s="961"/>
      <c r="K59" s="52">
        <f t="shared" si="16"/>
        <v>1</v>
      </c>
      <c r="L59" s="961"/>
      <c r="M59" s="52">
        <f t="shared" si="17"/>
        <v>1</v>
      </c>
      <c r="N59" s="961"/>
      <c r="O59" s="52">
        <f t="shared" si="18"/>
        <v>1</v>
      </c>
      <c r="P59" s="961"/>
      <c r="Q59" s="52">
        <f t="shared" si="19"/>
        <v>1</v>
      </c>
      <c r="R59" s="489">
        <f t="shared" si="20"/>
        <v>0</v>
      </c>
      <c r="S59" s="798">
        <f t="shared" si="21"/>
        <v>0</v>
      </c>
    </row>
    <row r="60" spans="1:19">
      <c r="A60" s="963"/>
      <c r="B60" s="136"/>
      <c r="C60" s="52">
        <f t="shared" si="12"/>
        <v>1</v>
      </c>
      <c r="D60" s="961"/>
      <c r="E60" s="52">
        <f t="shared" si="13"/>
        <v>1</v>
      </c>
      <c r="F60" s="961"/>
      <c r="G60" s="52">
        <f t="shared" si="14"/>
        <v>1</v>
      </c>
      <c r="H60" s="961"/>
      <c r="I60" s="52">
        <f t="shared" si="15"/>
        <v>1</v>
      </c>
      <c r="J60" s="961"/>
      <c r="K60" s="52">
        <f t="shared" si="16"/>
        <v>1</v>
      </c>
      <c r="L60" s="961"/>
      <c r="M60" s="52">
        <f t="shared" si="17"/>
        <v>1</v>
      </c>
      <c r="N60" s="961"/>
      <c r="O60" s="52">
        <f t="shared" si="18"/>
        <v>1</v>
      </c>
      <c r="P60" s="961"/>
      <c r="Q60" s="52">
        <f t="shared" si="19"/>
        <v>1</v>
      </c>
      <c r="R60" s="489">
        <f t="shared" si="20"/>
        <v>0</v>
      </c>
      <c r="S60" s="798">
        <f t="shared" si="21"/>
        <v>0</v>
      </c>
    </row>
    <row r="61" spans="1:19">
      <c r="A61" s="963"/>
      <c r="B61" s="136"/>
      <c r="C61" s="52">
        <f t="shared" si="12"/>
        <v>1</v>
      </c>
      <c r="D61" s="961"/>
      <c r="E61" s="52">
        <f t="shared" si="13"/>
        <v>1</v>
      </c>
      <c r="F61" s="961"/>
      <c r="G61" s="52">
        <f t="shared" si="14"/>
        <v>1</v>
      </c>
      <c r="H61" s="961"/>
      <c r="I61" s="52">
        <f t="shared" si="15"/>
        <v>1</v>
      </c>
      <c r="J61" s="961"/>
      <c r="K61" s="52">
        <f t="shared" si="16"/>
        <v>1</v>
      </c>
      <c r="L61" s="961"/>
      <c r="M61" s="52">
        <f t="shared" si="17"/>
        <v>1</v>
      </c>
      <c r="N61" s="961"/>
      <c r="O61" s="52">
        <f t="shared" si="18"/>
        <v>1</v>
      </c>
      <c r="P61" s="961"/>
      <c r="Q61" s="52">
        <f t="shared" si="19"/>
        <v>1</v>
      </c>
      <c r="R61" s="489">
        <f t="shared" si="20"/>
        <v>0</v>
      </c>
      <c r="S61" s="798">
        <f t="shared" si="21"/>
        <v>0</v>
      </c>
    </row>
    <row r="62" spans="1:19">
      <c r="A62" s="963"/>
      <c r="B62" s="136"/>
      <c r="C62" s="52">
        <f t="shared" si="12"/>
        <v>1</v>
      </c>
      <c r="D62" s="961"/>
      <c r="E62" s="52">
        <f t="shared" si="13"/>
        <v>1</v>
      </c>
      <c r="F62" s="961"/>
      <c r="G62" s="52">
        <f t="shared" si="14"/>
        <v>1</v>
      </c>
      <c r="H62" s="961"/>
      <c r="I62" s="52">
        <f t="shared" si="15"/>
        <v>1</v>
      </c>
      <c r="J62" s="961"/>
      <c r="K62" s="52">
        <f t="shared" si="16"/>
        <v>1</v>
      </c>
      <c r="L62" s="961"/>
      <c r="M62" s="52">
        <f t="shared" si="17"/>
        <v>1</v>
      </c>
      <c r="N62" s="961"/>
      <c r="O62" s="52">
        <f t="shared" si="18"/>
        <v>1</v>
      </c>
      <c r="P62" s="961"/>
      <c r="Q62" s="52">
        <f t="shared" si="19"/>
        <v>1</v>
      </c>
      <c r="R62" s="489">
        <f t="shared" si="20"/>
        <v>0</v>
      </c>
      <c r="S62" s="798">
        <f t="shared" si="21"/>
        <v>0</v>
      </c>
    </row>
    <row r="63" spans="1:19">
      <c r="A63" s="963"/>
      <c r="B63" s="136"/>
      <c r="C63" s="52">
        <f t="shared" si="12"/>
        <v>1</v>
      </c>
      <c r="D63" s="961"/>
      <c r="E63" s="52">
        <f t="shared" si="13"/>
        <v>1</v>
      </c>
      <c r="F63" s="961"/>
      <c r="G63" s="52">
        <f t="shared" si="14"/>
        <v>1</v>
      </c>
      <c r="H63" s="961"/>
      <c r="I63" s="52">
        <f t="shared" si="15"/>
        <v>1</v>
      </c>
      <c r="J63" s="961"/>
      <c r="K63" s="52">
        <f t="shared" si="16"/>
        <v>1</v>
      </c>
      <c r="L63" s="961"/>
      <c r="M63" s="52">
        <f t="shared" si="17"/>
        <v>1</v>
      </c>
      <c r="N63" s="961"/>
      <c r="O63" s="52">
        <f t="shared" si="18"/>
        <v>1</v>
      </c>
      <c r="P63" s="961"/>
      <c r="Q63" s="52">
        <f t="shared" si="19"/>
        <v>1</v>
      </c>
      <c r="R63" s="489">
        <f t="shared" si="20"/>
        <v>0</v>
      </c>
      <c r="S63" s="798">
        <f t="shared" si="21"/>
        <v>0</v>
      </c>
    </row>
    <row r="64" spans="1:19">
      <c r="A64" s="963"/>
      <c r="B64" s="136"/>
      <c r="C64" s="52">
        <f t="shared" si="12"/>
        <v>1</v>
      </c>
      <c r="D64" s="961"/>
      <c r="E64" s="52">
        <f t="shared" si="13"/>
        <v>1</v>
      </c>
      <c r="F64" s="961"/>
      <c r="G64" s="52">
        <f t="shared" si="14"/>
        <v>1</v>
      </c>
      <c r="H64" s="961"/>
      <c r="I64" s="52">
        <f t="shared" si="15"/>
        <v>1</v>
      </c>
      <c r="J64" s="961"/>
      <c r="K64" s="52">
        <f t="shared" si="16"/>
        <v>1</v>
      </c>
      <c r="L64" s="961"/>
      <c r="M64" s="52">
        <f t="shared" si="17"/>
        <v>1</v>
      </c>
      <c r="N64" s="961"/>
      <c r="O64" s="52">
        <f t="shared" si="18"/>
        <v>1</v>
      </c>
      <c r="P64" s="961"/>
      <c r="Q64" s="52">
        <f t="shared" si="19"/>
        <v>1</v>
      </c>
      <c r="R64" s="489">
        <f t="shared" si="20"/>
        <v>0</v>
      </c>
      <c r="S64" s="798">
        <f t="shared" si="21"/>
        <v>0</v>
      </c>
    </row>
    <row r="65" spans="1:19">
      <c r="A65" s="963"/>
      <c r="B65" s="136"/>
      <c r="C65" s="52">
        <f t="shared" si="12"/>
        <v>1</v>
      </c>
      <c r="D65" s="961"/>
      <c r="E65" s="52">
        <f t="shared" si="13"/>
        <v>1</v>
      </c>
      <c r="F65" s="961"/>
      <c r="G65" s="52">
        <f t="shared" si="14"/>
        <v>1</v>
      </c>
      <c r="H65" s="961"/>
      <c r="I65" s="52">
        <f t="shared" si="15"/>
        <v>1</v>
      </c>
      <c r="J65" s="961"/>
      <c r="K65" s="52">
        <f t="shared" si="16"/>
        <v>1</v>
      </c>
      <c r="L65" s="961"/>
      <c r="M65" s="52">
        <f t="shared" si="17"/>
        <v>1</v>
      </c>
      <c r="N65" s="961"/>
      <c r="O65" s="52">
        <f t="shared" si="18"/>
        <v>1</v>
      </c>
      <c r="P65" s="961"/>
      <c r="Q65" s="52">
        <f t="shared" si="19"/>
        <v>1</v>
      </c>
      <c r="R65" s="489">
        <f t="shared" si="20"/>
        <v>0</v>
      </c>
      <c r="S65" s="798">
        <f t="shared" si="21"/>
        <v>0</v>
      </c>
    </row>
    <row r="66" spans="1:19">
      <c r="A66" s="963"/>
      <c r="B66" s="136"/>
      <c r="C66" s="52">
        <f t="shared" si="12"/>
        <v>1</v>
      </c>
      <c r="D66" s="961"/>
      <c r="E66" s="52">
        <f t="shared" si="13"/>
        <v>1</v>
      </c>
      <c r="F66" s="961"/>
      <c r="G66" s="52">
        <f t="shared" si="14"/>
        <v>1</v>
      </c>
      <c r="H66" s="961"/>
      <c r="I66" s="52">
        <f t="shared" si="15"/>
        <v>1</v>
      </c>
      <c r="J66" s="961"/>
      <c r="K66" s="52">
        <f t="shared" si="16"/>
        <v>1</v>
      </c>
      <c r="L66" s="961"/>
      <c r="M66" s="52">
        <f t="shared" si="17"/>
        <v>1</v>
      </c>
      <c r="N66" s="961"/>
      <c r="O66" s="52">
        <f t="shared" si="18"/>
        <v>1</v>
      </c>
      <c r="P66" s="961"/>
      <c r="Q66" s="52">
        <f t="shared" si="19"/>
        <v>1</v>
      </c>
      <c r="R66" s="489">
        <f t="shared" si="20"/>
        <v>0</v>
      </c>
      <c r="S66" s="798">
        <f t="shared" si="21"/>
        <v>0</v>
      </c>
    </row>
    <row r="67" spans="1:19">
      <c r="A67" s="963"/>
      <c r="B67" s="136"/>
      <c r="C67" s="52">
        <f t="shared" si="12"/>
        <v>1</v>
      </c>
      <c r="D67" s="961"/>
      <c r="E67" s="52">
        <f t="shared" si="13"/>
        <v>1</v>
      </c>
      <c r="F67" s="961"/>
      <c r="G67" s="52">
        <f t="shared" si="14"/>
        <v>1</v>
      </c>
      <c r="H67" s="961"/>
      <c r="I67" s="52">
        <f t="shared" si="15"/>
        <v>1</v>
      </c>
      <c r="J67" s="961"/>
      <c r="K67" s="52">
        <f t="shared" si="16"/>
        <v>1</v>
      </c>
      <c r="L67" s="961"/>
      <c r="M67" s="52">
        <f t="shared" si="17"/>
        <v>1</v>
      </c>
      <c r="N67" s="961"/>
      <c r="O67" s="52">
        <f t="shared" si="18"/>
        <v>1</v>
      </c>
      <c r="P67" s="961"/>
      <c r="Q67" s="52">
        <f t="shared" si="19"/>
        <v>1</v>
      </c>
      <c r="R67" s="489">
        <f t="shared" si="20"/>
        <v>0</v>
      </c>
      <c r="S67" s="798">
        <f t="shared" si="21"/>
        <v>0</v>
      </c>
    </row>
    <row r="68" spans="1:19">
      <c r="A68" s="963"/>
      <c r="B68" s="136"/>
      <c r="C68" s="52">
        <f t="shared" si="12"/>
        <v>1</v>
      </c>
      <c r="D68" s="961"/>
      <c r="E68" s="52">
        <f t="shared" si="13"/>
        <v>1</v>
      </c>
      <c r="F68" s="961"/>
      <c r="G68" s="52">
        <f t="shared" si="14"/>
        <v>1</v>
      </c>
      <c r="H68" s="961"/>
      <c r="I68" s="52">
        <f t="shared" si="15"/>
        <v>1</v>
      </c>
      <c r="J68" s="961"/>
      <c r="K68" s="52">
        <f t="shared" si="16"/>
        <v>1</v>
      </c>
      <c r="L68" s="961"/>
      <c r="M68" s="52">
        <f t="shared" si="17"/>
        <v>1</v>
      </c>
      <c r="N68" s="961"/>
      <c r="O68" s="52">
        <f t="shared" si="18"/>
        <v>1</v>
      </c>
      <c r="P68" s="961"/>
      <c r="Q68" s="52">
        <f t="shared" si="19"/>
        <v>1</v>
      </c>
      <c r="R68" s="489">
        <f t="shared" si="20"/>
        <v>0</v>
      </c>
      <c r="S68" s="798">
        <f t="shared" si="21"/>
        <v>0</v>
      </c>
    </row>
    <row r="69" spans="1:19">
      <c r="A69" s="963"/>
      <c r="B69" s="136"/>
      <c r="C69" s="52">
        <f t="shared" si="12"/>
        <v>1</v>
      </c>
      <c r="D69" s="961"/>
      <c r="E69" s="52">
        <f t="shared" si="13"/>
        <v>1</v>
      </c>
      <c r="F69" s="961"/>
      <c r="G69" s="52">
        <f t="shared" si="14"/>
        <v>1</v>
      </c>
      <c r="H69" s="961"/>
      <c r="I69" s="52">
        <f t="shared" si="15"/>
        <v>1</v>
      </c>
      <c r="J69" s="961"/>
      <c r="K69" s="52">
        <f t="shared" si="16"/>
        <v>1</v>
      </c>
      <c r="L69" s="961"/>
      <c r="M69" s="52">
        <f t="shared" si="17"/>
        <v>1</v>
      </c>
      <c r="N69" s="961"/>
      <c r="O69" s="52">
        <f t="shared" si="18"/>
        <v>1</v>
      </c>
      <c r="P69" s="961"/>
      <c r="Q69" s="52">
        <f t="shared" si="19"/>
        <v>1</v>
      </c>
      <c r="R69" s="489">
        <f t="shared" si="20"/>
        <v>0</v>
      </c>
      <c r="S69" s="798">
        <f t="shared" si="21"/>
        <v>0</v>
      </c>
    </row>
    <row r="70" spans="1:19">
      <c r="A70" s="963"/>
      <c r="B70" s="136"/>
      <c r="C70" s="52">
        <f t="shared" si="12"/>
        <v>1</v>
      </c>
      <c r="D70" s="961"/>
      <c r="E70" s="52">
        <f t="shared" si="13"/>
        <v>1</v>
      </c>
      <c r="F70" s="961"/>
      <c r="G70" s="52">
        <f t="shared" si="14"/>
        <v>1</v>
      </c>
      <c r="H70" s="961"/>
      <c r="I70" s="52">
        <f t="shared" si="15"/>
        <v>1</v>
      </c>
      <c r="J70" s="961"/>
      <c r="K70" s="52">
        <f t="shared" si="16"/>
        <v>1</v>
      </c>
      <c r="L70" s="961"/>
      <c r="M70" s="52">
        <f t="shared" si="17"/>
        <v>1</v>
      </c>
      <c r="N70" s="961"/>
      <c r="O70" s="52">
        <f t="shared" si="18"/>
        <v>1</v>
      </c>
      <c r="P70" s="961"/>
      <c r="Q70" s="52">
        <f t="shared" si="19"/>
        <v>1</v>
      </c>
      <c r="R70" s="489">
        <f t="shared" si="20"/>
        <v>0</v>
      </c>
      <c r="S70" s="798">
        <f t="shared" si="21"/>
        <v>0</v>
      </c>
    </row>
    <row r="71" spans="1:19">
      <c r="A71" s="963"/>
      <c r="B71" s="136"/>
      <c r="C71" s="52">
        <f t="shared" si="12"/>
        <v>1</v>
      </c>
      <c r="D71" s="961"/>
      <c r="E71" s="52">
        <f t="shared" si="13"/>
        <v>1</v>
      </c>
      <c r="F71" s="961"/>
      <c r="G71" s="52">
        <f t="shared" si="14"/>
        <v>1</v>
      </c>
      <c r="H71" s="961"/>
      <c r="I71" s="52">
        <f t="shared" si="15"/>
        <v>1</v>
      </c>
      <c r="J71" s="961"/>
      <c r="K71" s="52">
        <f t="shared" si="16"/>
        <v>1</v>
      </c>
      <c r="L71" s="961"/>
      <c r="M71" s="52">
        <f t="shared" si="17"/>
        <v>1</v>
      </c>
      <c r="N71" s="961"/>
      <c r="O71" s="52">
        <f t="shared" si="18"/>
        <v>1</v>
      </c>
      <c r="P71" s="961"/>
      <c r="Q71" s="52">
        <f t="shared" si="19"/>
        <v>1</v>
      </c>
      <c r="R71" s="489">
        <f t="shared" si="20"/>
        <v>0</v>
      </c>
      <c r="S71" s="798">
        <f t="shared" si="21"/>
        <v>0</v>
      </c>
    </row>
    <row r="72" spans="1:19">
      <c r="A72" s="963"/>
      <c r="B72" s="136"/>
      <c r="C72" s="52">
        <f t="shared" si="12"/>
        <v>1</v>
      </c>
      <c r="D72" s="961"/>
      <c r="E72" s="52">
        <f t="shared" si="13"/>
        <v>1</v>
      </c>
      <c r="F72" s="961"/>
      <c r="G72" s="52">
        <f t="shared" si="14"/>
        <v>1</v>
      </c>
      <c r="H72" s="961"/>
      <c r="I72" s="52">
        <f t="shared" si="15"/>
        <v>1</v>
      </c>
      <c r="J72" s="961"/>
      <c r="K72" s="52">
        <f t="shared" si="16"/>
        <v>1</v>
      </c>
      <c r="L72" s="961"/>
      <c r="M72" s="52">
        <f t="shared" si="17"/>
        <v>1</v>
      </c>
      <c r="N72" s="961"/>
      <c r="O72" s="52">
        <f t="shared" si="18"/>
        <v>1</v>
      </c>
      <c r="P72" s="961"/>
      <c r="Q72" s="52">
        <f t="shared" si="19"/>
        <v>1</v>
      </c>
      <c r="R72" s="489">
        <f t="shared" si="20"/>
        <v>0</v>
      </c>
      <c r="S72" s="798">
        <f t="shared" si="21"/>
        <v>0</v>
      </c>
    </row>
    <row r="73" spans="1:19">
      <c r="A73" s="963"/>
      <c r="B73" s="136"/>
      <c r="C73" s="52">
        <f t="shared" si="12"/>
        <v>1</v>
      </c>
      <c r="D73" s="961"/>
      <c r="E73" s="52">
        <f t="shared" si="13"/>
        <v>1</v>
      </c>
      <c r="F73" s="961"/>
      <c r="G73" s="52">
        <f t="shared" si="14"/>
        <v>1</v>
      </c>
      <c r="H73" s="961"/>
      <c r="I73" s="52">
        <f t="shared" si="15"/>
        <v>1</v>
      </c>
      <c r="J73" s="961"/>
      <c r="K73" s="52">
        <f t="shared" si="16"/>
        <v>1</v>
      </c>
      <c r="L73" s="961"/>
      <c r="M73" s="52">
        <f t="shared" si="17"/>
        <v>1</v>
      </c>
      <c r="N73" s="961"/>
      <c r="O73" s="52">
        <f t="shared" si="18"/>
        <v>1</v>
      </c>
      <c r="P73" s="961"/>
      <c r="Q73" s="52">
        <f t="shared" si="19"/>
        <v>1</v>
      </c>
      <c r="R73" s="489">
        <f t="shared" si="20"/>
        <v>0</v>
      </c>
      <c r="S73" s="798">
        <f t="shared" si="21"/>
        <v>0</v>
      </c>
    </row>
    <row r="74" spans="1:19">
      <c r="A74" s="963"/>
      <c r="B74" s="136"/>
      <c r="C74" s="52">
        <f t="shared" si="12"/>
        <v>1</v>
      </c>
      <c r="D74" s="961"/>
      <c r="E74" s="52">
        <f t="shared" si="13"/>
        <v>1</v>
      </c>
      <c r="F74" s="961"/>
      <c r="G74" s="52">
        <f t="shared" si="14"/>
        <v>1</v>
      </c>
      <c r="H74" s="961"/>
      <c r="I74" s="52">
        <f t="shared" si="15"/>
        <v>1</v>
      </c>
      <c r="J74" s="961"/>
      <c r="K74" s="52">
        <f t="shared" si="16"/>
        <v>1</v>
      </c>
      <c r="L74" s="961"/>
      <c r="M74" s="52">
        <f t="shared" si="17"/>
        <v>1</v>
      </c>
      <c r="N74" s="961"/>
      <c r="O74" s="52">
        <f t="shared" si="18"/>
        <v>1</v>
      </c>
      <c r="P74" s="961"/>
      <c r="Q74" s="52">
        <f t="shared" si="19"/>
        <v>1</v>
      </c>
      <c r="R74" s="489">
        <f t="shared" si="20"/>
        <v>0</v>
      </c>
      <c r="S74" s="798">
        <f t="shared" si="21"/>
        <v>0</v>
      </c>
    </row>
    <row r="75" spans="1:19">
      <c r="A75" s="963"/>
      <c r="B75" s="136"/>
      <c r="C75" s="52">
        <f t="shared" si="12"/>
        <v>1</v>
      </c>
      <c r="D75" s="961"/>
      <c r="E75" s="52">
        <f t="shared" si="13"/>
        <v>1</v>
      </c>
      <c r="F75" s="961"/>
      <c r="G75" s="52">
        <f t="shared" si="14"/>
        <v>1</v>
      </c>
      <c r="H75" s="961"/>
      <c r="I75" s="52">
        <f t="shared" si="15"/>
        <v>1</v>
      </c>
      <c r="J75" s="961"/>
      <c r="K75" s="52">
        <f t="shared" si="16"/>
        <v>1</v>
      </c>
      <c r="L75" s="961"/>
      <c r="M75" s="52">
        <f t="shared" si="17"/>
        <v>1</v>
      </c>
      <c r="N75" s="961"/>
      <c r="O75" s="52">
        <f t="shared" si="18"/>
        <v>1</v>
      </c>
      <c r="P75" s="961"/>
      <c r="Q75" s="52">
        <f t="shared" si="19"/>
        <v>1</v>
      </c>
      <c r="R75" s="489">
        <f t="shared" si="20"/>
        <v>0</v>
      </c>
      <c r="S75" s="798">
        <f t="shared" si="21"/>
        <v>0</v>
      </c>
    </row>
    <row r="76" spans="1:19">
      <c r="A76" s="963"/>
      <c r="B76" s="136"/>
      <c r="C76" s="52">
        <f t="shared" si="12"/>
        <v>1</v>
      </c>
      <c r="D76" s="961"/>
      <c r="E76" s="52">
        <f t="shared" si="13"/>
        <v>1</v>
      </c>
      <c r="F76" s="961"/>
      <c r="G76" s="52">
        <f t="shared" si="14"/>
        <v>1</v>
      </c>
      <c r="H76" s="961"/>
      <c r="I76" s="52">
        <f t="shared" si="15"/>
        <v>1</v>
      </c>
      <c r="J76" s="961"/>
      <c r="K76" s="52">
        <f t="shared" si="16"/>
        <v>1</v>
      </c>
      <c r="L76" s="961"/>
      <c r="M76" s="52">
        <f t="shared" si="17"/>
        <v>1</v>
      </c>
      <c r="N76" s="961"/>
      <c r="O76" s="52">
        <f t="shared" si="18"/>
        <v>1</v>
      </c>
      <c r="P76" s="961"/>
      <c r="Q76" s="52">
        <f t="shared" si="19"/>
        <v>1</v>
      </c>
      <c r="R76" s="489">
        <f t="shared" si="20"/>
        <v>0</v>
      </c>
      <c r="S76" s="798">
        <f t="shared" si="21"/>
        <v>0</v>
      </c>
    </row>
    <row r="77" spans="1:19">
      <c r="A77" s="963"/>
      <c r="B77" s="136"/>
      <c r="C77" s="52">
        <f t="shared" si="12"/>
        <v>1</v>
      </c>
      <c r="D77" s="961"/>
      <c r="E77" s="52">
        <f t="shared" si="13"/>
        <v>1</v>
      </c>
      <c r="F77" s="961"/>
      <c r="G77" s="52">
        <f t="shared" si="14"/>
        <v>1</v>
      </c>
      <c r="H77" s="961"/>
      <c r="I77" s="52">
        <f t="shared" si="15"/>
        <v>1</v>
      </c>
      <c r="J77" s="961"/>
      <c r="K77" s="52">
        <f t="shared" si="16"/>
        <v>1</v>
      </c>
      <c r="L77" s="961"/>
      <c r="M77" s="52">
        <f t="shared" si="17"/>
        <v>1</v>
      </c>
      <c r="N77" s="961"/>
      <c r="O77" s="52">
        <f t="shared" si="18"/>
        <v>1</v>
      </c>
      <c r="P77" s="961"/>
      <c r="Q77" s="52">
        <f t="shared" si="19"/>
        <v>1</v>
      </c>
      <c r="R77" s="489">
        <f t="shared" si="20"/>
        <v>0</v>
      </c>
      <c r="S77" s="798">
        <f t="shared" si="21"/>
        <v>0</v>
      </c>
    </row>
    <row r="78" spans="1:19">
      <c r="A78" s="963"/>
      <c r="B78" s="136"/>
      <c r="C78" s="52">
        <f t="shared" si="12"/>
        <v>1</v>
      </c>
      <c r="D78" s="961"/>
      <c r="E78" s="52">
        <f t="shared" si="13"/>
        <v>1</v>
      </c>
      <c r="F78" s="961"/>
      <c r="G78" s="52">
        <f t="shared" si="14"/>
        <v>1</v>
      </c>
      <c r="H78" s="961"/>
      <c r="I78" s="52">
        <f t="shared" si="15"/>
        <v>1</v>
      </c>
      <c r="J78" s="961"/>
      <c r="K78" s="52">
        <f t="shared" si="16"/>
        <v>1</v>
      </c>
      <c r="L78" s="961"/>
      <c r="M78" s="52">
        <f t="shared" si="17"/>
        <v>1</v>
      </c>
      <c r="N78" s="961"/>
      <c r="O78" s="52">
        <f t="shared" si="18"/>
        <v>1</v>
      </c>
      <c r="P78" s="961"/>
      <c r="Q78" s="52">
        <f t="shared" si="19"/>
        <v>1</v>
      </c>
      <c r="R78" s="489">
        <f t="shared" si="20"/>
        <v>0</v>
      </c>
      <c r="S78" s="798">
        <f t="shared" ref="S78:S122" si="22">ROUND(R78*B78/10000,0)</f>
        <v>0</v>
      </c>
    </row>
    <row r="79" spans="1:19">
      <c r="A79" s="963"/>
      <c r="B79" s="136"/>
      <c r="C79" s="52">
        <f t="shared" si="12"/>
        <v>1</v>
      </c>
      <c r="D79" s="961"/>
      <c r="E79" s="52">
        <f t="shared" si="13"/>
        <v>1</v>
      </c>
      <c r="F79" s="961"/>
      <c r="G79" s="52">
        <f t="shared" si="14"/>
        <v>1</v>
      </c>
      <c r="H79" s="961"/>
      <c r="I79" s="52">
        <f t="shared" si="15"/>
        <v>1</v>
      </c>
      <c r="J79" s="961"/>
      <c r="K79" s="52">
        <f t="shared" si="16"/>
        <v>1</v>
      </c>
      <c r="L79" s="961"/>
      <c r="M79" s="52">
        <f t="shared" si="17"/>
        <v>1</v>
      </c>
      <c r="N79" s="961"/>
      <c r="O79" s="52">
        <f t="shared" si="18"/>
        <v>1</v>
      </c>
      <c r="P79" s="961"/>
      <c r="Q79" s="52">
        <f t="shared" si="19"/>
        <v>1</v>
      </c>
      <c r="R79" s="489">
        <f t="shared" si="20"/>
        <v>0</v>
      </c>
      <c r="S79" s="798">
        <f t="shared" si="22"/>
        <v>0</v>
      </c>
    </row>
    <row r="80" spans="1:19">
      <c r="A80" s="963"/>
      <c r="B80" s="136"/>
      <c r="C80" s="52">
        <f t="shared" si="12"/>
        <v>1</v>
      </c>
      <c r="D80" s="961"/>
      <c r="E80" s="52">
        <f t="shared" si="13"/>
        <v>1</v>
      </c>
      <c r="F80" s="961"/>
      <c r="G80" s="52">
        <f t="shared" si="14"/>
        <v>1</v>
      </c>
      <c r="H80" s="961"/>
      <c r="I80" s="52">
        <f t="shared" si="15"/>
        <v>1</v>
      </c>
      <c r="J80" s="961"/>
      <c r="K80" s="52">
        <f t="shared" si="16"/>
        <v>1</v>
      </c>
      <c r="L80" s="961"/>
      <c r="M80" s="52">
        <f t="shared" si="17"/>
        <v>1</v>
      </c>
      <c r="N80" s="961"/>
      <c r="O80" s="52">
        <f t="shared" si="18"/>
        <v>1</v>
      </c>
      <c r="P80" s="961"/>
      <c r="Q80" s="52">
        <f t="shared" si="19"/>
        <v>1</v>
      </c>
      <c r="R80" s="489">
        <f t="shared" si="20"/>
        <v>0</v>
      </c>
      <c r="S80" s="798">
        <f t="shared" si="22"/>
        <v>0</v>
      </c>
    </row>
    <row r="81" spans="1:19">
      <c r="A81" s="963"/>
      <c r="B81" s="136"/>
      <c r="C81" s="52">
        <f t="shared" si="12"/>
        <v>1</v>
      </c>
      <c r="D81" s="961"/>
      <c r="E81" s="52">
        <f t="shared" si="13"/>
        <v>1</v>
      </c>
      <c r="F81" s="961"/>
      <c r="G81" s="52">
        <f t="shared" si="14"/>
        <v>1</v>
      </c>
      <c r="H81" s="961"/>
      <c r="I81" s="52">
        <f t="shared" si="15"/>
        <v>1</v>
      </c>
      <c r="J81" s="961"/>
      <c r="K81" s="52">
        <f t="shared" si="16"/>
        <v>1</v>
      </c>
      <c r="L81" s="961"/>
      <c r="M81" s="52">
        <f t="shared" si="17"/>
        <v>1</v>
      </c>
      <c r="N81" s="961"/>
      <c r="O81" s="52">
        <f t="shared" si="18"/>
        <v>1</v>
      </c>
      <c r="P81" s="961"/>
      <c r="Q81" s="52">
        <f t="shared" si="19"/>
        <v>1</v>
      </c>
      <c r="R81" s="489">
        <f t="shared" si="20"/>
        <v>0</v>
      </c>
      <c r="S81" s="798">
        <f t="shared" si="22"/>
        <v>0</v>
      </c>
    </row>
    <row r="82" spans="1:19">
      <c r="A82" s="963"/>
      <c r="B82" s="136"/>
      <c r="C82" s="52">
        <f t="shared" si="12"/>
        <v>1</v>
      </c>
      <c r="D82" s="961"/>
      <c r="E82" s="52">
        <f t="shared" si="13"/>
        <v>1</v>
      </c>
      <c r="F82" s="961"/>
      <c r="G82" s="52">
        <f t="shared" si="14"/>
        <v>1</v>
      </c>
      <c r="H82" s="961"/>
      <c r="I82" s="52">
        <f t="shared" si="15"/>
        <v>1</v>
      </c>
      <c r="J82" s="961"/>
      <c r="K82" s="52">
        <f t="shared" si="16"/>
        <v>1</v>
      </c>
      <c r="L82" s="961"/>
      <c r="M82" s="52">
        <f t="shared" si="17"/>
        <v>1</v>
      </c>
      <c r="N82" s="961"/>
      <c r="O82" s="52">
        <f t="shared" si="18"/>
        <v>1</v>
      </c>
      <c r="P82" s="961"/>
      <c r="Q82" s="52">
        <f t="shared" si="19"/>
        <v>1</v>
      </c>
      <c r="R82" s="489">
        <f t="shared" si="20"/>
        <v>0</v>
      </c>
      <c r="S82" s="798">
        <f t="shared" si="22"/>
        <v>0</v>
      </c>
    </row>
    <row r="83" spans="1:19">
      <c r="A83" s="963"/>
      <c r="B83" s="136"/>
      <c r="C83" s="52">
        <f t="shared" si="12"/>
        <v>1</v>
      </c>
      <c r="D83" s="961"/>
      <c r="E83" s="52">
        <f t="shared" si="13"/>
        <v>1</v>
      </c>
      <c r="F83" s="961"/>
      <c r="G83" s="52">
        <f t="shared" si="14"/>
        <v>1</v>
      </c>
      <c r="H83" s="961"/>
      <c r="I83" s="52">
        <f t="shared" si="15"/>
        <v>1</v>
      </c>
      <c r="J83" s="961"/>
      <c r="K83" s="52">
        <f t="shared" si="16"/>
        <v>1</v>
      </c>
      <c r="L83" s="961"/>
      <c r="M83" s="52">
        <f t="shared" si="17"/>
        <v>1</v>
      </c>
      <c r="N83" s="961"/>
      <c r="O83" s="52">
        <f t="shared" si="18"/>
        <v>1</v>
      </c>
      <c r="P83" s="961"/>
      <c r="Q83" s="52">
        <f t="shared" si="19"/>
        <v>1</v>
      </c>
      <c r="R83" s="489">
        <f t="shared" si="20"/>
        <v>0</v>
      </c>
      <c r="S83" s="798">
        <f t="shared" si="22"/>
        <v>0</v>
      </c>
    </row>
    <row r="84" spans="1:19">
      <c r="A84" s="963"/>
      <c r="B84" s="136"/>
      <c r="C84" s="52">
        <f t="shared" si="12"/>
        <v>1</v>
      </c>
      <c r="D84" s="961"/>
      <c r="E84" s="52">
        <f t="shared" si="13"/>
        <v>1</v>
      </c>
      <c r="F84" s="961"/>
      <c r="G84" s="52">
        <f t="shared" si="14"/>
        <v>1</v>
      </c>
      <c r="H84" s="961"/>
      <c r="I84" s="52">
        <f t="shared" si="15"/>
        <v>1</v>
      </c>
      <c r="J84" s="961"/>
      <c r="K84" s="52">
        <f t="shared" si="16"/>
        <v>1</v>
      </c>
      <c r="L84" s="961"/>
      <c r="M84" s="52">
        <f t="shared" si="17"/>
        <v>1</v>
      </c>
      <c r="N84" s="961"/>
      <c r="O84" s="52">
        <f t="shared" si="18"/>
        <v>1</v>
      </c>
      <c r="P84" s="961"/>
      <c r="Q84" s="52">
        <f t="shared" si="19"/>
        <v>1</v>
      </c>
      <c r="R84" s="489">
        <f t="shared" si="20"/>
        <v>0</v>
      </c>
      <c r="S84" s="798">
        <f t="shared" si="22"/>
        <v>0</v>
      </c>
    </row>
    <row r="85" spans="1:19">
      <c r="A85" s="963"/>
      <c r="B85" s="136"/>
      <c r="C85" s="52">
        <f t="shared" si="12"/>
        <v>1</v>
      </c>
      <c r="D85" s="961"/>
      <c r="E85" s="52">
        <f t="shared" si="13"/>
        <v>1</v>
      </c>
      <c r="F85" s="961"/>
      <c r="G85" s="52">
        <f t="shared" si="14"/>
        <v>1</v>
      </c>
      <c r="H85" s="961"/>
      <c r="I85" s="52">
        <f t="shared" si="15"/>
        <v>1</v>
      </c>
      <c r="J85" s="961"/>
      <c r="K85" s="52">
        <f t="shared" si="16"/>
        <v>1</v>
      </c>
      <c r="L85" s="961"/>
      <c r="M85" s="52">
        <f t="shared" si="17"/>
        <v>1</v>
      </c>
      <c r="N85" s="961"/>
      <c r="O85" s="52">
        <f t="shared" si="18"/>
        <v>1</v>
      </c>
      <c r="P85" s="961"/>
      <c r="Q85" s="52">
        <f t="shared" si="19"/>
        <v>1</v>
      </c>
      <c r="R85" s="489">
        <f t="shared" si="20"/>
        <v>0</v>
      </c>
      <c r="S85" s="798">
        <f t="shared" si="22"/>
        <v>0</v>
      </c>
    </row>
    <row r="86" spans="1:19">
      <c r="A86" s="963"/>
      <c r="B86" s="136"/>
      <c r="C86" s="52">
        <f t="shared" si="12"/>
        <v>1</v>
      </c>
      <c r="D86" s="961"/>
      <c r="E86" s="52">
        <f t="shared" si="13"/>
        <v>1</v>
      </c>
      <c r="F86" s="961"/>
      <c r="G86" s="52">
        <f t="shared" si="14"/>
        <v>1</v>
      </c>
      <c r="H86" s="961"/>
      <c r="I86" s="52">
        <f t="shared" si="15"/>
        <v>1</v>
      </c>
      <c r="J86" s="961"/>
      <c r="K86" s="52">
        <f t="shared" si="16"/>
        <v>1</v>
      </c>
      <c r="L86" s="961"/>
      <c r="M86" s="52">
        <f t="shared" si="17"/>
        <v>1</v>
      </c>
      <c r="N86" s="961"/>
      <c r="O86" s="52">
        <f t="shared" si="18"/>
        <v>1</v>
      </c>
      <c r="P86" s="961"/>
      <c r="Q86" s="52">
        <f t="shared" si="19"/>
        <v>1</v>
      </c>
      <c r="R86" s="489">
        <f t="shared" si="20"/>
        <v>0</v>
      </c>
      <c r="S86" s="798">
        <f t="shared" si="22"/>
        <v>0</v>
      </c>
    </row>
    <row r="87" spans="1:19">
      <c r="A87" s="963"/>
      <c r="B87" s="136"/>
      <c r="C87" s="52">
        <f t="shared" si="12"/>
        <v>1</v>
      </c>
      <c r="D87" s="961"/>
      <c r="E87" s="52">
        <f t="shared" si="13"/>
        <v>1</v>
      </c>
      <c r="F87" s="961"/>
      <c r="G87" s="52">
        <f t="shared" si="14"/>
        <v>1</v>
      </c>
      <c r="H87" s="961"/>
      <c r="I87" s="52">
        <f t="shared" si="15"/>
        <v>1</v>
      </c>
      <c r="J87" s="961"/>
      <c r="K87" s="52">
        <f t="shared" si="16"/>
        <v>1</v>
      </c>
      <c r="L87" s="961"/>
      <c r="M87" s="52">
        <f t="shared" si="17"/>
        <v>1</v>
      </c>
      <c r="N87" s="961"/>
      <c r="O87" s="52">
        <f t="shared" si="18"/>
        <v>1</v>
      </c>
      <c r="P87" s="961"/>
      <c r="Q87" s="52">
        <f t="shared" si="19"/>
        <v>1</v>
      </c>
      <c r="R87" s="489">
        <f t="shared" si="20"/>
        <v>0</v>
      </c>
      <c r="S87" s="798">
        <f t="shared" si="22"/>
        <v>0</v>
      </c>
    </row>
    <row r="88" spans="1:19">
      <c r="A88" s="963"/>
      <c r="B88" s="136"/>
      <c r="C88" s="52">
        <f t="shared" si="12"/>
        <v>1</v>
      </c>
      <c r="D88" s="961"/>
      <c r="E88" s="52">
        <f t="shared" si="13"/>
        <v>1</v>
      </c>
      <c r="F88" s="961"/>
      <c r="G88" s="52">
        <f t="shared" si="14"/>
        <v>1</v>
      </c>
      <c r="H88" s="961"/>
      <c r="I88" s="52">
        <f t="shared" si="15"/>
        <v>1</v>
      </c>
      <c r="J88" s="961"/>
      <c r="K88" s="52">
        <f t="shared" si="16"/>
        <v>1</v>
      </c>
      <c r="L88" s="961"/>
      <c r="M88" s="52">
        <f t="shared" si="17"/>
        <v>1</v>
      </c>
      <c r="N88" s="961"/>
      <c r="O88" s="52">
        <f t="shared" si="18"/>
        <v>1</v>
      </c>
      <c r="P88" s="961"/>
      <c r="Q88" s="52">
        <f t="shared" si="19"/>
        <v>1</v>
      </c>
      <c r="R88" s="489">
        <f t="shared" si="20"/>
        <v>0</v>
      </c>
      <c r="S88" s="798">
        <f t="shared" si="22"/>
        <v>0</v>
      </c>
    </row>
    <row r="89" spans="1:19">
      <c r="A89" s="963"/>
      <c r="B89" s="136"/>
      <c r="C89" s="52">
        <f t="shared" si="12"/>
        <v>1</v>
      </c>
      <c r="D89" s="961"/>
      <c r="E89" s="52">
        <f t="shared" si="13"/>
        <v>1</v>
      </c>
      <c r="F89" s="961"/>
      <c r="G89" s="52">
        <f t="shared" si="14"/>
        <v>1</v>
      </c>
      <c r="H89" s="961"/>
      <c r="I89" s="52">
        <f t="shared" si="15"/>
        <v>1</v>
      </c>
      <c r="J89" s="961"/>
      <c r="K89" s="52">
        <f t="shared" si="16"/>
        <v>1</v>
      </c>
      <c r="L89" s="961"/>
      <c r="M89" s="52">
        <f t="shared" si="17"/>
        <v>1</v>
      </c>
      <c r="N89" s="961"/>
      <c r="O89" s="52">
        <f t="shared" si="18"/>
        <v>1</v>
      </c>
      <c r="P89" s="961"/>
      <c r="Q89" s="52">
        <f t="shared" si="19"/>
        <v>1</v>
      </c>
      <c r="R89" s="489">
        <f t="shared" si="20"/>
        <v>0</v>
      </c>
      <c r="S89" s="798">
        <f t="shared" si="22"/>
        <v>0</v>
      </c>
    </row>
    <row r="90" spans="1:19">
      <c r="A90" s="963"/>
      <c r="B90" s="136"/>
      <c r="C90" s="52">
        <f t="shared" ref="C90:C153" si="23">IF(B90="",1,(LOOKUP(B90,$3:$3,$4:$4)-LOOKUP($B$24,$3:$3,$4:$4)+100)/100)</f>
        <v>1</v>
      </c>
      <c r="D90" s="961"/>
      <c r="E90" s="52">
        <f t="shared" ref="E90:E153" si="24">(SUMIF($5:$5,D90,$6:$6)-SUMIF($5:$5,$D$24,$6:$6)+100)/100</f>
        <v>1</v>
      </c>
      <c r="F90" s="961"/>
      <c r="G90" s="52">
        <f t="shared" ref="G90:G153" si="25">(SUMIF($7:$7,F90,$8:$8)-SUMIF($7:$7,$F$24,$8:$8)+100)/100</f>
        <v>1</v>
      </c>
      <c r="H90" s="961"/>
      <c r="I90" s="52">
        <f t="shared" ref="I90:I153" si="26">(SUMIF($9:$9,H90,$10:$10)-SUMIF($9:$9,$H$24,$10:$10)+100)/100</f>
        <v>1</v>
      </c>
      <c r="J90" s="961"/>
      <c r="K90" s="52">
        <f t="shared" ref="K90:K153" si="27">(SUMIF($11:$11,J90,$12:$12)-SUMIF($11:$11,$J$24,$12:$12)+100)/100</f>
        <v>1</v>
      </c>
      <c r="L90" s="961"/>
      <c r="M90" s="52">
        <f t="shared" ref="M90:M153" si="28">(SUMIF($13:$13,L90,$14:$14)-SUMIF($13:$13,$L$24,$14:$14)+100)/100</f>
        <v>1</v>
      </c>
      <c r="N90" s="961"/>
      <c r="O90" s="52">
        <f t="shared" ref="O90:O153" si="29">(SUMIF($15:$15,N90,$16:$16)-SUMIF($15:$15,$N$24,$16:$16)+100)/100</f>
        <v>1</v>
      </c>
      <c r="P90" s="961"/>
      <c r="Q90" s="52">
        <f t="shared" ref="Q90:Q153" si="30">(SUMIF($17:$17,P90,$18:$18)-SUMIF($17:$17,$P$24,$18:$18)+100)/100</f>
        <v>1</v>
      </c>
      <c r="R90" s="489">
        <f t="shared" ref="R90:R153" si="31">IF(B90="",0,ROUND($R$24*C90*E90*G90*I90*K90*M90*O90*Q90,0))</f>
        <v>0</v>
      </c>
      <c r="S90" s="798">
        <f t="shared" si="22"/>
        <v>0</v>
      </c>
    </row>
    <row r="91" spans="1:19">
      <c r="A91" s="963"/>
      <c r="B91" s="136"/>
      <c r="C91" s="52">
        <f t="shared" si="23"/>
        <v>1</v>
      </c>
      <c r="D91" s="961"/>
      <c r="E91" s="52">
        <f t="shared" si="24"/>
        <v>1</v>
      </c>
      <c r="F91" s="961"/>
      <c r="G91" s="52">
        <f t="shared" si="25"/>
        <v>1</v>
      </c>
      <c r="H91" s="961"/>
      <c r="I91" s="52">
        <f t="shared" si="26"/>
        <v>1</v>
      </c>
      <c r="J91" s="961"/>
      <c r="K91" s="52">
        <f t="shared" si="27"/>
        <v>1</v>
      </c>
      <c r="L91" s="961"/>
      <c r="M91" s="52">
        <f t="shared" si="28"/>
        <v>1</v>
      </c>
      <c r="N91" s="961"/>
      <c r="O91" s="52">
        <f t="shared" si="29"/>
        <v>1</v>
      </c>
      <c r="P91" s="961"/>
      <c r="Q91" s="52">
        <f t="shared" si="30"/>
        <v>1</v>
      </c>
      <c r="R91" s="489">
        <f t="shared" si="31"/>
        <v>0</v>
      </c>
      <c r="S91" s="798">
        <f t="shared" si="22"/>
        <v>0</v>
      </c>
    </row>
    <row r="92" spans="1:19">
      <c r="A92" s="963"/>
      <c r="B92" s="136"/>
      <c r="C92" s="52">
        <f t="shared" si="23"/>
        <v>1</v>
      </c>
      <c r="D92" s="961"/>
      <c r="E92" s="52">
        <f t="shared" si="24"/>
        <v>1</v>
      </c>
      <c r="F92" s="961"/>
      <c r="G92" s="52">
        <f t="shared" si="25"/>
        <v>1</v>
      </c>
      <c r="H92" s="961"/>
      <c r="I92" s="52">
        <f t="shared" si="26"/>
        <v>1</v>
      </c>
      <c r="J92" s="961"/>
      <c r="K92" s="52">
        <f t="shared" si="27"/>
        <v>1</v>
      </c>
      <c r="L92" s="961"/>
      <c r="M92" s="52">
        <f t="shared" si="28"/>
        <v>1</v>
      </c>
      <c r="N92" s="961"/>
      <c r="O92" s="52">
        <f t="shared" si="29"/>
        <v>1</v>
      </c>
      <c r="P92" s="961"/>
      <c r="Q92" s="52">
        <f t="shared" si="30"/>
        <v>1</v>
      </c>
      <c r="R92" s="489">
        <f t="shared" si="31"/>
        <v>0</v>
      </c>
      <c r="S92" s="798">
        <f t="shared" si="22"/>
        <v>0</v>
      </c>
    </row>
    <row r="93" spans="1:19">
      <c r="A93" s="963"/>
      <c r="B93" s="136"/>
      <c r="C93" s="52">
        <f t="shared" si="23"/>
        <v>1</v>
      </c>
      <c r="D93" s="961"/>
      <c r="E93" s="52">
        <f t="shared" si="24"/>
        <v>1</v>
      </c>
      <c r="F93" s="961"/>
      <c r="G93" s="52">
        <f t="shared" si="25"/>
        <v>1</v>
      </c>
      <c r="H93" s="961"/>
      <c r="I93" s="52">
        <f t="shared" si="26"/>
        <v>1</v>
      </c>
      <c r="J93" s="961"/>
      <c r="K93" s="52">
        <f t="shared" si="27"/>
        <v>1</v>
      </c>
      <c r="L93" s="961"/>
      <c r="M93" s="52">
        <f t="shared" si="28"/>
        <v>1</v>
      </c>
      <c r="N93" s="961"/>
      <c r="O93" s="52">
        <f t="shared" si="29"/>
        <v>1</v>
      </c>
      <c r="P93" s="961"/>
      <c r="Q93" s="52">
        <f t="shared" si="30"/>
        <v>1</v>
      </c>
      <c r="R93" s="489">
        <f t="shared" si="31"/>
        <v>0</v>
      </c>
      <c r="S93" s="798">
        <f t="shared" si="22"/>
        <v>0</v>
      </c>
    </row>
    <row r="94" spans="1:19">
      <c r="A94" s="963"/>
      <c r="B94" s="136"/>
      <c r="C94" s="52">
        <f t="shared" si="23"/>
        <v>1</v>
      </c>
      <c r="D94" s="961"/>
      <c r="E94" s="52">
        <f t="shared" si="24"/>
        <v>1</v>
      </c>
      <c r="F94" s="961"/>
      <c r="G94" s="52">
        <f t="shared" si="25"/>
        <v>1</v>
      </c>
      <c r="H94" s="961"/>
      <c r="I94" s="52">
        <f t="shared" si="26"/>
        <v>1</v>
      </c>
      <c r="J94" s="961"/>
      <c r="K94" s="52">
        <f t="shared" si="27"/>
        <v>1</v>
      </c>
      <c r="L94" s="961"/>
      <c r="M94" s="52">
        <f t="shared" si="28"/>
        <v>1</v>
      </c>
      <c r="N94" s="961"/>
      <c r="O94" s="52">
        <f t="shared" si="29"/>
        <v>1</v>
      </c>
      <c r="P94" s="961"/>
      <c r="Q94" s="52">
        <f t="shared" si="30"/>
        <v>1</v>
      </c>
      <c r="R94" s="489">
        <f t="shared" si="31"/>
        <v>0</v>
      </c>
      <c r="S94" s="798">
        <f t="shared" si="22"/>
        <v>0</v>
      </c>
    </row>
    <row r="95" spans="1:19">
      <c r="A95" s="963"/>
      <c r="B95" s="136"/>
      <c r="C95" s="52">
        <f t="shared" si="23"/>
        <v>1</v>
      </c>
      <c r="D95" s="961"/>
      <c r="E95" s="52">
        <f t="shared" si="24"/>
        <v>1</v>
      </c>
      <c r="F95" s="961"/>
      <c r="G95" s="52">
        <f t="shared" si="25"/>
        <v>1</v>
      </c>
      <c r="H95" s="961"/>
      <c r="I95" s="52">
        <f t="shared" si="26"/>
        <v>1</v>
      </c>
      <c r="J95" s="961"/>
      <c r="K95" s="52">
        <f t="shared" si="27"/>
        <v>1</v>
      </c>
      <c r="L95" s="961"/>
      <c r="M95" s="52">
        <f t="shared" si="28"/>
        <v>1</v>
      </c>
      <c r="N95" s="961"/>
      <c r="O95" s="52">
        <f t="shared" si="29"/>
        <v>1</v>
      </c>
      <c r="P95" s="961"/>
      <c r="Q95" s="52">
        <f t="shared" si="30"/>
        <v>1</v>
      </c>
      <c r="R95" s="489">
        <f t="shared" si="31"/>
        <v>0</v>
      </c>
      <c r="S95" s="798">
        <f t="shared" si="22"/>
        <v>0</v>
      </c>
    </row>
    <row r="96" spans="1:19">
      <c r="A96" s="963"/>
      <c r="B96" s="136"/>
      <c r="C96" s="52">
        <f t="shared" si="23"/>
        <v>1</v>
      </c>
      <c r="D96" s="961"/>
      <c r="E96" s="52">
        <f t="shared" si="24"/>
        <v>1</v>
      </c>
      <c r="F96" s="961"/>
      <c r="G96" s="52">
        <f t="shared" si="25"/>
        <v>1</v>
      </c>
      <c r="H96" s="961"/>
      <c r="I96" s="52">
        <f t="shared" si="26"/>
        <v>1</v>
      </c>
      <c r="J96" s="961"/>
      <c r="K96" s="52">
        <f t="shared" si="27"/>
        <v>1</v>
      </c>
      <c r="L96" s="961"/>
      <c r="M96" s="52">
        <f t="shared" si="28"/>
        <v>1</v>
      </c>
      <c r="N96" s="961"/>
      <c r="O96" s="52">
        <f t="shared" si="29"/>
        <v>1</v>
      </c>
      <c r="P96" s="961"/>
      <c r="Q96" s="52">
        <f t="shared" si="30"/>
        <v>1</v>
      </c>
      <c r="R96" s="489">
        <f t="shared" si="31"/>
        <v>0</v>
      </c>
      <c r="S96" s="798">
        <f t="shared" si="22"/>
        <v>0</v>
      </c>
    </row>
    <row r="97" spans="1:19">
      <c r="A97" s="963"/>
      <c r="B97" s="136"/>
      <c r="C97" s="52">
        <f t="shared" si="23"/>
        <v>1</v>
      </c>
      <c r="D97" s="961"/>
      <c r="E97" s="52">
        <f t="shared" si="24"/>
        <v>1</v>
      </c>
      <c r="F97" s="961"/>
      <c r="G97" s="52">
        <f t="shared" si="25"/>
        <v>1</v>
      </c>
      <c r="H97" s="961"/>
      <c r="I97" s="52">
        <f t="shared" si="26"/>
        <v>1</v>
      </c>
      <c r="J97" s="961"/>
      <c r="K97" s="52">
        <f t="shared" si="27"/>
        <v>1</v>
      </c>
      <c r="L97" s="961"/>
      <c r="M97" s="52">
        <f t="shared" si="28"/>
        <v>1</v>
      </c>
      <c r="N97" s="961"/>
      <c r="O97" s="52">
        <f t="shared" si="29"/>
        <v>1</v>
      </c>
      <c r="P97" s="961"/>
      <c r="Q97" s="52">
        <f t="shared" si="30"/>
        <v>1</v>
      </c>
      <c r="R97" s="489">
        <f t="shared" si="31"/>
        <v>0</v>
      </c>
      <c r="S97" s="798">
        <f t="shared" si="22"/>
        <v>0</v>
      </c>
    </row>
    <row r="98" spans="1:19">
      <c r="A98" s="963"/>
      <c r="B98" s="136"/>
      <c r="C98" s="52">
        <f t="shared" si="23"/>
        <v>1</v>
      </c>
      <c r="D98" s="961"/>
      <c r="E98" s="52">
        <f t="shared" si="24"/>
        <v>1</v>
      </c>
      <c r="F98" s="961"/>
      <c r="G98" s="52">
        <f t="shared" si="25"/>
        <v>1</v>
      </c>
      <c r="H98" s="961"/>
      <c r="I98" s="52">
        <f t="shared" si="26"/>
        <v>1</v>
      </c>
      <c r="J98" s="961"/>
      <c r="K98" s="52">
        <f t="shared" si="27"/>
        <v>1</v>
      </c>
      <c r="L98" s="961"/>
      <c r="M98" s="52">
        <f t="shared" si="28"/>
        <v>1</v>
      </c>
      <c r="N98" s="961"/>
      <c r="O98" s="52">
        <f t="shared" si="29"/>
        <v>1</v>
      </c>
      <c r="P98" s="961"/>
      <c r="Q98" s="52">
        <f t="shared" si="30"/>
        <v>1</v>
      </c>
      <c r="R98" s="489">
        <f t="shared" si="31"/>
        <v>0</v>
      </c>
      <c r="S98" s="798">
        <f t="shared" si="22"/>
        <v>0</v>
      </c>
    </row>
    <row r="99" spans="1:19">
      <c r="A99" s="963"/>
      <c r="B99" s="136"/>
      <c r="C99" s="52">
        <f t="shared" si="23"/>
        <v>1</v>
      </c>
      <c r="D99" s="961"/>
      <c r="E99" s="52">
        <f t="shared" si="24"/>
        <v>1</v>
      </c>
      <c r="F99" s="961"/>
      <c r="G99" s="52">
        <f t="shared" si="25"/>
        <v>1</v>
      </c>
      <c r="H99" s="961"/>
      <c r="I99" s="52">
        <f t="shared" si="26"/>
        <v>1</v>
      </c>
      <c r="J99" s="961"/>
      <c r="K99" s="52">
        <f t="shared" si="27"/>
        <v>1</v>
      </c>
      <c r="L99" s="961"/>
      <c r="M99" s="52">
        <f t="shared" si="28"/>
        <v>1</v>
      </c>
      <c r="N99" s="961"/>
      <c r="O99" s="52">
        <f t="shared" si="29"/>
        <v>1</v>
      </c>
      <c r="P99" s="961"/>
      <c r="Q99" s="52">
        <f t="shared" si="30"/>
        <v>1</v>
      </c>
      <c r="R99" s="489">
        <f t="shared" si="31"/>
        <v>0</v>
      </c>
      <c r="S99" s="798">
        <f t="shared" si="22"/>
        <v>0</v>
      </c>
    </row>
    <row r="100" spans="1:19">
      <c r="A100" s="963"/>
      <c r="B100" s="136"/>
      <c r="C100" s="52">
        <f t="shared" si="23"/>
        <v>1</v>
      </c>
      <c r="D100" s="961"/>
      <c r="E100" s="52">
        <f t="shared" si="24"/>
        <v>1</v>
      </c>
      <c r="F100" s="961"/>
      <c r="G100" s="52">
        <f t="shared" si="25"/>
        <v>1</v>
      </c>
      <c r="H100" s="961"/>
      <c r="I100" s="52">
        <f t="shared" si="26"/>
        <v>1</v>
      </c>
      <c r="J100" s="961"/>
      <c r="K100" s="52">
        <f t="shared" si="27"/>
        <v>1</v>
      </c>
      <c r="L100" s="961"/>
      <c r="M100" s="52">
        <f t="shared" si="28"/>
        <v>1</v>
      </c>
      <c r="N100" s="961"/>
      <c r="O100" s="52">
        <f t="shared" si="29"/>
        <v>1</v>
      </c>
      <c r="P100" s="961"/>
      <c r="Q100" s="52">
        <f t="shared" si="30"/>
        <v>1</v>
      </c>
      <c r="R100" s="489">
        <f t="shared" si="31"/>
        <v>0</v>
      </c>
      <c r="S100" s="798">
        <f t="shared" si="22"/>
        <v>0</v>
      </c>
    </row>
    <row r="101" spans="1:19">
      <c r="A101" s="963"/>
      <c r="B101" s="136"/>
      <c r="C101" s="52">
        <f t="shared" si="23"/>
        <v>1</v>
      </c>
      <c r="D101" s="961"/>
      <c r="E101" s="52">
        <f t="shared" si="24"/>
        <v>1</v>
      </c>
      <c r="F101" s="961"/>
      <c r="G101" s="52">
        <f t="shared" si="25"/>
        <v>1</v>
      </c>
      <c r="H101" s="961"/>
      <c r="I101" s="52">
        <f t="shared" si="26"/>
        <v>1</v>
      </c>
      <c r="J101" s="961"/>
      <c r="K101" s="52">
        <f t="shared" si="27"/>
        <v>1</v>
      </c>
      <c r="L101" s="961"/>
      <c r="M101" s="52">
        <f t="shared" si="28"/>
        <v>1</v>
      </c>
      <c r="N101" s="961"/>
      <c r="O101" s="52">
        <f t="shared" si="29"/>
        <v>1</v>
      </c>
      <c r="P101" s="961"/>
      <c r="Q101" s="52">
        <f t="shared" si="30"/>
        <v>1</v>
      </c>
      <c r="R101" s="489">
        <f t="shared" si="31"/>
        <v>0</v>
      </c>
      <c r="S101" s="798">
        <f t="shared" si="22"/>
        <v>0</v>
      </c>
    </row>
    <row r="102" spans="1:19">
      <c r="A102" s="963"/>
      <c r="B102" s="136"/>
      <c r="C102" s="52">
        <f t="shared" si="23"/>
        <v>1</v>
      </c>
      <c r="D102" s="961"/>
      <c r="E102" s="52">
        <f t="shared" si="24"/>
        <v>1</v>
      </c>
      <c r="F102" s="961"/>
      <c r="G102" s="52">
        <f t="shared" si="25"/>
        <v>1</v>
      </c>
      <c r="H102" s="961"/>
      <c r="I102" s="52">
        <f t="shared" si="26"/>
        <v>1</v>
      </c>
      <c r="J102" s="961"/>
      <c r="K102" s="52">
        <f t="shared" si="27"/>
        <v>1</v>
      </c>
      <c r="L102" s="961"/>
      <c r="M102" s="52">
        <f t="shared" si="28"/>
        <v>1</v>
      </c>
      <c r="N102" s="961"/>
      <c r="O102" s="52">
        <f t="shared" si="29"/>
        <v>1</v>
      </c>
      <c r="P102" s="961"/>
      <c r="Q102" s="52">
        <f t="shared" si="30"/>
        <v>1</v>
      </c>
      <c r="R102" s="489">
        <f t="shared" si="31"/>
        <v>0</v>
      </c>
      <c r="S102" s="798">
        <f t="shared" si="22"/>
        <v>0</v>
      </c>
    </row>
    <row r="103" spans="1:19">
      <c r="A103" s="963"/>
      <c r="B103" s="136"/>
      <c r="C103" s="52">
        <f t="shared" si="23"/>
        <v>1</v>
      </c>
      <c r="D103" s="961"/>
      <c r="E103" s="52">
        <f t="shared" si="24"/>
        <v>1</v>
      </c>
      <c r="F103" s="961"/>
      <c r="G103" s="52">
        <f t="shared" si="25"/>
        <v>1</v>
      </c>
      <c r="H103" s="961"/>
      <c r="I103" s="52">
        <f t="shared" si="26"/>
        <v>1</v>
      </c>
      <c r="J103" s="961"/>
      <c r="K103" s="52">
        <f t="shared" si="27"/>
        <v>1</v>
      </c>
      <c r="L103" s="961"/>
      <c r="M103" s="52">
        <f t="shared" si="28"/>
        <v>1</v>
      </c>
      <c r="N103" s="961"/>
      <c r="O103" s="52">
        <f t="shared" si="29"/>
        <v>1</v>
      </c>
      <c r="P103" s="961"/>
      <c r="Q103" s="52">
        <f t="shared" si="30"/>
        <v>1</v>
      </c>
      <c r="R103" s="489">
        <f t="shared" si="31"/>
        <v>0</v>
      </c>
      <c r="S103" s="798">
        <f t="shared" si="22"/>
        <v>0</v>
      </c>
    </row>
    <row r="104" spans="1:19">
      <c r="A104" s="963"/>
      <c r="B104" s="136"/>
      <c r="C104" s="52">
        <f t="shared" si="23"/>
        <v>1</v>
      </c>
      <c r="D104" s="961"/>
      <c r="E104" s="52">
        <f t="shared" si="24"/>
        <v>1</v>
      </c>
      <c r="F104" s="961"/>
      <c r="G104" s="52">
        <f t="shared" si="25"/>
        <v>1</v>
      </c>
      <c r="H104" s="961"/>
      <c r="I104" s="52">
        <f t="shared" si="26"/>
        <v>1</v>
      </c>
      <c r="J104" s="961"/>
      <c r="K104" s="52">
        <f t="shared" si="27"/>
        <v>1</v>
      </c>
      <c r="L104" s="961"/>
      <c r="M104" s="52">
        <f t="shared" si="28"/>
        <v>1</v>
      </c>
      <c r="N104" s="961"/>
      <c r="O104" s="52">
        <f t="shared" si="29"/>
        <v>1</v>
      </c>
      <c r="P104" s="961"/>
      <c r="Q104" s="52">
        <f t="shared" si="30"/>
        <v>1</v>
      </c>
      <c r="R104" s="489">
        <f t="shared" si="31"/>
        <v>0</v>
      </c>
      <c r="S104" s="798">
        <f t="shared" si="22"/>
        <v>0</v>
      </c>
    </row>
    <row r="105" spans="1:19">
      <c r="A105" s="963"/>
      <c r="B105" s="136"/>
      <c r="C105" s="52">
        <f t="shared" si="23"/>
        <v>1</v>
      </c>
      <c r="D105" s="961"/>
      <c r="E105" s="52">
        <f t="shared" si="24"/>
        <v>1</v>
      </c>
      <c r="F105" s="961"/>
      <c r="G105" s="52">
        <f t="shared" si="25"/>
        <v>1</v>
      </c>
      <c r="H105" s="961"/>
      <c r="I105" s="52">
        <f t="shared" si="26"/>
        <v>1</v>
      </c>
      <c r="J105" s="961"/>
      <c r="K105" s="52">
        <f t="shared" si="27"/>
        <v>1</v>
      </c>
      <c r="L105" s="961"/>
      <c r="M105" s="52">
        <f t="shared" si="28"/>
        <v>1</v>
      </c>
      <c r="N105" s="961"/>
      <c r="O105" s="52">
        <f t="shared" si="29"/>
        <v>1</v>
      </c>
      <c r="P105" s="961"/>
      <c r="Q105" s="52">
        <f t="shared" si="30"/>
        <v>1</v>
      </c>
      <c r="R105" s="489">
        <f t="shared" si="31"/>
        <v>0</v>
      </c>
      <c r="S105" s="798">
        <f t="shared" si="22"/>
        <v>0</v>
      </c>
    </row>
    <row r="106" spans="1:19">
      <c r="A106" s="963"/>
      <c r="B106" s="136"/>
      <c r="C106" s="52">
        <f t="shared" si="23"/>
        <v>1</v>
      </c>
      <c r="D106" s="961"/>
      <c r="E106" s="52">
        <f t="shared" si="24"/>
        <v>1</v>
      </c>
      <c r="F106" s="961"/>
      <c r="G106" s="52">
        <f t="shared" si="25"/>
        <v>1</v>
      </c>
      <c r="H106" s="961"/>
      <c r="I106" s="52">
        <f t="shared" si="26"/>
        <v>1</v>
      </c>
      <c r="J106" s="961"/>
      <c r="K106" s="52">
        <f t="shared" si="27"/>
        <v>1</v>
      </c>
      <c r="L106" s="961"/>
      <c r="M106" s="52">
        <f t="shared" si="28"/>
        <v>1</v>
      </c>
      <c r="N106" s="961"/>
      <c r="O106" s="52">
        <f t="shared" si="29"/>
        <v>1</v>
      </c>
      <c r="P106" s="961"/>
      <c r="Q106" s="52">
        <f t="shared" si="30"/>
        <v>1</v>
      </c>
      <c r="R106" s="489">
        <f t="shared" si="31"/>
        <v>0</v>
      </c>
      <c r="S106" s="798">
        <f t="shared" si="22"/>
        <v>0</v>
      </c>
    </row>
    <row r="107" spans="1:19">
      <c r="A107" s="963"/>
      <c r="B107" s="136"/>
      <c r="C107" s="52">
        <f t="shared" si="23"/>
        <v>1</v>
      </c>
      <c r="D107" s="961"/>
      <c r="E107" s="52">
        <f t="shared" si="24"/>
        <v>1</v>
      </c>
      <c r="F107" s="961"/>
      <c r="G107" s="52">
        <f t="shared" si="25"/>
        <v>1</v>
      </c>
      <c r="H107" s="961"/>
      <c r="I107" s="52">
        <f t="shared" si="26"/>
        <v>1</v>
      </c>
      <c r="J107" s="961"/>
      <c r="K107" s="52">
        <f t="shared" si="27"/>
        <v>1</v>
      </c>
      <c r="L107" s="961"/>
      <c r="M107" s="52">
        <f t="shared" si="28"/>
        <v>1</v>
      </c>
      <c r="N107" s="961"/>
      <c r="O107" s="52">
        <f t="shared" si="29"/>
        <v>1</v>
      </c>
      <c r="P107" s="961"/>
      <c r="Q107" s="52">
        <f t="shared" si="30"/>
        <v>1</v>
      </c>
      <c r="R107" s="489">
        <f t="shared" si="31"/>
        <v>0</v>
      </c>
      <c r="S107" s="798">
        <f t="shared" si="22"/>
        <v>0</v>
      </c>
    </row>
    <row r="108" spans="1:19">
      <c r="A108" s="963"/>
      <c r="B108" s="136"/>
      <c r="C108" s="52">
        <f t="shared" si="23"/>
        <v>1</v>
      </c>
      <c r="D108" s="961"/>
      <c r="E108" s="52">
        <f t="shared" si="24"/>
        <v>1</v>
      </c>
      <c r="F108" s="961"/>
      <c r="G108" s="52">
        <f t="shared" si="25"/>
        <v>1</v>
      </c>
      <c r="H108" s="961"/>
      <c r="I108" s="52">
        <f t="shared" si="26"/>
        <v>1</v>
      </c>
      <c r="J108" s="961"/>
      <c r="K108" s="52">
        <f t="shared" si="27"/>
        <v>1</v>
      </c>
      <c r="L108" s="961"/>
      <c r="M108" s="52">
        <f t="shared" si="28"/>
        <v>1</v>
      </c>
      <c r="N108" s="961"/>
      <c r="O108" s="52">
        <f t="shared" si="29"/>
        <v>1</v>
      </c>
      <c r="P108" s="961"/>
      <c r="Q108" s="52">
        <f t="shared" si="30"/>
        <v>1</v>
      </c>
      <c r="R108" s="489">
        <f t="shared" si="31"/>
        <v>0</v>
      </c>
      <c r="S108" s="798">
        <f t="shared" si="22"/>
        <v>0</v>
      </c>
    </row>
    <row r="109" spans="1:19">
      <c r="A109" s="963"/>
      <c r="B109" s="136"/>
      <c r="C109" s="52">
        <f t="shared" si="23"/>
        <v>1</v>
      </c>
      <c r="D109" s="961"/>
      <c r="E109" s="52">
        <f t="shared" si="24"/>
        <v>1</v>
      </c>
      <c r="F109" s="961"/>
      <c r="G109" s="52">
        <f t="shared" si="25"/>
        <v>1</v>
      </c>
      <c r="H109" s="961"/>
      <c r="I109" s="52">
        <f t="shared" si="26"/>
        <v>1</v>
      </c>
      <c r="J109" s="961"/>
      <c r="K109" s="52">
        <f t="shared" si="27"/>
        <v>1</v>
      </c>
      <c r="L109" s="961"/>
      <c r="M109" s="52">
        <f t="shared" si="28"/>
        <v>1</v>
      </c>
      <c r="N109" s="961"/>
      <c r="O109" s="52">
        <f t="shared" si="29"/>
        <v>1</v>
      </c>
      <c r="P109" s="961"/>
      <c r="Q109" s="52">
        <f t="shared" si="30"/>
        <v>1</v>
      </c>
      <c r="R109" s="489">
        <f t="shared" si="31"/>
        <v>0</v>
      </c>
      <c r="S109" s="798">
        <f t="shared" si="22"/>
        <v>0</v>
      </c>
    </row>
    <row r="110" spans="1:19">
      <c r="A110" s="963"/>
      <c r="B110" s="136"/>
      <c r="C110" s="52">
        <f t="shared" si="23"/>
        <v>1</v>
      </c>
      <c r="D110" s="961"/>
      <c r="E110" s="52">
        <f t="shared" si="24"/>
        <v>1</v>
      </c>
      <c r="F110" s="961"/>
      <c r="G110" s="52">
        <f t="shared" si="25"/>
        <v>1</v>
      </c>
      <c r="H110" s="961"/>
      <c r="I110" s="52">
        <f t="shared" si="26"/>
        <v>1</v>
      </c>
      <c r="J110" s="961"/>
      <c r="K110" s="52">
        <f t="shared" si="27"/>
        <v>1</v>
      </c>
      <c r="L110" s="961"/>
      <c r="M110" s="52">
        <f t="shared" si="28"/>
        <v>1</v>
      </c>
      <c r="N110" s="961"/>
      <c r="O110" s="52">
        <f t="shared" si="29"/>
        <v>1</v>
      </c>
      <c r="P110" s="961"/>
      <c r="Q110" s="52">
        <f t="shared" si="30"/>
        <v>1</v>
      </c>
      <c r="R110" s="489">
        <f t="shared" si="31"/>
        <v>0</v>
      </c>
      <c r="S110" s="798">
        <f t="shared" si="22"/>
        <v>0</v>
      </c>
    </row>
    <row r="111" spans="1:19">
      <c r="A111" s="963"/>
      <c r="B111" s="136"/>
      <c r="C111" s="52">
        <f t="shared" si="23"/>
        <v>1</v>
      </c>
      <c r="D111" s="961"/>
      <c r="E111" s="52">
        <f t="shared" si="24"/>
        <v>1</v>
      </c>
      <c r="F111" s="961"/>
      <c r="G111" s="52">
        <f t="shared" si="25"/>
        <v>1</v>
      </c>
      <c r="H111" s="961"/>
      <c r="I111" s="52">
        <f t="shared" si="26"/>
        <v>1</v>
      </c>
      <c r="J111" s="961"/>
      <c r="K111" s="52">
        <f t="shared" si="27"/>
        <v>1</v>
      </c>
      <c r="L111" s="961"/>
      <c r="M111" s="52">
        <f t="shared" si="28"/>
        <v>1</v>
      </c>
      <c r="N111" s="961"/>
      <c r="O111" s="52">
        <f t="shared" si="29"/>
        <v>1</v>
      </c>
      <c r="P111" s="961"/>
      <c r="Q111" s="52">
        <f t="shared" si="30"/>
        <v>1</v>
      </c>
      <c r="R111" s="489">
        <f t="shared" si="31"/>
        <v>0</v>
      </c>
      <c r="S111" s="798">
        <f t="shared" si="22"/>
        <v>0</v>
      </c>
    </row>
    <row r="112" spans="1:19">
      <c r="A112" s="963"/>
      <c r="B112" s="136"/>
      <c r="C112" s="52">
        <f t="shared" si="23"/>
        <v>1</v>
      </c>
      <c r="D112" s="961"/>
      <c r="E112" s="52">
        <f t="shared" si="24"/>
        <v>1</v>
      </c>
      <c r="F112" s="961"/>
      <c r="G112" s="52">
        <f t="shared" si="25"/>
        <v>1</v>
      </c>
      <c r="H112" s="961"/>
      <c r="I112" s="52">
        <f t="shared" si="26"/>
        <v>1</v>
      </c>
      <c r="J112" s="961"/>
      <c r="K112" s="52">
        <f t="shared" si="27"/>
        <v>1</v>
      </c>
      <c r="L112" s="961"/>
      <c r="M112" s="52">
        <f t="shared" si="28"/>
        <v>1</v>
      </c>
      <c r="N112" s="961"/>
      <c r="O112" s="52">
        <f t="shared" si="29"/>
        <v>1</v>
      </c>
      <c r="P112" s="961"/>
      <c r="Q112" s="52">
        <f t="shared" si="30"/>
        <v>1</v>
      </c>
      <c r="R112" s="489">
        <f t="shared" si="31"/>
        <v>0</v>
      </c>
      <c r="S112" s="798">
        <f t="shared" si="22"/>
        <v>0</v>
      </c>
    </row>
    <row r="113" spans="1:19">
      <c r="A113" s="963"/>
      <c r="B113" s="136"/>
      <c r="C113" s="52">
        <f t="shared" si="23"/>
        <v>1</v>
      </c>
      <c r="D113" s="961"/>
      <c r="E113" s="52">
        <f t="shared" si="24"/>
        <v>1</v>
      </c>
      <c r="F113" s="961"/>
      <c r="G113" s="52">
        <f t="shared" si="25"/>
        <v>1</v>
      </c>
      <c r="H113" s="961"/>
      <c r="I113" s="52">
        <f t="shared" si="26"/>
        <v>1</v>
      </c>
      <c r="J113" s="961"/>
      <c r="K113" s="52">
        <f t="shared" si="27"/>
        <v>1</v>
      </c>
      <c r="L113" s="961"/>
      <c r="M113" s="52">
        <f t="shared" si="28"/>
        <v>1</v>
      </c>
      <c r="N113" s="961"/>
      <c r="O113" s="52">
        <f t="shared" si="29"/>
        <v>1</v>
      </c>
      <c r="P113" s="961"/>
      <c r="Q113" s="52">
        <f t="shared" si="30"/>
        <v>1</v>
      </c>
      <c r="R113" s="489">
        <f t="shared" si="31"/>
        <v>0</v>
      </c>
      <c r="S113" s="798">
        <f t="shared" si="22"/>
        <v>0</v>
      </c>
    </row>
    <row r="114" spans="1:19">
      <c r="A114" s="963"/>
      <c r="B114" s="136"/>
      <c r="C114" s="52">
        <f t="shared" si="23"/>
        <v>1</v>
      </c>
      <c r="D114" s="961"/>
      <c r="E114" s="52">
        <f t="shared" si="24"/>
        <v>1</v>
      </c>
      <c r="F114" s="961"/>
      <c r="G114" s="52">
        <f t="shared" si="25"/>
        <v>1</v>
      </c>
      <c r="H114" s="961"/>
      <c r="I114" s="52">
        <f t="shared" si="26"/>
        <v>1</v>
      </c>
      <c r="J114" s="961"/>
      <c r="K114" s="52">
        <f t="shared" si="27"/>
        <v>1</v>
      </c>
      <c r="L114" s="961"/>
      <c r="M114" s="52">
        <f t="shared" si="28"/>
        <v>1</v>
      </c>
      <c r="N114" s="961"/>
      <c r="O114" s="52">
        <f t="shared" si="29"/>
        <v>1</v>
      </c>
      <c r="P114" s="961"/>
      <c r="Q114" s="52">
        <f t="shared" si="30"/>
        <v>1</v>
      </c>
      <c r="R114" s="489">
        <f t="shared" si="31"/>
        <v>0</v>
      </c>
      <c r="S114" s="798">
        <f t="shared" si="22"/>
        <v>0</v>
      </c>
    </row>
    <row r="115" spans="1:19">
      <c r="A115" s="963"/>
      <c r="B115" s="136"/>
      <c r="C115" s="52">
        <f t="shared" si="23"/>
        <v>1</v>
      </c>
      <c r="D115" s="961"/>
      <c r="E115" s="52">
        <f t="shared" si="24"/>
        <v>1</v>
      </c>
      <c r="F115" s="961"/>
      <c r="G115" s="52">
        <f t="shared" si="25"/>
        <v>1</v>
      </c>
      <c r="H115" s="961"/>
      <c r="I115" s="52">
        <f t="shared" si="26"/>
        <v>1</v>
      </c>
      <c r="J115" s="961"/>
      <c r="K115" s="52">
        <f t="shared" si="27"/>
        <v>1</v>
      </c>
      <c r="L115" s="961"/>
      <c r="M115" s="52">
        <f t="shared" si="28"/>
        <v>1</v>
      </c>
      <c r="N115" s="961"/>
      <c r="O115" s="52">
        <f t="shared" si="29"/>
        <v>1</v>
      </c>
      <c r="P115" s="961"/>
      <c r="Q115" s="52">
        <f t="shared" si="30"/>
        <v>1</v>
      </c>
      <c r="R115" s="489">
        <f t="shared" si="31"/>
        <v>0</v>
      </c>
      <c r="S115" s="798">
        <f t="shared" si="22"/>
        <v>0</v>
      </c>
    </row>
    <row r="116" spans="1:19">
      <c r="A116" s="963"/>
      <c r="B116" s="136"/>
      <c r="C116" s="52">
        <f t="shared" si="23"/>
        <v>1</v>
      </c>
      <c r="D116" s="961"/>
      <c r="E116" s="52">
        <f t="shared" si="24"/>
        <v>1</v>
      </c>
      <c r="F116" s="961"/>
      <c r="G116" s="52">
        <f t="shared" si="25"/>
        <v>1</v>
      </c>
      <c r="H116" s="961"/>
      <c r="I116" s="52">
        <f t="shared" si="26"/>
        <v>1</v>
      </c>
      <c r="J116" s="961"/>
      <c r="K116" s="52">
        <f t="shared" si="27"/>
        <v>1</v>
      </c>
      <c r="L116" s="961"/>
      <c r="M116" s="52">
        <f t="shared" si="28"/>
        <v>1</v>
      </c>
      <c r="N116" s="961"/>
      <c r="O116" s="52">
        <f t="shared" si="29"/>
        <v>1</v>
      </c>
      <c r="P116" s="961"/>
      <c r="Q116" s="52">
        <f t="shared" si="30"/>
        <v>1</v>
      </c>
      <c r="R116" s="489">
        <f t="shared" si="31"/>
        <v>0</v>
      </c>
      <c r="S116" s="798">
        <f t="shared" si="22"/>
        <v>0</v>
      </c>
    </row>
    <row r="117" spans="1:19">
      <c r="A117" s="963"/>
      <c r="B117" s="136"/>
      <c r="C117" s="52">
        <f t="shared" si="23"/>
        <v>1</v>
      </c>
      <c r="D117" s="961"/>
      <c r="E117" s="52">
        <f t="shared" si="24"/>
        <v>1</v>
      </c>
      <c r="F117" s="961"/>
      <c r="G117" s="52">
        <f t="shared" si="25"/>
        <v>1</v>
      </c>
      <c r="H117" s="961"/>
      <c r="I117" s="52">
        <f t="shared" si="26"/>
        <v>1</v>
      </c>
      <c r="J117" s="961"/>
      <c r="K117" s="52">
        <f t="shared" si="27"/>
        <v>1</v>
      </c>
      <c r="L117" s="961"/>
      <c r="M117" s="52">
        <f t="shared" si="28"/>
        <v>1</v>
      </c>
      <c r="N117" s="961"/>
      <c r="O117" s="52">
        <f t="shared" si="29"/>
        <v>1</v>
      </c>
      <c r="P117" s="961"/>
      <c r="Q117" s="52">
        <f t="shared" si="30"/>
        <v>1</v>
      </c>
      <c r="R117" s="489">
        <f t="shared" si="31"/>
        <v>0</v>
      </c>
      <c r="S117" s="798">
        <f t="shared" si="22"/>
        <v>0</v>
      </c>
    </row>
    <row r="118" spans="1:19">
      <c r="A118" s="963"/>
      <c r="B118" s="136"/>
      <c r="C118" s="52">
        <f t="shared" si="23"/>
        <v>1</v>
      </c>
      <c r="D118" s="961"/>
      <c r="E118" s="52">
        <f t="shared" si="24"/>
        <v>1</v>
      </c>
      <c r="F118" s="961"/>
      <c r="G118" s="52">
        <f t="shared" si="25"/>
        <v>1</v>
      </c>
      <c r="H118" s="961"/>
      <c r="I118" s="52">
        <f t="shared" si="26"/>
        <v>1</v>
      </c>
      <c r="J118" s="961"/>
      <c r="K118" s="52">
        <f t="shared" si="27"/>
        <v>1</v>
      </c>
      <c r="L118" s="961"/>
      <c r="M118" s="52">
        <f t="shared" si="28"/>
        <v>1</v>
      </c>
      <c r="N118" s="961"/>
      <c r="O118" s="52">
        <f t="shared" si="29"/>
        <v>1</v>
      </c>
      <c r="P118" s="961"/>
      <c r="Q118" s="52">
        <f t="shared" si="30"/>
        <v>1</v>
      </c>
      <c r="R118" s="489">
        <f t="shared" si="31"/>
        <v>0</v>
      </c>
      <c r="S118" s="798">
        <f t="shared" si="22"/>
        <v>0</v>
      </c>
    </row>
    <row r="119" spans="1:19">
      <c r="A119" s="963"/>
      <c r="B119" s="136"/>
      <c r="C119" s="52">
        <f t="shared" si="23"/>
        <v>1</v>
      </c>
      <c r="D119" s="961"/>
      <c r="E119" s="52">
        <f t="shared" si="24"/>
        <v>1</v>
      </c>
      <c r="F119" s="961"/>
      <c r="G119" s="52">
        <f t="shared" si="25"/>
        <v>1</v>
      </c>
      <c r="H119" s="961"/>
      <c r="I119" s="52">
        <f t="shared" si="26"/>
        <v>1</v>
      </c>
      <c r="J119" s="961"/>
      <c r="K119" s="52">
        <f t="shared" si="27"/>
        <v>1</v>
      </c>
      <c r="L119" s="961"/>
      <c r="M119" s="52">
        <f t="shared" si="28"/>
        <v>1</v>
      </c>
      <c r="N119" s="961"/>
      <c r="O119" s="52">
        <f t="shared" si="29"/>
        <v>1</v>
      </c>
      <c r="P119" s="961"/>
      <c r="Q119" s="52">
        <f t="shared" si="30"/>
        <v>1</v>
      </c>
      <c r="R119" s="489">
        <f t="shared" si="31"/>
        <v>0</v>
      </c>
      <c r="S119" s="798">
        <f t="shared" si="22"/>
        <v>0</v>
      </c>
    </row>
    <row r="120" spans="1:19">
      <c r="A120" s="963"/>
      <c r="B120" s="136"/>
      <c r="C120" s="52">
        <f t="shared" si="23"/>
        <v>1</v>
      </c>
      <c r="D120" s="961"/>
      <c r="E120" s="52">
        <f t="shared" si="24"/>
        <v>1</v>
      </c>
      <c r="F120" s="961"/>
      <c r="G120" s="52">
        <f t="shared" si="25"/>
        <v>1</v>
      </c>
      <c r="H120" s="961"/>
      <c r="I120" s="52">
        <f t="shared" si="26"/>
        <v>1</v>
      </c>
      <c r="J120" s="961"/>
      <c r="K120" s="52">
        <f t="shared" si="27"/>
        <v>1</v>
      </c>
      <c r="L120" s="961"/>
      <c r="M120" s="52">
        <f t="shared" si="28"/>
        <v>1</v>
      </c>
      <c r="N120" s="961"/>
      <c r="O120" s="52">
        <f t="shared" si="29"/>
        <v>1</v>
      </c>
      <c r="P120" s="961"/>
      <c r="Q120" s="52">
        <f t="shared" si="30"/>
        <v>1</v>
      </c>
      <c r="R120" s="489">
        <f t="shared" si="31"/>
        <v>0</v>
      </c>
      <c r="S120" s="798">
        <f t="shared" si="22"/>
        <v>0</v>
      </c>
    </row>
    <row r="121" spans="1:19">
      <c r="A121" s="963"/>
      <c r="B121" s="136"/>
      <c r="C121" s="52">
        <f t="shared" si="23"/>
        <v>1</v>
      </c>
      <c r="D121" s="961"/>
      <c r="E121" s="52">
        <f t="shared" si="24"/>
        <v>1</v>
      </c>
      <c r="F121" s="961"/>
      <c r="G121" s="52">
        <f t="shared" si="25"/>
        <v>1</v>
      </c>
      <c r="H121" s="961"/>
      <c r="I121" s="52">
        <f t="shared" si="26"/>
        <v>1</v>
      </c>
      <c r="J121" s="961"/>
      <c r="K121" s="52">
        <f t="shared" si="27"/>
        <v>1</v>
      </c>
      <c r="L121" s="961"/>
      <c r="M121" s="52">
        <f t="shared" si="28"/>
        <v>1</v>
      </c>
      <c r="N121" s="961"/>
      <c r="O121" s="52">
        <f t="shared" si="29"/>
        <v>1</v>
      </c>
      <c r="P121" s="961"/>
      <c r="Q121" s="52">
        <f t="shared" si="30"/>
        <v>1</v>
      </c>
      <c r="R121" s="489">
        <f t="shared" si="31"/>
        <v>0</v>
      </c>
      <c r="S121" s="798">
        <f t="shared" si="22"/>
        <v>0</v>
      </c>
    </row>
    <row r="122" spans="1:19">
      <c r="A122" s="963"/>
      <c r="B122" s="136"/>
      <c r="C122" s="52">
        <f t="shared" si="23"/>
        <v>1</v>
      </c>
      <c r="D122" s="961"/>
      <c r="E122" s="52">
        <f t="shared" si="24"/>
        <v>1</v>
      </c>
      <c r="F122" s="961"/>
      <c r="G122" s="52">
        <f t="shared" si="25"/>
        <v>1</v>
      </c>
      <c r="H122" s="961"/>
      <c r="I122" s="52">
        <f t="shared" si="26"/>
        <v>1</v>
      </c>
      <c r="J122" s="961"/>
      <c r="K122" s="52">
        <f t="shared" si="27"/>
        <v>1</v>
      </c>
      <c r="L122" s="961"/>
      <c r="M122" s="52">
        <f t="shared" si="28"/>
        <v>1</v>
      </c>
      <c r="N122" s="961"/>
      <c r="O122" s="52">
        <f t="shared" si="29"/>
        <v>1</v>
      </c>
      <c r="P122" s="961"/>
      <c r="Q122" s="52">
        <f t="shared" si="30"/>
        <v>1</v>
      </c>
      <c r="R122" s="489">
        <f t="shared" si="31"/>
        <v>0</v>
      </c>
      <c r="S122" s="798">
        <f t="shared" si="22"/>
        <v>0</v>
      </c>
    </row>
    <row r="123" spans="1:19">
      <c r="A123" s="963"/>
      <c r="B123" s="136"/>
      <c r="C123" s="52">
        <f t="shared" si="23"/>
        <v>1</v>
      </c>
      <c r="D123" s="961"/>
      <c r="E123" s="52">
        <f t="shared" si="24"/>
        <v>1</v>
      </c>
      <c r="F123" s="961"/>
      <c r="G123" s="52">
        <f t="shared" si="25"/>
        <v>1</v>
      </c>
      <c r="H123" s="961"/>
      <c r="I123" s="52">
        <f t="shared" si="26"/>
        <v>1</v>
      </c>
      <c r="J123" s="961"/>
      <c r="K123" s="52">
        <f t="shared" si="27"/>
        <v>1</v>
      </c>
      <c r="L123" s="961"/>
      <c r="M123" s="52">
        <f t="shared" si="28"/>
        <v>1</v>
      </c>
      <c r="N123" s="961"/>
      <c r="O123" s="52">
        <f t="shared" si="29"/>
        <v>1</v>
      </c>
      <c r="P123" s="961"/>
      <c r="Q123" s="52">
        <f t="shared" si="30"/>
        <v>1</v>
      </c>
      <c r="R123" s="489">
        <f t="shared" si="31"/>
        <v>0</v>
      </c>
      <c r="S123" s="798">
        <f t="shared" ref="S123:S186" si="32">ROUND(R123*B123/10000,0)</f>
        <v>0</v>
      </c>
    </row>
    <row r="124" spans="1:19">
      <c r="A124" s="963"/>
      <c r="B124" s="136"/>
      <c r="C124" s="52">
        <f t="shared" si="23"/>
        <v>1</v>
      </c>
      <c r="D124" s="961"/>
      <c r="E124" s="52">
        <f t="shared" si="24"/>
        <v>1</v>
      </c>
      <c r="F124" s="961"/>
      <c r="G124" s="52">
        <f t="shared" si="25"/>
        <v>1</v>
      </c>
      <c r="H124" s="961"/>
      <c r="I124" s="52">
        <f t="shared" si="26"/>
        <v>1</v>
      </c>
      <c r="J124" s="961"/>
      <c r="K124" s="52">
        <f t="shared" si="27"/>
        <v>1</v>
      </c>
      <c r="L124" s="961"/>
      <c r="M124" s="52">
        <f t="shared" si="28"/>
        <v>1</v>
      </c>
      <c r="N124" s="961"/>
      <c r="O124" s="52">
        <f t="shared" si="29"/>
        <v>1</v>
      </c>
      <c r="P124" s="961"/>
      <c r="Q124" s="52">
        <f t="shared" si="30"/>
        <v>1</v>
      </c>
      <c r="R124" s="489">
        <f t="shared" si="31"/>
        <v>0</v>
      </c>
      <c r="S124" s="798">
        <f t="shared" si="32"/>
        <v>0</v>
      </c>
    </row>
    <row r="125" spans="1:19">
      <c r="A125" s="963"/>
      <c r="B125" s="136"/>
      <c r="C125" s="52">
        <f t="shared" si="23"/>
        <v>1</v>
      </c>
      <c r="D125" s="961"/>
      <c r="E125" s="52">
        <f t="shared" si="24"/>
        <v>1</v>
      </c>
      <c r="F125" s="961"/>
      <c r="G125" s="52">
        <f t="shared" si="25"/>
        <v>1</v>
      </c>
      <c r="H125" s="961"/>
      <c r="I125" s="52">
        <f t="shared" si="26"/>
        <v>1</v>
      </c>
      <c r="J125" s="961"/>
      <c r="K125" s="52">
        <f t="shared" si="27"/>
        <v>1</v>
      </c>
      <c r="L125" s="961"/>
      <c r="M125" s="52">
        <f t="shared" si="28"/>
        <v>1</v>
      </c>
      <c r="N125" s="961"/>
      <c r="O125" s="52">
        <f t="shared" si="29"/>
        <v>1</v>
      </c>
      <c r="P125" s="961"/>
      <c r="Q125" s="52">
        <f t="shared" si="30"/>
        <v>1</v>
      </c>
      <c r="R125" s="489">
        <f t="shared" si="31"/>
        <v>0</v>
      </c>
      <c r="S125" s="798">
        <f t="shared" si="32"/>
        <v>0</v>
      </c>
    </row>
    <row r="126" spans="1:19">
      <c r="A126" s="963"/>
      <c r="B126" s="136"/>
      <c r="C126" s="52">
        <f t="shared" si="23"/>
        <v>1</v>
      </c>
      <c r="D126" s="961"/>
      <c r="E126" s="52">
        <f t="shared" si="24"/>
        <v>1</v>
      </c>
      <c r="F126" s="961"/>
      <c r="G126" s="52">
        <f t="shared" si="25"/>
        <v>1</v>
      </c>
      <c r="H126" s="961"/>
      <c r="I126" s="52">
        <f t="shared" si="26"/>
        <v>1</v>
      </c>
      <c r="J126" s="961"/>
      <c r="K126" s="52">
        <f t="shared" si="27"/>
        <v>1</v>
      </c>
      <c r="L126" s="961"/>
      <c r="M126" s="52">
        <f t="shared" si="28"/>
        <v>1</v>
      </c>
      <c r="N126" s="961"/>
      <c r="O126" s="52">
        <f t="shared" si="29"/>
        <v>1</v>
      </c>
      <c r="P126" s="961"/>
      <c r="Q126" s="52">
        <f t="shared" si="30"/>
        <v>1</v>
      </c>
      <c r="R126" s="489">
        <f t="shared" si="31"/>
        <v>0</v>
      </c>
      <c r="S126" s="798">
        <f t="shared" si="32"/>
        <v>0</v>
      </c>
    </row>
    <row r="127" spans="1:19">
      <c r="A127" s="963"/>
      <c r="B127" s="136"/>
      <c r="C127" s="52">
        <f t="shared" si="23"/>
        <v>1</v>
      </c>
      <c r="D127" s="961"/>
      <c r="E127" s="52">
        <f t="shared" si="24"/>
        <v>1</v>
      </c>
      <c r="F127" s="961"/>
      <c r="G127" s="52">
        <f t="shared" si="25"/>
        <v>1</v>
      </c>
      <c r="H127" s="961"/>
      <c r="I127" s="52">
        <f t="shared" si="26"/>
        <v>1</v>
      </c>
      <c r="J127" s="961"/>
      <c r="K127" s="52">
        <f t="shared" si="27"/>
        <v>1</v>
      </c>
      <c r="L127" s="961"/>
      <c r="M127" s="52">
        <f t="shared" si="28"/>
        <v>1</v>
      </c>
      <c r="N127" s="961"/>
      <c r="O127" s="52">
        <f t="shared" si="29"/>
        <v>1</v>
      </c>
      <c r="P127" s="961"/>
      <c r="Q127" s="52">
        <f t="shared" si="30"/>
        <v>1</v>
      </c>
      <c r="R127" s="489">
        <f t="shared" si="31"/>
        <v>0</v>
      </c>
      <c r="S127" s="798">
        <f t="shared" si="32"/>
        <v>0</v>
      </c>
    </row>
    <row r="128" spans="1:19">
      <c r="A128" s="963"/>
      <c r="B128" s="136"/>
      <c r="C128" s="52">
        <f t="shared" si="23"/>
        <v>1</v>
      </c>
      <c r="D128" s="961"/>
      <c r="E128" s="52">
        <f t="shared" si="24"/>
        <v>1</v>
      </c>
      <c r="F128" s="961"/>
      <c r="G128" s="52">
        <f t="shared" si="25"/>
        <v>1</v>
      </c>
      <c r="H128" s="961"/>
      <c r="I128" s="52">
        <f t="shared" si="26"/>
        <v>1</v>
      </c>
      <c r="J128" s="961"/>
      <c r="K128" s="52">
        <f t="shared" si="27"/>
        <v>1</v>
      </c>
      <c r="L128" s="961"/>
      <c r="M128" s="52">
        <f t="shared" si="28"/>
        <v>1</v>
      </c>
      <c r="N128" s="961"/>
      <c r="O128" s="52">
        <f t="shared" si="29"/>
        <v>1</v>
      </c>
      <c r="P128" s="961"/>
      <c r="Q128" s="52">
        <f t="shared" si="30"/>
        <v>1</v>
      </c>
      <c r="R128" s="489">
        <f t="shared" si="31"/>
        <v>0</v>
      </c>
      <c r="S128" s="798">
        <f t="shared" si="32"/>
        <v>0</v>
      </c>
    </row>
    <row r="129" spans="1:19">
      <c r="A129" s="963"/>
      <c r="B129" s="136"/>
      <c r="C129" s="52">
        <f t="shared" si="23"/>
        <v>1</v>
      </c>
      <c r="D129" s="961"/>
      <c r="E129" s="52">
        <f t="shared" si="24"/>
        <v>1</v>
      </c>
      <c r="F129" s="961"/>
      <c r="G129" s="52">
        <f t="shared" si="25"/>
        <v>1</v>
      </c>
      <c r="H129" s="961"/>
      <c r="I129" s="52">
        <f t="shared" si="26"/>
        <v>1</v>
      </c>
      <c r="J129" s="961"/>
      <c r="K129" s="52">
        <f t="shared" si="27"/>
        <v>1</v>
      </c>
      <c r="L129" s="961"/>
      <c r="M129" s="52">
        <f t="shared" si="28"/>
        <v>1</v>
      </c>
      <c r="N129" s="961"/>
      <c r="O129" s="52">
        <f t="shared" si="29"/>
        <v>1</v>
      </c>
      <c r="P129" s="961"/>
      <c r="Q129" s="52">
        <f t="shared" si="30"/>
        <v>1</v>
      </c>
      <c r="R129" s="489">
        <f t="shared" si="31"/>
        <v>0</v>
      </c>
      <c r="S129" s="798">
        <f t="shared" si="32"/>
        <v>0</v>
      </c>
    </row>
    <row r="130" spans="1:19">
      <c r="A130" s="963"/>
      <c r="B130" s="136"/>
      <c r="C130" s="52">
        <f t="shared" si="23"/>
        <v>1</v>
      </c>
      <c r="D130" s="961"/>
      <c r="E130" s="52">
        <f t="shared" si="24"/>
        <v>1</v>
      </c>
      <c r="F130" s="961"/>
      <c r="G130" s="52">
        <f t="shared" si="25"/>
        <v>1</v>
      </c>
      <c r="H130" s="961"/>
      <c r="I130" s="52">
        <f t="shared" si="26"/>
        <v>1</v>
      </c>
      <c r="J130" s="961"/>
      <c r="K130" s="52">
        <f t="shared" si="27"/>
        <v>1</v>
      </c>
      <c r="L130" s="961"/>
      <c r="M130" s="52">
        <f t="shared" si="28"/>
        <v>1</v>
      </c>
      <c r="N130" s="961"/>
      <c r="O130" s="52">
        <f t="shared" si="29"/>
        <v>1</v>
      </c>
      <c r="P130" s="961"/>
      <c r="Q130" s="52">
        <f t="shared" si="30"/>
        <v>1</v>
      </c>
      <c r="R130" s="489">
        <f t="shared" si="31"/>
        <v>0</v>
      </c>
      <c r="S130" s="798">
        <f t="shared" si="32"/>
        <v>0</v>
      </c>
    </row>
    <row r="131" spans="1:19">
      <c r="A131" s="963"/>
      <c r="B131" s="136"/>
      <c r="C131" s="52">
        <f t="shared" si="23"/>
        <v>1</v>
      </c>
      <c r="D131" s="961"/>
      <c r="E131" s="52">
        <f t="shared" si="24"/>
        <v>1</v>
      </c>
      <c r="F131" s="961"/>
      <c r="G131" s="52">
        <f t="shared" si="25"/>
        <v>1</v>
      </c>
      <c r="H131" s="961"/>
      <c r="I131" s="52">
        <f t="shared" si="26"/>
        <v>1</v>
      </c>
      <c r="J131" s="961"/>
      <c r="K131" s="52">
        <f t="shared" si="27"/>
        <v>1</v>
      </c>
      <c r="L131" s="961"/>
      <c r="M131" s="52">
        <f t="shared" si="28"/>
        <v>1</v>
      </c>
      <c r="N131" s="961"/>
      <c r="O131" s="52">
        <f t="shared" si="29"/>
        <v>1</v>
      </c>
      <c r="P131" s="961"/>
      <c r="Q131" s="52">
        <f t="shared" si="30"/>
        <v>1</v>
      </c>
      <c r="R131" s="489">
        <f t="shared" si="31"/>
        <v>0</v>
      </c>
      <c r="S131" s="798">
        <f t="shared" si="32"/>
        <v>0</v>
      </c>
    </row>
    <row r="132" spans="1:19">
      <c r="A132" s="963"/>
      <c r="B132" s="136"/>
      <c r="C132" s="52">
        <f t="shared" si="23"/>
        <v>1</v>
      </c>
      <c r="D132" s="961"/>
      <c r="E132" s="52">
        <f t="shared" si="24"/>
        <v>1</v>
      </c>
      <c r="F132" s="961"/>
      <c r="G132" s="52">
        <f t="shared" si="25"/>
        <v>1</v>
      </c>
      <c r="H132" s="961"/>
      <c r="I132" s="52">
        <f t="shared" si="26"/>
        <v>1</v>
      </c>
      <c r="J132" s="961"/>
      <c r="K132" s="52">
        <f t="shared" si="27"/>
        <v>1</v>
      </c>
      <c r="L132" s="961"/>
      <c r="M132" s="52">
        <f t="shared" si="28"/>
        <v>1</v>
      </c>
      <c r="N132" s="961"/>
      <c r="O132" s="52">
        <f t="shared" si="29"/>
        <v>1</v>
      </c>
      <c r="P132" s="961"/>
      <c r="Q132" s="52">
        <f t="shared" si="30"/>
        <v>1</v>
      </c>
      <c r="R132" s="489">
        <f t="shared" si="31"/>
        <v>0</v>
      </c>
      <c r="S132" s="798">
        <f t="shared" si="32"/>
        <v>0</v>
      </c>
    </row>
    <row r="133" spans="1:19">
      <c r="A133" s="963"/>
      <c r="B133" s="136"/>
      <c r="C133" s="52">
        <f t="shared" si="23"/>
        <v>1</v>
      </c>
      <c r="D133" s="961"/>
      <c r="E133" s="52">
        <f t="shared" si="24"/>
        <v>1</v>
      </c>
      <c r="F133" s="961"/>
      <c r="G133" s="52">
        <f t="shared" si="25"/>
        <v>1</v>
      </c>
      <c r="H133" s="961"/>
      <c r="I133" s="52">
        <f t="shared" si="26"/>
        <v>1</v>
      </c>
      <c r="J133" s="961"/>
      <c r="K133" s="52">
        <f t="shared" si="27"/>
        <v>1</v>
      </c>
      <c r="L133" s="961"/>
      <c r="M133" s="52">
        <f t="shared" si="28"/>
        <v>1</v>
      </c>
      <c r="N133" s="961"/>
      <c r="O133" s="52">
        <f t="shared" si="29"/>
        <v>1</v>
      </c>
      <c r="P133" s="961"/>
      <c r="Q133" s="52">
        <f t="shared" si="30"/>
        <v>1</v>
      </c>
      <c r="R133" s="489">
        <f t="shared" si="31"/>
        <v>0</v>
      </c>
      <c r="S133" s="798">
        <f t="shared" si="32"/>
        <v>0</v>
      </c>
    </row>
    <row r="134" spans="1:19">
      <c r="A134" s="963"/>
      <c r="B134" s="136"/>
      <c r="C134" s="52">
        <f t="shared" si="23"/>
        <v>1</v>
      </c>
      <c r="D134" s="961"/>
      <c r="E134" s="52">
        <f t="shared" si="24"/>
        <v>1</v>
      </c>
      <c r="F134" s="961"/>
      <c r="G134" s="52">
        <f t="shared" si="25"/>
        <v>1</v>
      </c>
      <c r="H134" s="961"/>
      <c r="I134" s="52">
        <f t="shared" si="26"/>
        <v>1</v>
      </c>
      <c r="J134" s="961"/>
      <c r="K134" s="52">
        <f t="shared" si="27"/>
        <v>1</v>
      </c>
      <c r="L134" s="961"/>
      <c r="M134" s="52">
        <f t="shared" si="28"/>
        <v>1</v>
      </c>
      <c r="N134" s="961"/>
      <c r="O134" s="52">
        <f t="shared" si="29"/>
        <v>1</v>
      </c>
      <c r="P134" s="961"/>
      <c r="Q134" s="52">
        <f t="shared" si="30"/>
        <v>1</v>
      </c>
      <c r="R134" s="489">
        <f t="shared" si="31"/>
        <v>0</v>
      </c>
      <c r="S134" s="798">
        <f t="shared" si="32"/>
        <v>0</v>
      </c>
    </row>
    <row r="135" spans="1:19">
      <c r="A135" s="963"/>
      <c r="B135" s="136"/>
      <c r="C135" s="52">
        <f t="shared" si="23"/>
        <v>1</v>
      </c>
      <c r="D135" s="961"/>
      <c r="E135" s="52">
        <f t="shared" si="24"/>
        <v>1</v>
      </c>
      <c r="F135" s="961"/>
      <c r="G135" s="52">
        <f t="shared" si="25"/>
        <v>1</v>
      </c>
      <c r="H135" s="961"/>
      <c r="I135" s="52">
        <f t="shared" si="26"/>
        <v>1</v>
      </c>
      <c r="J135" s="961"/>
      <c r="K135" s="52">
        <f t="shared" si="27"/>
        <v>1</v>
      </c>
      <c r="L135" s="961"/>
      <c r="M135" s="52">
        <f t="shared" si="28"/>
        <v>1</v>
      </c>
      <c r="N135" s="961"/>
      <c r="O135" s="52">
        <f t="shared" si="29"/>
        <v>1</v>
      </c>
      <c r="P135" s="961"/>
      <c r="Q135" s="52">
        <f t="shared" si="30"/>
        <v>1</v>
      </c>
      <c r="R135" s="489">
        <f t="shared" si="31"/>
        <v>0</v>
      </c>
      <c r="S135" s="798">
        <f t="shared" si="32"/>
        <v>0</v>
      </c>
    </row>
    <row r="136" spans="1:19">
      <c r="A136" s="963"/>
      <c r="B136" s="136"/>
      <c r="C136" s="52">
        <f t="shared" si="23"/>
        <v>1</v>
      </c>
      <c r="D136" s="961"/>
      <c r="E136" s="52">
        <f t="shared" si="24"/>
        <v>1</v>
      </c>
      <c r="F136" s="961"/>
      <c r="G136" s="52">
        <f t="shared" si="25"/>
        <v>1</v>
      </c>
      <c r="H136" s="961"/>
      <c r="I136" s="52">
        <f t="shared" si="26"/>
        <v>1</v>
      </c>
      <c r="J136" s="961"/>
      <c r="K136" s="52">
        <f t="shared" si="27"/>
        <v>1</v>
      </c>
      <c r="L136" s="961"/>
      <c r="M136" s="52">
        <f t="shared" si="28"/>
        <v>1</v>
      </c>
      <c r="N136" s="961"/>
      <c r="O136" s="52">
        <f t="shared" si="29"/>
        <v>1</v>
      </c>
      <c r="P136" s="961"/>
      <c r="Q136" s="52">
        <f t="shared" si="30"/>
        <v>1</v>
      </c>
      <c r="R136" s="489">
        <f t="shared" si="31"/>
        <v>0</v>
      </c>
      <c r="S136" s="798">
        <f t="shared" si="32"/>
        <v>0</v>
      </c>
    </row>
    <row r="137" spans="1:19">
      <c r="A137" s="963"/>
      <c r="B137" s="136"/>
      <c r="C137" s="52">
        <f t="shared" si="23"/>
        <v>1</v>
      </c>
      <c r="D137" s="961"/>
      <c r="E137" s="52">
        <f t="shared" si="24"/>
        <v>1</v>
      </c>
      <c r="F137" s="961"/>
      <c r="G137" s="52">
        <f t="shared" si="25"/>
        <v>1</v>
      </c>
      <c r="H137" s="961"/>
      <c r="I137" s="52">
        <f t="shared" si="26"/>
        <v>1</v>
      </c>
      <c r="J137" s="961"/>
      <c r="K137" s="52">
        <f t="shared" si="27"/>
        <v>1</v>
      </c>
      <c r="L137" s="961"/>
      <c r="M137" s="52">
        <f t="shared" si="28"/>
        <v>1</v>
      </c>
      <c r="N137" s="961"/>
      <c r="O137" s="52">
        <f t="shared" si="29"/>
        <v>1</v>
      </c>
      <c r="P137" s="961"/>
      <c r="Q137" s="52">
        <f t="shared" si="30"/>
        <v>1</v>
      </c>
      <c r="R137" s="489">
        <f t="shared" si="31"/>
        <v>0</v>
      </c>
      <c r="S137" s="798">
        <f t="shared" si="32"/>
        <v>0</v>
      </c>
    </row>
    <row r="138" spans="1:19">
      <c r="A138" s="963"/>
      <c r="B138" s="136"/>
      <c r="C138" s="52">
        <f t="shared" si="23"/>
        <v>1</v>
      </c>
      <c r="D138" s="961"/>
      <c r="E138" s="52">
        <f t="shared" si="24"/>
        <v>1</v>
      </c>
      <c r="F138" s="961"/>
      <c r="G138" s="52">
        <f t="shared" si="25"/>
        <v>1</v>
      </c>
      <c r="H138" s="961"/>
      <c r="I138" s="52">
        <f t="shared" si="26"/>
        <v>1</v>
      </c>
      <c r="J138" s="961"/>
      <c r="K138" s="52">
        <f t="shared" si="27"/>
        <v>1</v>
      </c>
      <c r="L138" s="961"/>
      <c r="M138" s="52">
        <f t="shared" si="28"/>
        <v>1</v>
      </c>
      <c r="N138" s="961"/>
      <c r="O138" s="52">
        <f t="shared" si="29"/>
        <v>1</v>
      </c>
      <c r="P138" s="961"/>
      <c r="Q138" s="52">
        <f t="shared" si="30"/>
        <v>1</v>
      </c>
      <c r="R138" s="489">
        <f t="shared" si="31"/>
        <v>0</v>
      </c>
      <c r="S138" s="798">
        <f t="shared" si="32"/>
        <v>0</v>
      </c>
    </row>
    <row r="139" spans="1:19">
      <c r="A139" s="963"/>
      <c r="B139" s="136"/>
      <c r="C139" s="52">
        <f t="shared" si="23"/>
        <v>1</v>
      </c>
      <c r="D139" s="961"/>
      <c r="E139" s="52">
        <f t="shared" si="24"/>
        <v>1</v>
      </c>
      <c r="F139" s="961"/>
      <c r="G139" s="52">
        <f t="shared" si="25"/>
        <v>1</v>
      </c>
      <c r="H139" s="961"/>
      <c r="I139" s="52">
        <f t="shared" si="26"/>
        <v>1</v>
      </c>
      <c r="J139" s="961"/>
      <c r="K139" s="52">
        <f t="shared" si="27"/>
        <v>1</v>
      </c>
      <c r="L139" s="961"/>
      <c r="M139" s="52">
        <f t="shared" si="28"/>
        <v>1</v>
      </c>
      <c r="N139" s="961"/>
      <c r="O139" s="52">
        <f t="shared" si="29"/>
        <v>1</v>
      </c>
      <c r="P139" s="961"/>
      <c r="Q139" s="52">
        <f t="shared" si="30"/>
        <v>1</v>
      </c>
      <c r="R139" s="489">
        <f t="shared" si="31"/>
        <v>0</v>
      </c>
      <c r="S139" s="798">
        <f t="shared" si="32"/>
        <v>0</v>
      </c>
    </row>
    <row r="140" spans="1:19">
      <c r="A140" s="963"/>
      <c r="B140" s="136"/>
      <c r="C140" s="52">
        <f t="shared" si="23"/>
        <v>1</v>
      </c>
      <c r="D140" s="961"/>
      <c r="E140" s="52">
        <f t="shared" si="24"/>
        <v>1</v>
      </c>
      <c r="F140" s="961"/>
      <c r="G140" s="52">
        <f t="shared" si="25"/>
        <v>1</v>
      </c>
      <c r="H140" s="961"/>
      <c r="I140" s="52">
        <f t="shared" si="26"/>
        <v>1</v>
      </c>
      <c r="J140" s="961"/>
      <c r="K140" s="52">
        <f t="shared" si="27"/>
        <v>1</v>
      </c>
      <c r="L140" s="961"/>
      <c r="M140" s="52">
        <f t="shared" si="28"/>
        <v>1</v>
      </c>
      <c r="N140" s="961"/>
      <c r="O140" s="52">
        <f t="shared" si="29"/>
        <v>1</v>
      </c>
      <c r="P140" s="961"/>
      <c r="Q140" s="52">
        <f t="shared" si="30"/>
        <v>1</v>
      </c>
      <c r="R140" s="489">
        <f t="shared" si="31"/>
        <v>0</v>
      </c>
      <c r="S140" s="798">
        <f t="shared" si="32"/>
        <v>0</v>
      </c>
    </row>
    <row r="141" spans="1:19">
      <c r="A141" s="963"/>
      <c r="B141" s="136"/>
      <c r="C141" s="52">
        <f t="shared" si="23"/>
        <v>1</v>
      </c>
      <c r="D141" s="961"/>
      <c r="E141" s="52">
        <f t="shared" si="24"/>
        <v>1</v>
      </c>
      <c r="F141" s="961"/>
      <c r="G141" s="52">
        <f t="shared" si="25"/>
        <v>1</v>
      </c>
      <c r="H141" s="961"/>
      <c r="I141" s="52">
        <f t="shared" si="26"/>
        <v>1</v>
      </c>
      <c r="J141" s="961"/>
      <c r="K141" s="52">
        <f t="shared" si="27"/>
        <v>1</v>
      </c>
      <c r="L141" s="961"/>
      <c r="M141" s="52">
        <f t="shared" si="28"/>
        <v>1</v>
      </c>
      <c r="N141" s="961"/>
      <c r="O141" s="52">
        <f t="shared" si="29"/>
        <v>1</v>
      </c>
      <c r="P141" s="961"/>
      <c r="Q141" s="52">
        <f t="shared" si="30"/>
        <v>1</v>
      </c>
      <c r="R141" s="489">
        <f t="shared" si="31"/>
        <v>0</v>
      </c>
      <c r="S141" s="798">
        <f t="shared" si="32"/>
        <v>0</v>
      </c>
    </row>
    <row r="142" spans="1:19">
      <c r="A142" s="963"/>
      <c r="B142" s="136"/>
      <c r="C142" s="52">
        <f t="shared" si="23"/>
        <v>1</v>
      </c>
      <c r="D142" s="961"/>
      <c r="E142" s="52">
        <f t="shared" si="24"/>
        <v>1</v>
      </c>
      <c r="F142" s="961"/>
      <c r="G142" s="52">
        <f t="shared" si="25"/>
        <v>1</v>
      </c>
      <c r="H142" s="961"/>
      <c r="I142" s="52">
        <f t="shared" si="26"/>
        <v>1</v>
      </c>
      <c r="J142" s="961"/>
      <c r="K142" s="52">
        <f t="shared" si="27"/>
        <v>1</v>
      </c>
      <c r="L142" s="961"/>
      <c r="M142" s="52">
        <f t="shared" si="28"/>
        <v>1</v>
      </c>
      <c r="N142" s="961"/>
      <c r="O142" s="52">
        <f t="shared" si="29"/>
        <v>1</v>
      </c>
      <c r="P142" s="961"/>
      <c r="Q142" s="52">
        <f t="shared" si="30"/>
        <v>1</v>
      </c>
      <c r="R142" s="489">
        <f t="shared" si="31"/>
        <v>0</v>
      </c>
      <c r="S142" s="798">
        <f t="shared" si="32"/>
        <v>0</v>
      </c>
    </row>
    <row r="143" spans="1:19">
      <c r="A143" s="963"/>
      <c r="B143" s="136"/>
      <c r="C143" s="52">
        <f t="shared" si="23"/>
        <v>1</v>
      </c>
      <c r="D143" s="961"/>
      <c r="E143" s="52">
        <f t="shared" si="24"/>
        <v>1</v>
      </c>
      <c r="F143" s="961"/>
      <c r="G143" s="52">
        <f t="shared" si="25"/>
        <v>1</v>
      </c>
      <c r="H143" s="961"/>
      <c r="I143" s="52">
        <f t="shared" si="26"/>
        <v>1</v>
      </c>
      <c r="J143" s="961"/>
      <c r="K143" s="52">
        <f t="shared" si="27"/>
        <v>1</v>
      </c>
      <c r="L143" s="961"/>
      <c r="M143" s="52">
        <f t="shared" si="28"/>
        <v>1</v>
      </c>
      <c r="N143" s="961"/>
      <c r="O143" s="52">
        <f t="shared" si="29"/>
        <v>1</v>
      </c>
      <c r="P143" s="961"/>
      <c r="Q143" s="52">
        <f t="shared" si="30"/>
        <v>1</v>
      </c>
      <c r="R143" s="489">
        <f t="shared" si="31"/>
        <v>0</v>
      </c>
      <c r="S143" s="798">
        <f t="shared" si="32"/>
        <v>0</v>
      </c>
    </row>
    <row r="144" spans="1:19">
      <c r="A144" s="963"/>
      <c r="B144" s="136"/>
      <c r="C144" s="52">
        <f t="shared" si="23"/>
        <v>1</v>
      </c>
      <c r="D144" s="961"/>
      <c r="E144" s="52">
        <f t="shared" si="24"/>
        <v>1</v>
      </c>
      <c r="F144" s="961"/>
      <c r="G144" s="52">
        <f t="shared" si="25"/>
        <v>1</v>
      </c>
      <c r="H144" s="961"/>
      <c r="I144" s="52">
        <f t="shared" si="26"/>
        <v>1</v>
      </c>
      <c r="J144" s="961"/>
      <c r="K144" s="52">
        <f t="shared" si="27"/>
        <v>1</v>
      </c>
      <c r="L144" s="961"/>
      <c r="M144" s="52">
        <f t="shared" si="28"/>
        <v>1</v>
      </c>
      <c r="N144" s="961"/>
      <c r="O144" s="52">
        <f t="shared" si="29"/>
        <v>1</v>
      </c>
      <c r="P144" s="961"/>
      <c r="Q144" s="52">
        <f t="shared" si="30"/>
        <v>1</v>
      </c>
      <c r="R144" s="489">
        <f t="shared" si="31"/>
        <v>0</v>
      </c>
      <c r="S144" s="798">
        <f t="shared" si="32"/>
        <v>0</v>
      </c>
    </row>
    <row r="145" spans="1:19">
      <c r="A145" s="963"/>
      <c r="B145" s="136"/>
      <c r="C145" s="52">
        <f t="shared" si="23"/>
        <v>1</v>
      </c>
      <c r="D145" s="961"/>
      <c r="E145" s="52">
        <f t="shared" si="24"/>
        <v>1</v>
      </c>
      <c r="F145" s="961"/>
      <c r="G145" s="52">
        <f t="shared" si="25"/>
        <v>1</v>
      </c>
      <c r="H145" s="961"/>
      <c r="I145" s="52">
        <f t="shared" si="26"/>
        <v>1</v>
      </c>
      <c r="J145" s="961"/>
      <c r="K145" s="52">
        <f t="shared" si="27"/>
        <v>1</v>
      </c>
      <c r="L145" s="961"/>
      <c r="M145" s="52">
        <f t="shared" si="28"/>
        <v>1</v>
      </c>
      <c r="N145" s="961"/>
      <c r="O145" s="52">
        <f t="shared" si="29"/>
        <v>1</v>
      </c>
      <c r="P145" s="961"/>
      <c r="Q145" s="52">
        <f t="shared" si="30"/>
        <v>1</v>
      </c>
      <c r="R145" s="489">
        <f t="shared" si="31"/>
        <v>0</v>
      </c>
      <c r="S145" s="798">
        <f t="shared" si="32"/>
        <v>0</v>
      </c>
    </row>
    <row r="146" spans="1:19">
      <c r="A146" s="963"/>
      <c r="B146" s="136"/>
      <c r="C146" s="52">
        <f t="shared" si="23"/>
        <v>1</v>
      </c>
      <c r="D146" s="961"/>
      <c r="E146" s="52">
        <f t="shared" si="24"/>
        <v>1</v>
      </c>
      <c r="F146" s="961"/>
      <c r="G146" s="52">
        <f t="shared" si="25"/>
        <v>1</v>
      </c>
      <c r="H146" s="961"/>
      <c r="I146" s="52">
        <f t="shared" si="26"/>
        <v>1</v>
      </c>
      <c r="J146" s="961"/>
      <c r="K146" s="52">
        <f t="shared" si="27"/>
        <v>1</v>
      </c>
      <c r="L146" s="961"/>
      <c r="M146" s="52">
        <f t="shared" si="28"/>
        <v>1</v>
      </c>
      <c r="N146" s="961"/>
      <c r="O146" s="52">
        <f t="shared" si="29"/>
        <v>1</v>
      </c>
      <c r="P146" s="961"/>
      <c r="Q146" s="52">
        <f t="shared" si="30"/>
        <v>1</v>
      </c>
      <c r="R146" s="489">
        <f t="shared" si="31"/>
        <v>0</v>
      </c>
      <c r="S146" s="798">
        <f t="shared" si="32"/>
        <v>0</v>
      </c>
    </row>
    <row r="147" spans="1:19">
      <c r="A147" s="963"/>
      <c r="B147" s="136"/>
      <c r="C147" s="52">
        <f t="shared" si="23"/>
        <v>1</v>
      </c>
      <c r="D147" s="961"/>
      <c r="E147" s="52">
        <f t="shared" si="24"/>
        <v>1</v>
      </c>
      <c r="F147" s="961"/>
      <c r="G147" s="52">
        <f t="shared" si="25"/>
        <v>1</v>
      </c>
      <c r="H147" s="961"/>
      <c r="I147" s="52">
        <f t="shared" si="26"/>
        <v>1</v>
      </c>
      <c r="J147" s="961"/>
      <c r="K147" s="52">
        <f t="shared" si="27"/>
        <v>1</v>
      </c>
      <c r="L147" s="961"/>
      <c r="M147" s="52">
        <f t="shared" si="28"/>
        <v>1</v>
      </c>
      <c r="N147" s="961"/>
      <c r="O147" s="52">
        <f t="shared" si="29"/>
        <v>1</v>
      </c>
      <c r="P147" s="961"/>
      <c r="Q147" s="52">
        <f t="shared" si="30"/>
        <v>1</v>
      </c>
      <c r="R147" s="489">
        <f t="shared" si="31"/>
        <v>0</v>
      </c>
      <c r="S147" s="798">
        <f t="shared" si="32"/>
        <v>0</v>
      </c>
    </row>
    <row r="148" spans="1:19">
      <c r="A148" s="963"/>
      <c r="B148" s="136"/>
      <c r="C148" s="52">
        <f t="shared" si="23"/>
        <v>1</v>
      </c>
      <c r="D148" s="961"/>
      <c r="E148" s="52">
        <f t="shared" si="24"/>
        <v>1</v>
      </c>
      <c r="F148" s="961"/>
      <c r="G148" s="52">
        <f t="shared" si="25"/>
        <v>1</v>
      </c>
      <c r="H148" s="961"/>
      <c r="I148" s="52">
        <f t="shared" si="26"/>
        <v>1</v>
      </c>
      <c r="J148" s="961"/>
      <c r="K148" s="52">
        <f t="shared" si="27"/>
        <v>1</v>
      </c>
      <c r="L148" s="961"/>
      <c r="M148" s="52">
        <f t="shared" si="28"/>
        <v>1</v>
      </c>
      <c r="N148" s="961"/>
      <c r="O148" s="52">
        <f t="shared" si="29"/>
        <v>1</v>
      </c>
      <c r="P148" s="961"/>
      <c r="Q148" s="52">
        <f t="shared" si="30"/>
        <v>1</v>
      </c>
      <c r="R148" s="489">
        <f t="shared" si="31"/>
        <v>0</v>
      </c>
      <c r="S148" s="798">
        <f t="shared" si="32"/>
        <v>0</v>
      </c>
    </row>
    <row r="149" spans="1:19">
      <c r="A149" s="963"/>
      <c r="B149" s="136"/>
      <c r="C149" s="52">
        <f t="shared" si="23"/>
        <v>1</v>
      </c>
      <c r="D149" s="961"/>
      <c r="E149" s="52">
        <f t="shared" si="24"/>
        <v>1</v>
      </c>
      <c r="F149" s="961"/>
      <c r="G149" s="52">
        <f t="shared" si="25"/>
        <v>1</v>
      </c>
      <c r="H149" s="961"/>
      <c r="I149" s="52">
        <f t="shared" si="26"/>
        <v>1</v>
      </c>
      <c r="J149" s="961"/>
      <c r="K149" s="52">
        <f t="shared" si="27"/>
        <v>1</v>
      </c>
      <c r="L149" s="961"/>
      <c r="M149" s="52">
        <f t="shared" si="28"/>
        <v>1</v>
      </c>
      <c r="N149" s="961"/>
      <c r="O149" s="52">
        <f t="shared" si="29"/>
        <v>1</v>
      </c>
      <c r="P149" s="961"/>
      <c r="Q149" s="52">
        <f t="shared" si="30"/>
        <v>1</v>
      </c>
      <c r="R149" s="489">
        <f t="shared" si="31"/>
        <v>0</v>
      </c>
      <c r="S149" s="798">
        <f t="shared" si="32"/>
        <v>0</v>
      </c>
    </row>
    <row r="150" spans="1:19">
      <c r="A150" s="963"/>
      <c r="B150" s="136"/>
      <c r="C150" s="52">
        <f t="shared" si="23"/>
        <v>1</v>
      </c>
      <c r="D150" s="961"/>
      <c r="E150" s="52">
        <f t="shared" si="24"/>
        <v>1</v>
      </c>
      <c r="F150" s="961"/>
      <c r="G150" s="52">
        <f t="shared" si="25"/>
        <v>1</v>
      </c>
      <c r="H150" s="961"/>
      <c r="I150" s="52">
        <f t="shared" si="26"/>
        <v>1</v>
      </c>
      <c r="J150" s="961"/>
      <c r="K150" s="52">
        <f t="shared" si="27"/>
        <v>1</v>
      </c>
      <c r="L150" s="961"/>
      <c r="M150" s="52">
        <f t="shared" si="28"/>
        <v>1</v>
      </c>
      <c r="N150" s="961"/>
      <c r="O150" s="52">
        <f t="shared" si="29"/>
        <v>1</v>
      </c>
      <c r="P150" s="961"/>
      <c r="Q150" s="52">
        <f t="shared" si="30"/>
        <v>1</v>
      </c>
      <c r="R150" s="489">
        <f t="shared" si="31"/>
        <v>0</v>
      </c>
      <c r="S150" s="798">
        <f t="shared" si="32"/>
        <v>0</v>
      </c>
    </row>
    <row r="151" spans="1:19">
      <c r="A151" s="963"/>
      <c r="B151" s="136"/>
      <c r="C151" s="52">
        <f t="shared" si="23"/>
        <v>1</v>
      </c>
      <c r="D151" s="961"/>
      <c r="E151" s="52">
        <f t="shared" si="24"/>
        <v>1</v>
      </c>
      <c r="F151" s="961"/>
      <c r="G151" s="52">
        <f t="shared" si="25"/>
        <v>1</v>
      </c>
      <c r="H151" s="961"/>
      <c r="I151" s="52">
        <f t="shared" si="26"/>
        <v>1</v>
      </c>
      <c r="J151" s="961"/>
      <c r="K151" s="52">
        <f t="shared" si="27"/>
        <v>1</v>
      </c>
      <c r="L151" s="961"/>
      <c r="M151" s="52">
        <f t="shared" si="28"/>
        <v>1</v>
      </c>
      <c r="N151" s="961"/>
      <c r="O151" s="52">
        <f t="shared" si="29"/>
        <v>1</v>
      </c>
      <c r="P151" s="961"/>
      <c r="Q151" s="52">
        <f t="shared" si="30"/>
        <v>1</v>
      </c>
      <c r="R151" s="489">
        <f t="shared" si="31"/>
        <v>0</v>
      </c>
      <c r="S151" s="798">
        <f t="shared" si="32"/>
        <v>0</v>
      </c>
    </row>
    <row r="152" spans="1:19">
      <c r="A152" s="963"/>
      <c r="B152" s="136"/>
      <c r="C152" s="52">
        <f t="shared" si="23"/>
        <v>1</v>
      </c>
      <c r="D152" s="961"/>
      <c r="E152" s="52">
        <f t="shared" si="24"/>
        <v>1</v>
      </c>
      <c r="F152" s="961"/>
      <c r="G152" s="52">
        <f t="shared" si="25"/>
        <v>1</v>
      </c>
      <c r="H152" s="961"/>
      <c r="I152" s="52">
        <f t="shared" si="26"/>
        <v>1</v>
      </c>
      <c r="J152" s="961"/>
      <c r="K152" s="52">
        <f t="shared" si="27"/>
        <v>1</v>
      </c>
      <c r="L152" s="961"/>
      <c r="M152" s="52">
        <f t="shared" si="28"/>
        <v>1</v>
      </c>
      <c r="N152" s="961"/>
      <c r="O152" s="52">
        <f t="shared" si="29"/>
        <v>1</v>
      </c>
      <c r="P152" s="961"/>
      <c r="Q152" s="52">
        <f t="shared" si="30"/>
        <v>1</v>
      </c>
      <c r="R152" s="489">
        <f t="shared" si="31"/>
        <v>0</v>
      </c>
      <c r="S152" s="798">
        <f t="shared" si="32"/>
        <v>0</v>
      </c>
    </row>
    <row r="153" spans="1:19">
      <c r="A153" s="963"/>
      <c r="B153" s="136"/>
      <c r="C153" s="52">
        <f t="shared" si="23"/>
        <v>1</v>
      </c>
      <c r="D153" s="961"/>
      <c r="E153" s="52">
        <f t="shared" si="24"/>
        <v>1</v>
      </c>
      <c r="F153" s="961"/>
      <c r="G153" s="52">
        <f t="shared" si="25"/>
        <v>1</v>
      </c>
      <c r="H153" s="961"/>
      <c r="I153" s="52">
        <f t="shared" si="26"/>
        <v>1</v>
      </c>
      <c r="J153" s="961"/>
      <c r="K153" s="52">
        <f t="shared" si="27"/>
        <v>1</v>
      </c>
      <c r="L153" s="961"/>
      <c r="M153" s="52">
        <f t="shared" si="28"/>
        <v>1</v>
      </c>
      <c r="N153" s="961"/>
      <c r="O153" s="52">
        <f t="shared" si="29"/>
        <v>1</v>
      </c>
      <c r="P153" s="961"/>
      <c r="Q153" s="52">
        <f t="shared" si="30"/>
        <v>1</v>
      </c>
      <c r="R153" s="489">
        <f t="shared" si="31"/>
        <v>0</v>
      </c>
      <c r="S153" s="798">
        <f t="shared" si="32"/>
        <v>0</v>
      </c>
    </row>
    <row r="154" spans="1:19">
      <c r="A154" s="963"/>
      <c r="B154" s="136"/>
      <c r="C154" s="52">
        <f t="shared" ref="C154:C217" si="33">IF(B154="",1,(LOOKUP(B154,$3:$3,$4:$4)-LOOKUP($B$24,$3:$3,$4:$4)+100)/100)</f>
        <v>1</v>
      </c>
      <c r="D154" s="961"/>
      <c r="E154" s="52">
        <f t="shared" ref="E154:E217" si="34">(SUMIF($5:$5,D154,$6:$6)-SUMIF($5:$5,$D$24,$6:$6)+100)/100</f>
        <v>1</v>
      </c>
      <c r="F154" s="961"/>
      <c r="G154" s="52">
        <f t="shared" ref="G154:G217" si="35">(SUMIF($7:$7,F154,$8:$8)-SUMIF($7:$7,$F$24,$8:$8)+100)/100</f>
        <v>1</v>
      </c>
      <c r="H154" s="961"/>
      <c r="I154" s="52">
        <f t="shared" ref="I154:I217" si="36">(SUMIF($9:$9,H154,$10:$10)-SUMIF($9:$9,$H$24,$10:$10)+100)/100</f>
        <v>1</v>
      </c>
      <c r="J154" s="961"/>
      <c r="K154" s="52">
        <f t="shared" ref="K154:K217" si="37">(SUMIF($11:$11,J154,$12:$12)-SUMIF($11:$11,$J$24,$12:$12)+100)/100</f>
        <v>1</v>
      </c>
      <c r="L154" s="961"/>
      <c r="M154" s="52">
        <f t="shared" ref="M154:M217" si="38">(SUMIF($13:$13,L154,$14:$14)-SUMIF($13:$13,$L$24,$14:$14)+100)/100</f>
        <v>1</v>
      </c>
      <c r="N154" s="961"/>
      <c r="O154" s="52">
        <f t="shared" ref="O154:O217" si="39">(SUMIF($15:$15,N154,$16:$16)-SUMIF($15:$15,$N$24,$16:$16)+100)/100</f>
        <v>1</v>
      </c>
      <c r="P154" s="961"/>
      <c r="Q154" s="52">
        <f t="shared" ref="Q154:Q217" si="40">(SUMIF($17:$17,P154,$18:$18)-SUMIF($17:$17,$P$24,$18:$18)+100)/100</f>
        <v>1</v>
      </c>
      <c r="R154" s="489">
        <f t="shared" ref="R154:R217" si="41">IF(B154="",0,ROUND($R$24*C154*E154*G154*I154*K154*M154*O154*Q154,0))</f>
        <v>0</v>
      </c>
      <c r="S154" s="798">
        <f t="shared" si="32"/>
        <v>0</v>
      </c>
    </row>
    <row r="155" spans="1:19">
      <c r="A155" s="963"/>
      <c r="B155" s="136"/>
      <c r="C155" s="52">
        <f t="shared" si="33"/>
        <v>1</v>
      </c>
      <c r="D155" s="961"/>
      <c r="E155" s="52">
        <f t="shared" si="34"/>
        <v>1</v>
      </c>
      <c r="F155" s="961"/>
      <c r="G155" s="52">
        <f t="shared" si="35"/>
        <v>1</v>
      </c>
      <c r="H155" s="961"/>
      <c r="I155" s="52">
        <f t="shared" si="36"/>
        <v>1</v>
      </c>
      <c r="J155" s="961"/>
      <c r="K155" s="52">
        <f t="shared" si="37"/>
        <v>1</v>
      </c>
      <c r="L155" s="961"/>
      <c r="M155" s="52">
        <f t="shared" si="38"/>
        <v>1</v>
      </c>
      <c r="N155" s="961"/>
      <c r="O155" s="52">
        <f t="shared" si="39"/>
        <v>1</v>
      </c>
      <c r="P155" s="961"/>
      <c r="Q155" s="52">
        <f t="shared" si="40"/>
        <v>1</v>
      </c>
      <c r="R155" s="489">
        <f t="shared" si="41"/>
        <v>0</v>
      </c>
      <c r="S155" s="798">
        <f t="shared" si="32"/>
        <v>0</v>
      </c>
    </row>
    <row r="156" spans="1:19">
      <c r="A156" s="963"/>
      <c r="B156" s="136"/>
      <c r="C156" s="52">
        <f t="shared" si="33"/>
        <v>1</v>
      </c>
      <c r="D156" s="961"/>
      <c r="E156" s="52">
        <f t="shared" si="34"/>
        <v>1</v>
      </c>
      <c r="F156" s="961"/>
      <c r="G156" s="52">
        <f t="shared" si="35"/>
        <v>1</v>
      </c>
      <c r="H156" s="961"/>
      <c r="I156" s="52">
        <f t="shared" si="36"/>
        <v>1</v>
      </c>
      <c r="J156" s="961"/>
      <c r="K156" s="52">
        <f t="shared" si="37"/>
        <v>1</v>
      </c>
      <c r="L156" s="961"/>
      <c r="M156" s="52">
        <f t="shared" si="38"/>
        <v>1</v>
      </c>
      <c r="N156" s="961"/>
      <c r="O156" s="52">
        <f t="shared" si="39"/>
        <v>1</v>
      </c>
      <c r="P156" s="961"/>
      <c r="Q156" s="52">
        <f t="shared" si="40"/>
        <v>1</v>
      </c>
      <c r="R156" s="489">
        <f t="shared" si="41"/>
        <v>0</v>
      </c>
      <c r="S156" s="798">
        <f t="shared" si="32"/>
        <v>0</v>
      </c>
    </row>
    <row r="157" spans="1:19">
      <c r="A157" s="963"/>
      <c r="B157" s="136"/>
      <c r="C157" s="52">
        <f t="shared" si="33"/>
        <v>1</v>
      </c>
      <c r="D157" s="961"/>
      <c r="E157" s="52">
        <f t="shared" si="34"/>
        <v>1</v>
      </c>
      <c r="F157" s="961"/>
      <c r="G157" s="52">
        <f t="shared" si="35"/>
        <v>1</v>
      </c>
      <c r="H157" s="961"/>
      <c r="I157" s="52">
        <f t="shared" si="36"/>
        <v>1</v>
      </c>
      <c r="J157" s="961"/>
      <c r="K157" s="52">
        <f t="shared" si="37"/>
        <v>1</v>
      </c>
      <c r="L157" s="961"/>
      <c r="M157" s="52">
        <f t="shared" si="38"/>
        <v>1</v>
      </c>
      <c r="N157" s="961"/>
      <c r="O157" s="52">
        <f t="shared" si="39"/>
        <v>1</v>
      </c>
      <c r="P157" s="961"/>
      <c r="Q157" s="52">
        <f t="shared" si="40"/>
        <v>1</v>
      </c>
      <c r="R157" s="489">
        <f t="shared" si="41"/>
        <v>0</v>
      </c>
      <c r="S157" s="798">
        <f t="shared" si="32"/>
        <v>0</v>
      </c>
    </row>
    <row r="158" spans="1:19">
      <c r="A158" s="963"/>
      <c r="B158" s="136"/>
      <c r="C158" s="52">
        <f t="shared" si="33"/>
        <v>1</v>
      </c>
      <c r="D158" s="961"/>
      <c r="E158" s="52">
        <f t="shared" si="34"/>
        <v>1</v>
      </c>
      <c r="F158" s="961"/>
      <c r="G158" s="52">
        <f t="shared" si="35"/>
        <v>1</v>
      </c>
      <c r="H158" s="961"/>
      <c r="I158" s="52">
        <f t="shared" si="36"/>
        <v>1</v>
      </c>
      <c r="J158" s="961"/>
      <c r="K158" s="52">
        <f t="shared" si="37"/>
        <v>1</v>
      </c>
      <c r="L158" s="961"/>
      <c r="M158" s="52">
        <f t="shared" si="38"/>
        <v>1</v>
      </c>
      <c r="N158" s="961"/>
      <c r="O158" s="52">
        <f t="shared" si="39"/>
        <v>1</v>
      </c>
      <c r="P158" s="961"/>
      <c r="Q158" s="52">
        <f t="shared" si="40"/>
        <v>1</v>
      </c>
      <c r="R158" s="489">
        <f t="shared" si="41"/>
        <v>0</v>
      </c>
      <c r="S158" s="798">
        <f t="shared" si="32"/>
        <v>0</v>
      </c>
    </row>
    <row r="159" spans="1:19">
      <c r="A159" s="963"/>
      <c r="B159" s="136"/>
      <c r="C159" s="52">
        <f t="shared" si="33"/>
        <v>1</v>
      </c>
      <c r="D159" s="961"/>
      <c r="E159" s="52">
        <f t="shared" si="34"/>
        <v>1</v>
      </c>
      <c r="F159" s="961"/>
      <c r="G159" s="52">
        <f t="shared" si="35"/>
        <v>1</v>
      </c>
      <c r="H159" s="961"/>
      <c r="I159" s="52">
        <f t="shared" si="36"/>
        <v>1</v>
      </c>
      <c r="J159" s="961"/>
      <c r="K159" s="52">
        <f t="shared" si="37"/>
        <v>1</v>
      </c>
      <c r="L159" s="961"/>
      <c r="M159" s="52">
        <f t="shared" si="38"/>
        <v>1</v>
      </c>
      <c r="N159" s="961"/>
      <c r="O159" s="52">
        <f t="shared" si="39"/>
        <v>1</v>
      </c>
      <c r="P159" s="961"/>
      <c r="Q159" s="52">
        <f t="shared" si="40"/>
        <v>1</v>
      </c>
      <c r="R159" s="489">
        <f t="shared" si="41"/>
        <v>0</v>
      </c>
      <c r="S159" s="798">
        <f t="shared" si="32"/>
        <v>0</v>
      </c>
    </row>
    <row r="160" spans="1:19">
      <c r="A160" s="963"/>
      <c r="B160" s="136"/>
      <c r="C160" s="52">
        <f t="shared" si="33"/>
        <v>1</v>
      </c>
      <c r="D160" s="961"/>
      <c r="E160" s="52">
        <f t="shared" si="34"/>
        <v>1</v>
      </c>
      <c r="F160" s="961"/>
      <c r="G160" s="52">
        <f t="shared" si="35"/>
        <v>1</v>
      </c>
      <c r="H160" s="961"/>
      <c r="I160" s="52">
        <f t="shared" si="36"/>
        <v>1</v>
      </c>
      <c r="J160" s="961"/>
      <c r="K160" s="52">
        <f t="shared" si="37"/>
        <v>1</v>
      </c>
      <c r="L160" s="961"/>
      <c r="M160" s="52">
        <f t="shared" si="38"/>
        <v>1</v>
      </c>
      <c r="N160" s="961"/>
      <c r="O160" s="52">
        <f t="shared" si="39"/>
        <v>1</v>
      </c>
      <c r="P160" s="961"/>
      <c r="Q160" s="52">
        <f t="shared" si="40"/>
        <v>1</v>
      </c>
      <c r="R160" s="489">
        <f t="shared" si="41"/>
        <v>0</v>
      </c>
      <c r="S160" s="798">
        <f t="shared" si="32"/>
        <v>0</v>
      </c>
    </row>
    <row r="161" spans="1:19">
      <c r="A161" s="963"/>
      <c r="B161" s="136"/>
      <c r="C161" s="52">
        <f t="shared" si="33"/>
        <v>1</v>
      </c>
      <c r="D161" s="961"/>
      <c r="E161" s="52">
        <f t="shared" si="34"/>
        <v>1</v>
      </c>
      <c r="F161" s="961"/>
      <c r="G161" s="52">
        <f t="shared" si="35"/>
        <v>1</v>
      </c>
      <c r="H161" s="961"/>
      <c r="I161" s="52">
        <f t="shared" si="36"/>
        <v>1</v>
      </c>
      <c r="J161" s="961"/>
      <c r="K161" s="52">
        <f t="shared" si="37"/>
        <v>1</v>
      </c>
      <c r="L161" s="961"/>
      <c r="M161" s="52">
        <f t="shared" si="38"/>
        <v>1</v>
      </c>
      <c r="N161" s="961"/>
      <c r="O161" s="52">
        <f t="shared" si="39"/>
        <v>1</v>
      </c>
      <c r="P161" s="961"/>
      <c r="Q161" s="52">
        <f t="shared" si="40"/>
        <v>1</v>
      </c>
      <c r="R161" s="489">
        <f t="shared" si="41"/>
        <v>0</v>
      </c>
      <c r="S161" s="798">
        <f t="shared" si="32"/>
        <v>0</v>
      </c>
    </row>
    <row r="162" spans="1:19">
      <c r="A162" s="963"/>
      <c r="B162" s="136"/>
      <c r="C162" s="52">
        <f t="shared" si="33"/>
        <v>1</v>
      </c>
      <c r="D162" s="961"/>
      <c r="E162" s="52">
        <f t="shared" si="34"/>
        <v>1</v>
      </c>
      <c r="F162" s="961"/>
      <c r="G162" s="52">
        <f t="shared" si="35"/>
        <v>1</v>
      </c>
      <c r="H162" s="961"/>
      <c r="I162" s="52">
        <f t="shared" si="36"/>
        <v>1</v>
      </c>
      <c r="J162" s="961"/>
      <c r="K162" s="52">
        <f t="shared" si="37"/>
        <v>1</v>
      </c>
      <c r="L162" s="961"/>
      <c r="M162" s="52">
        <f t="shared" si="38"/>
        <v>1</v>
      </c>
      <c r="N162" s="961"/>
      <c r="O162" s="52">
        <f t="shared" si="39"/>
        <v>1</v>
      </c>
      <c r="P162" s="961"/>
      <c r="Q162" s="52">
        <f t="shared" si="40"/>
        <v>1</v>
      </c>
      <c r="R162" s="489">
        <f t="shared" si="41"/>
        <v>0</v>
      </c>
      <c r="S162" s="798">
        <f t="shared" si="32"/>
        <v>0</v>
      </c>
    </row>
    <row r="163" spans="1:19">
      <c r="A163" s="963"/>
      <c r="B163" s="136"/>
      <c r="C163" s="52">
        <f t="shared" si="33"/>
        <v>1</v>
      </c>
      <c r="D163" s="961"/>
      <c r="E163" s="52">
        <f t="shared" si="34"/>
        <v>1</v>
      </c>
      <c r="F163" s="961"/>
      <c r="G163" s="52">
        <f t="shared" si="35"/>
        <v>1</v>
      </c>
      <c r="H163" s="961"/>
      <c r="I163" s="52">
        <f t="shared" si="36"/>
        <v>1</v>
      </c>
      <c r="J163" s="961"/>
      <c r="K163" s="52">
        <f t="shared" si="37"/>
        <v>1</v>
      </c>
      <c r="L163" s="961"/>
      <c r="M163" s="52">
        <f t="shared" si="38"/>
        <v>1</v>
      </c>
      <c r="N163" s="961"/>
      <c r="O163" s="52">
        <f t="shared" si="39"/>
        <v>1</v>
      </c>
      <c r="P163" s="961"/>
      <c r="Q163" s="52">
        <f t="shared" si="40"/>
        <v>1</v>
      </c>
      <c r="R163" s="489">
        <f t="shared" si="41"/>
        <v>0</v>
      </c>
      <c r="S163" s="798">
        <f t="shared" si="32"/>
        <v>0</v>
      </c>
    </row>
    <row r="164" spans="1:19">
      <c r="A164" s="963"/>
      <c r="B164" s="136"/>
      <c r="C164" s="52">
        <f t="shared" si="33"/>
        <v>1</v>
      </c>
      <c r="D164" s="961"/>
      <c r="E164" s="52">
        <f t="shared" si="34"/>
        <v>1</v>
      </c>
      <c r="F164" s="961"/>
      <c r="G164" s="52">
        <f t="shared" si="35"/>
        <v>1</v>
      </c>
      <c r="H164" s="961"/>
      <c r="I164" s="52">
        <f t="shared" si="36"/>
        <v>1</v>
      </c>
      <c r="J164" s="961"/>
      <c r="K164" s="52">
        <f t="shared" si="37"/>
        <v>1</v>
      </c>
      <c r="L164" s="961"/>
      <c r="M164" s="52">
        <f t="shared" si="38"/>
        <v>1</v>
      </c>
      <c r="N164" s="961"/>
      <c r="O164" s="52">
        <f t="shared" si="39"/>
        <v>1</v>
      </c>
      <c r="P164" s="961"/>
      <c r="Q164" s="52">
        <f t="shared" si="40"/>
        <v>1</v>
      </c>
      <c r="R164" s="489">
        <f t="shared" si="41"/>
        <v>0</v>
      </c>
      <c r="S164" s="798">
        <f t="shared" si="32"/>
        <v>0</v>
      </c>
    </row>
    <row r="165" spans="1:19">
      <c r="A165" s="963"/>
      <c r="B165" s="136"/>
      <c r="C165" s="52">
        <f t="shared" si="33"/>
        <v>1</v>
      </c>
      <c r="D165" s="961"/>
      <c r="E165" s="52">
        <f t="shared" si="34"/>
        <v>1</v>
      </c>
      <c r="F165" s="961"/>
      <c r="G165" s="52">
        <f t="shared" si="35"/>
        <v>1</v>
      </c>
      <c r="H165" s="961"/>
      <c r="I165" s="52">
        <f t="shared" si="36"/>
        <v>1</v>
      </c>
      <c r="J165" s="961"/>
      <c r="K165" s="52">
        <f t="shared" si="37"/>
        <v>1</v>
      </c>
      <c r="L165" s="961"/>
      <c r="M165" s="52">
        <f t="shared" si="38"/>
        <v>1</v>
      </c>
      <c r="N165" s="961"/>
      <c r="O165" s="52">
        <f t="shared" si="39"/>
        <v>1</v>
      </c>
      <c r="P165" s="961"/>
      <c r="Q165" s="52">
        <f t="shared" si="40"/>
        <v>1</v>
      </c>
      <c r="R165" s="489">
        <f t="shared" si="41"/>
        <v>0</v>
      </c>
      <c r="S165" s="798">
        <f t="shared" si="32"/>
        <v>0</v>
      </c>
    </row>
    <row r="166" spans="1:19">
      <c r="A166" s="963"/>
      <c r="B166" s="136"/>
      <c r="C166" s="52">
        <f t="shared" si="33"/>
        <v>1</v>
      </c>
      <c r="D166" s="961"/>
      <c r="E166" s="52">
        <f t="shared" si="34"/>
        <v>1</v>
      </c>
      <c r="F166" s="961"/>
      <c r="G166" s="52">
        <f t="shared" si="35"/>
        <v>1</v>
      </c>
      <c r="H166" s="961"/>
      <c r="I166" s="52">
        <f t="shared" si="36"/>
        <v>1</v>
      </c>
      <c r="J166" s="961"/>
      <c r="K166" s="52">
        <f t="shared" si="37"/>
        <v>1</v>
      </c>
      <c r="L166" s="961"/>
      <c r="M166" s="52">
        <f t="shared" si="38"/>
        <v>1</v>
      </c>
      <c r="N166" s="961"/>
      <c r="O166" s="52">
        <f t="shared" si="39"/>
        <v>1</v>
      </c>
      <c r="P166" s="961"/>
      <c r="Q166" s="52">
        <f t="shared" si="40"/>
        <v>1</v>
      </c>
      <c r="R166" s="489">
        <f t="shared" si="41"/>
        <v>0</v>
      </c>
      <c r="S166" s="798">
        <f t="shared" si="32"/>
        <v>0</v>
      </c>
    </row>
    <row r="167" spans="1:19">
      <c r="A167" s="963"/>
      <c r="B167" s="136"/>
      <c r="C167" s="52">
        <f t="shared" si="33"/>
        <v>1</v>
      </c>
      <c r="D167" s="961"/>
      <c r="E167" s="52">
        <f t="shared" si="34"/>
        <v>1</v>
      </c>
      <c r="F167" s="961"/>
      <c r="G167" s="52">
        <f t="shared" si="35"/>
        <v>1</v>
      </c>
      <c r="H167" s="961"/>
      <c r="I167" s="52">
        <f t="shared" si="36"/>
        <v>1</v>
      </c>
      <c r="J167" s="961"/>
      <c r="K167" s="52">
        <f t="shared" si="37"/>
        <v>1</v>
      </c>
      <c r="L167" s="961"/>
      <c r="M167" s="52">
        <f t="shared" si="38"/>
        <v>1</v>
      </c>
      <c r="N167" s="961"/>
      <c r="O167" s="52">
        <f t="shared" si="39"/>
        <v>1</v>
      </c>
      <c r="P167" s="961"/>
      <c r="Q167" s="52">
        <f t="shared" si="40"/>
        <v>1</v>
      </c>
      <c r="R167" s="489">
        <f t="shared" si="41"/>
        <v>0</v>
      </c>
      <c r="S167" s="798">
        <f t="shared" si="32"/>
        <v>0</v>
      </c>
    </row>
    <row r="168" spans="1:19">
      <c r="A168" s="963"/>
      <c r="B168" s="136"/>
      <c r="C168" s="52">
        <f t="shared" si="33"/>
        <v>1</v>
      </c>
      <c r="D168" s="961"/>
      <c r="E168" s="52">
        <f t="shared" si="34"/>
        <v>1</v>
      </c>
      <c r="F168" s="961"/>
      <c r="G168" s="52">
        <f t="shared" si="35"/>
        <v>1</v>
      </c>
      <c r="H168" s="961"/>
      <c r="I168" s="52">
        <f t="shared" si="36"/>
        <v>1</v>
      </c>
      <c r="J168" s="961"/>
      <c r="K168" s="52">
        <f t="shared" si="37"/>
        <v>1</v>
      </c>
      <c r="L168" s="961"/>
      <c r="M168" s="52">
        <f t="shared" si="38"/>
        <v>1</v>
      </c>
      <c r="N168" s="961"/>
      <c r="O168" s="52">
        <f t="shared" si="39"/>
        <v>1</v>
      </c>
      <c r="P168" s="961"/>
      <c r="Q168" s="52">
        <f t="shared" si="40"/>
        <v>1</v>
      </c>
      <c r="R168" s="489">
        <f t="shared" si="41"/>
        <v>0</v>
      </c>
      <c r="S168" s="798">
        <f t="shared" si="32"/>
        <v>0</v>
      </c>
    </row>
    <row r="169" spans="1:19">
      <c r="A169" s="963"/>
      <c r="B169" s="136"/>
      <c r="C169" s="52">
        <f t="shared" si="33"/>
        <v>1</v>
      </c>
      <c r="D169" s="961"/>
      <c r="E169" s="52">
        <f t="shared" si="34"/>
        <v>1</v>
      </c>
      <c r="F169" s="961"/>
      <c r="G169" s="52">
        <f t="shared" si="35"/>
        <v>1</v>
      </c>
      <c r="H169" s="961"/>
      <c r="I169" s="52">
        <f t="shared" si="36"/>
        <v>1</v>
      </c>
      <c r="J169" s="961"/>
      <c r="K169" s="52">
        <f t="shared" si="37"/>
        <v>1</v>
      </c>
      <c r="L169" s="961"/>
      <c r="M169" s="52">
        <f t="shared" si="38"/>
        <v>1</v>
      </c>
      <c r="N169" s="961"/>
      <c r="O169" s="52">
        <f t="shared" si="39"/>
        <v>1</v>
      </c>
      <c r="P169" s="961"/>
      <c r="Q169" s="52">
        <f t="shared" si="40"/>
        <v>1</v>
      </c>
      <c r="R169" s="489">
        <f t="shared" si="41"/>
        <v>0</v>
      </c>
      <c r="S169" s="798">
        <f t="shared" si="32"/>
        <v>0</v>
      </c>
    </row>
    <row r="170" spans="1:19">
      <c r="A170" s="963"/>
      <c r="B170" s="136"/>
      <c r="C170" s="52">
        <f t="shared" si="33"/>
        <v>1</v>
      </c>
      <c r="D170" s="961"/>
      <c r="E170" s="52">
        <f t="shared" si="34"/>
        <v>1</v>
      </c>
      <c r="F170" s="961"/>
      <c r="G170" s="52">
        <f t="shared" si="35"/>
        <v>1</v>
      </c>
      <c r="H170" s="961"/>
      <c r="I170" s="52">
        <f t="shared" si="36"/>
        <v>1</v>
      </c>
      <c r="J170" s="961"/>
      <c r="K170" s="52">
        <f t="shared" si="37"/>
        <v>1</v>
      </c>
      <c r="L170" s="961"/>
      <c r="M170" s="52">
        <f t="shared" si="38"/>
        <v>1</v>
      </c>
      <c r="N170" s="961"/>
      <c r="O170" s="52">
        <f t="shared" si="39"/>
        <v>1</v>
      </c>
      <c r="P170" s="961"/>
      <c r="Q170" s="52">
        <f t="shared" si="40"/>
        <v>1</v>
      </c>
      <c r="R170" s="489">
        <f t="shared" si="41"/>
        <v>0</v>
      </c>
      <c r="S170" s="798">
        <f t="shared" si="32"/>
        <v>0</v>
      </c>
    </row>
    <row r="171" spans="1:19">
      <c r="A171" s="963"/>
      <c r="B171" s="136"/>
      <c r="C171" s="52">
        <f t="shared" si="33"/>
        <v>1</v>
      </c>
      <c r="D171" s="961"/>
      <c r="E171" s="52">
        <f t="shared" si="34"/>
        <v>1</v>
      </c>
      <c r="F171" s="961"/>
      <c r="G171" s="52">
        <f t="shared" si="35"/>
        <v>1</v>
      </c>
      <c r="H171" s="961"/>
      <c r="I171" s="52">
        <f t="shared" si="36"/>
        <v>1</v>
      </c>
      <c r="J171" s="961"/>
      <c r="K171" s="52">
        <f t="shared" si="37"/>
        <v>1</v>
      </c>
      <c r="L171" s="961"/>
      <c r="M171" s="52">
        <f t="shared" si="38"/>
        <v>1</v>
      </c>
      <c r="N171" s="961"/>
      <c r="O171" s="52">
        <f t="shared" si="39"/>
        <v>1</v>
      </c>
      <c r="P171" s="961"/>
      <c r="Q171" s="52">
        <f t="shared" si="40"/>
        <v>1</v>
      </c>
      <c r="R171" s="489">
        <f t="shared" si="41"/>
        <v>0</v>
      </c>
      <c r="S171" s="798">
        <f t="shared" si="32"/>
        <v>0</v>
      </c>
    </row>
    <row r="172" spans="1:19">
      <c r="A172" s="963"/>
      <c r="B172" s="136"/>
      <c r="C172" s="52">
        <f t="shared" si="33"/>
        <v>1</v>
      </c>
      <c r="D172" s="961"/>
      <c r="E172" s="52">
        <f t="shared" si="34"/>
        <v>1</v>
      </c>
      <c r="F172" s="961"/>
      <c r="G172" s="52">
        <f t="shared" si="35"/>
        <v>1</v>
      </c>
      <c r="H172" s="961"/>
      <c r="I172" s="52">
        <f t="shared" si="36"/>
        <v>1</v>
      </c>
      <c r="J172" s="961"/>
      <c r="K172" s="52">
        <f t="shared" si="37"/>
        <v>1</v>
      </c>
      <c r="L172" s="961"/>
      <c r="M172" s="52">
        <f t="shared" si="38"/>
        <v>1</v>
      </c>
      <c r="N172" s="961"/>
      <c r="O172" s="52">
        <f t="shared" si="39"/>
        <v>1</v>
      </c>
      <c r="P172" s="961"/>
      <c r="Q172" s="52">
        <f t="shared" si="40"/>
        <v>1</v>
      </c>
      <c r="R172" s="489">
        <f t="shared" si="41"/>
        <v>0</v>
      </c>
      <c r="S172" s="798">
        <f t="shared" si="32"/>
        <v>0</v>
      </c>
    </row>
    <row r="173" spans="1:19">
      <c r="A173" s="963"/>
      <c r="B173" s="136"/>
      <c r="C173" s="52">
        <f t="shared" si="33"/>
        <v>1</v>
      </c>
      <c r="D173" s="961"/>
      <c r="E173" s="52">
        <f t="shared" si="34"/>
        <v>1</v>
      </c>
      <c r="F173" s="961"/>
      <c r="G173" s="52">
        <f t="shared" si="35"/>
        <v>1</v>
      </c>
      <c r="H173" s="961"/>
      <c r="I173" s="52">
        <f t="shared" si="36"/>
        <v>1</v>
      </c>
      <c r="J173" s="961"/>
      <c r="K173" s="52">
        <f t="shared" si="37"/>
        <v>1</v>
      </c>
      <c r="L173" s="961"/>
      <c r="M173" s="52">
        <f t="shared" si="38"/>
        <v>1</v>
      </c>
      <c r="N173" s="961"/>
      <c r="O173" s="52">
        <f t="shared" si="39"/>
        <v>1</v>
      </c>
      <c r="P173" s="961"/>
      <c r="Q173" s="52">
        <f t="shared" si="40"/>
        <v>1</v>
      </c>
      <c r="R173" s="489">
        <f t="shared" si="41"/>
        <v>0</v>
      </c>
      <c r="S173" s="798">
        <f t="shared" si="32"/>
        <v>0</v>
      </c>
    </row>
    <row r="174" spans="1:19">
      <c r="A174" s="963"/>
      <c r="B174" s="136"/>
      <c r="C174" s="52">
        <f t="shared" si="33"/>
        <v>1</v>
      </c>
      <c r="D174" s="961"/>
      <c r="E174" s="52">
        <f t="shared" si="34"/>
        <v>1</v>
      </c>
      <c r="F174" s="961"/>
      <c r="G174" s="52">
        <f t="shared" si="35"/>
        <v>1</v>
      </c>
      <c r="H174" s="961"/>
      <c r="I174" s="52">
        <f t="shared" si="36"/>
        <v>1</v>
      </c>
      <c r="J174" s="961"/>
      <c r="K174" s="52">
        <f t="shared" si="37"/>
        <v>1</v>
      </c>
      <c r="L174" s="961"/>
      <c r="M174" s="52">
        <f t="shared" si="38"/>
        <v>1</v>
      </c>
      <c r="N174" s="961"/>
      <c r="O174" s="52">
        <f t="shared" si="39"/>
        <v>1</v>
      </c>
      <c r="P174" s="961"/>
      <c r="Q174" s="52">
        <f t="shared" si="40"/>
        <v>1</v>
      </c>
      <c r="R174" s="489">
        <f t="shared" si="41"/>
        <v>0</v>
      </c>
      <c r="S174" s="798">
        <f t="shared" si="32"/>
        <v>0</v>
      </c>
    </row>
    <row r="175" spans="1:19">
      <c r="A175" s="963"/>
      <c r="B175" s="136"/>
      <c r="C175" s="52">
        <f t="shared" si="33"/>
        <v>1</v>
      </c>
      <c r="D175" s="961"/>
      <c r="E175" s="52">
        <f t="shared" si="34"/>
        <v>1</v>
      </c>
      <c r="F175" s="961"/>
      <c r="G175" s="52">
        <f t="shared" si="35"/>
        <v>1</v>
      </c>
      <c r="H175" s="961"/>
      <c r="I175" s="52">
        <f t="shared" si="36"/>
        <v>1</v>
      </c>
      <c r="J175" s="961"/>
      <c r="K175" s="52">
        <f t="shared" si="37"/>
        <v>1</v>
      </c>
      <c r="L175" s="961"/>
      <c r="M175" s="52">
        <f t="shared" si="38"/>
        <v>1</v>
      </c>
      <c r="N175" s="961"/>
      <c r="O175" s="52">
        <f t="shared" si="39"/>
        <v>1</v>
      </c>
      <c r="P175" s="961"/>
      <c r="Q175" s="52">
        <f t="shared" si="40"/>
        <v>1</v>
      </c>
      <c r="R175" s="489">
        <f t="shared" si="41"/>
        <v>0</v>
      </c>
      <c r="S175" s="798">
        <f t="shared" si="32"/>
        <v>0</v>
      </c>
    </row>
    <row r="176" spans="1:19">
      <c r="A176" s="963"/>
      <c r="B176" s="136"/>
      <c r="C176" s="52">
        <f t="shared" si="33"/>
        <v>1</v>
      </c>
      <c r="D176" s="961"/>
      <c r="E176" s="52">
        <f t="shared" si="34"/>
        <v>1</v>
      </c>
      <c r="F176" s="961"/>
      <c r="G176" s="52">
        <f t="shared" si="35"/>
        <v>1</v>
      </c>
      <c r="H176" s="961"/>
      <c r="I176" s="52">
        <f t="shared" si="36"/>
        <v>1</v>
      </c>
      <c r="J176" s="961"/>
      <c r="K176" s="52">
        <f t="shared" si="37"/>
        <v>1</v>
      </c>
      <c r="L176" s="961"/>
      <c r="M176" s="52">
        <f t="shared" si="38"/>
        <v>1</v>
      </c>
      <c r="N176" s="961"/>
      <c r="O176" s="52">
        <f t="shared" si="39"/>
        <v>1</v>
      </c>
      <c r="P176" s="961"/>
      <c r="Q176" s="52">
        <f t="shared" si="40"/>
        <v>1</v>
      </c>
      <c r="R176" s="489">
        <f t="shared" si="41"/>
        <v>0</v>
      </c>
      <c r="S176" s="798">
        <f t="shared" si="32"/>
        <v>0</v>
      </c>
    </row>
    <row r="177" spans="1:19">
      <c r="A177" s="963"/>
      <c r="B177" s="136"/>
      <c r="C177" s="52">
        <f t="shared" si="33"/>
        <v>1</v>
      </c>
      <c r="D177" s="961"/>
      <c r="E177" s="52">
        <f t="shared" si="34"/>
        <v>1</v>
      </c>
      <c r="F177" s="961"/>
      <c r="G177" s="52">
        <f t="shared" si="35"/>
        <v>1</v>
      </c>
      <c r="H177" s="961"/>
      <c r="I177" s="52">
        <f t="shared" si="36"/>
        <v>1</v>
      </c>
      <c r="J177" s="961"/>
      <c r="K177" s="52">
        <f t="shared" si="37"/>
        <v>1</v>
      </c>
      <c r="L177" s="961"/>
      <c r="M177" s="52">
        <f t="shared" si="38"/>
        <v>1</v>
      </c>
      <c r="N177" s="961"/>
      <c r="O177" s="52">
        <f t="shared" si="39"/>
        <v>1</v>
      </c>
      <c r="P177" s="961"/>
      <c r="Q177" s="52">
        <f t="shared" si="40"/>
        <v>1</v>
      </c>
      <c r="R177" s="489">
        <f t="shared" si="41"/>
        <v>0</v>
      </c>
      <c r="S177" s="798">
        <f t="shared" si="32"/>
        <v>0</v>
      </c>
    </row>
    <row r="178" spans="1:19">
      <c r="A178" s="963"/>
      <c r="B178" s="136"/>
      <c r="C178" s="52">
        <f t="shared" si="33"/>
        <v>1</v>
      </c>
      <c r="D178" s="961"/>
      <c r="E178" s="52">
        <f t="shared" si="34"/>
        <v>1</v>
      </c>
      <c r="F178" s="961"/>
      <c r="G178" s="52">
        <f t="shared" si="35"/>
        <v>1</v>
      </c>
      <c r="H178" s="961"/>
      <c r="I178" s="52">
        <f t="shared" si="36"/>
        <v>1</v>
      </c>
      <c r="J178" s="961"/>
      <c r="K178" s="52">
        <f t="shared" si="37"/>
        <v>1</v>
      </c>
      <c r="L178" s="961"/>
      <c r="M178" s="52">
        <f t="shared" si="38"/>
        <v>1</v>
      </c>
      <c r="N178" s="961"/>
      <c r="O178" s="52">
        <f t="shared" si="39"/>
        <v>1</v>
      </c>
      <c r="P178" s="961"/>
      <c r="Q178" s="52">
        <f t="shared" si="40"/>
        <v>1</v>
      </c>
      <c r="R178" s="489">
        <f t="shared" si="41"/>
        <v>0</v>
      </c>
      <c r="S178" s="798">
        <f t="shared" si="32"/>
        <v>0</v>
      </c>
    </row>
    <row r="179" spans="1:19">
      <c r="A179" s="963"/>
      <c r="B179" s="136"/>
      <c r="C179" s="52">
        <f t="shared" si="33"/>
        <v>1</v>
      </c>
      <c r="D179" s="961"/>
      <c r="E179" s="52">
        <f t="shared" si="34"/>
        <v>1</v>
      </c>
      <c r="F179" s="961"/>
      <c r="G179" s="52">
        <f t="shared" si="35"/>
        <v>1</v>
      </c>
      <c r="H179" s="961"/>
      <c r="I179" s="52">
        <f t="shared" si="36"/>
        <v>1</v>
      </c>
      <c r="J179" s="961"/>
      <c r="K179" s="52">
        <f t="shared" si="37"/>
        <v>1</v>
      </c>
      <c r="L179" s="961"/>
      <c r="M179" s="52">
        <f t="shared" si="38"/>
        <v>1</v>
      </c>
      <c r="N179" s="961"/>
      <c r="O179" s="52">
        <f t="shared" si="39"/>
        <v>1</v>
      </c>
      <c r="P179" s="961"/>
      <c r="Q179" s="52">
        <f t="shared" si="40"/>
        <v>1</v>
      </c>
      <c r="R179" s="489">
        <f t="shared" si="41"/>
        <v>0</v>
      </c>
      <c r="S179" s="798">
        <f t="shared" si="32"/>
        <v>0</v>
      </c>
    </row>
    <row r="180" spans="1:19">
      <c r="A180" s="963"/>
      <c r="B180" s="136"/>
      <c r="C180" s="52">
        <f t="shared" si="33"/>
        <v>1</v>
      </c>
      <c r="D180" s="961"/>
      <c r="E180" s="52">
        <f t="shared" si="34"/>
        <v>1</v>
      </c>
      <c r="F180" s="961"/>
      <c r="G180" s="52">
        <f t="shared" si="35"/>
        <v>1</v>
      </c>
      <c r="H180" s="961"/>
      <c r="I180" s="52">
        <f t="shared" si="36"/>
        <v>1</v>
      </c>
      <c r="J180" s="961"/>
      <c r="K180" s="52">
        <f t="shared" si="37"/>
        <v>1</v>
      </c>
      <c r="L180" s="961"/>
      <c r="M180" s="52">
        <f t="shared" si="38"/>
        <v>1</v>
      </c>
      <c r="N180" s="961"/>
      <c r="O180" s="52">
        <f t="shared" si="39"/>
        <v>1</v>
      </c>
      <c r="P180" s="961"/>
      <c r="Q180" s="52">
        <f t="shared" si="40"/>
        <v>1</v>
      </c>
      <c r="R180" s="489">
        <f t="shared" si="41"/>
        <v>0</v>
      </c>
      <c r="S180" s="798">
        <f t="shared" si="32"/>
        <v>0</v>
      </c>
    </row>
    <row r="181" spans="1:19">
      <c r="A181" s="963"/>
      <c r="B181" s="136"/>
      <c r="C181" s="52">
        <f t="shared" si="33"/>
        <v>1</v>
      </c>
      <c r="D181" s="961"/>
      <c r="E181" s="52">
        <f t="shared" si="34"/>
        <v>1</v>
      </c>
      <c r="F181" s="961"/>
      <c r="G181" s="52">
        <f t="shared" si="35"/>
        <v>1</v>
      </c>
      <c r="H181" s="961"/>
      <c r="I181" s="52">
        <f t="shared" si="36"/>
        <v>1</v>
      </c>
      <c r="J181" s="961"/>
      <c r="K181" s="52">
        <f t="shared" si="37"/>
        <v>1</v>
      </c>
      <c r="L181" s="961"/>
      <c r="M181" s="52">
        <f t="shared" si="38"/>
        <v>1</v>
      </c>
      <c r="N181" s="961"/>
      <c r="O181" s="52">
        <f t="shared" si="39"/>
        <v>1</v>
      </c>
      <c r="P181" s="961"/>
      <c r="Q181" s="52">
        <f t="shared" si="40"/>
        <v>1</v>
      </c>
      <c r="R181" s="489">
        <f t="shared" si="41"/>
        <v>0</v>
      </c>
      <c r="S181" s="798">
        <f t="shared" si="32"/>
        <v>0</v>
      </c>
    </row>
    <row r="182" spans="1:19">
      <c r="A182" s="963"/>
      <c r="B182" s="136"/>
      <c r="C182" s="52">
        <f t="shared" si="33"/>
        <v>1</v>
      </c>
      <c r="D182" s="961"/>
      <c r="E182" s="52">
        <f t="shared" si="34"/>
        <v>1</v>
      </c>
      <c r="F182" s="961"/>
      <c r="G182" s="52">
        <f t="shared" si="35"/>
        <v>1</v>
      </c>
      <c r="H182" s="961"/>
      <c r="I182" s="52">
        <f t="shared" si="36"/>
        <v>1</v>
      </c>
      <c r="J182" s="961"/>
      <c r="K182" s="52">
        <f t="shared" si="37"/>
        <v>1</v>
      </c>
      <c r="L182" s="961"/>
      <c r="M182" s="52">
        <f t="shared" si="38"/>
        <v>1</v>
      </c>
      <c r="N182" s="961"/>
      <c r="O182" s="52">
        <f t="shared" si="39"/>
        <v>1</v>
      </c>
      <c r="P182" s="961"/>
      <c r="Q182" s="52">
        <f t="shared" si="40"/>
        <v>1</v>
      </c>
      <c r="R182" s="489">
        <f t="shared" si="41"/>
        <v>0</v>
      </c>
      <c r="S182" s="798">
        <f t="shared" si="32"/>
        <v>0</v>
      </c>
    </row>
    <row r="183" spans="1:19">
      <c r="A183" s="963"/>
      <c r="B183" s="136"/>
      <c r="C183" s="52">
        <f t="shared" si="33"/>
        <v>1</v>
      </c>
      <c r="D183" s="961"/>
      <c r="E183" s="52">
        <f t="shared" si="34"/>
        <v>1</v>
      </c>
      <c r="F183" s="961"/>
      <c r="G183" s="52">
        <f t="shared" si="35"/>
        <v>1</v>
      </c>
      <c r="H183" s="961"/>
      <c r="I183" s="52">
        <f t="shared" si="36"/>
        <v>1</v>
      </c>
      <c r="J183" s="961"/>
      <c r="K183" s="52">
        <f t="shared" si="37"/>
        <v>1</v>
      </c>
      <c r="L183" s="961"/>
      <c r="M183" s="52">
        <f t="shared" si="38"/>
        <v>1</v>
      </c>
      <c r="N183" s="961"/>
      <c r="O183" s="52">
        <f t="shared" si="39"/>
        <v>1</v>
      </c>
      <c r="P183" s="961"/>
      <c r="Q183" s="52">
        <f t="shared" si="40"/>
        <v>1</v>
      </c>
      <c r="R183" s="489">
        <f t="shared" si="41"/>
        <v>0</v>
      </c>
      <c r="S183" s="798">
        <f t="shared" si="32"/>
        <v>0</v>
      </c>
    </row>
    <row r="184" spans="1:19">
      <c r="A184" s="963"/>
      <c r="B184" s="136"/>
      <c r="C184" s="52">
        <f t="shared" si="33"/>
        <v>1</v>
      </c>
      <c r="D184" s="961"/>
      <c r="E184" s="52">
        <f t="shared" si="34"/>
        <v>1</v>
      </c>
      <c r="F184" s="961"/>
      <c r="G184" s="52">
        <f t="shared" si="35"/>
        <v>1</v>
      </c>
      <c r="H184" s="961"/>
      <c r="I184" s="52">
        <f t="shared" si="36"/>
        <v>1</v>
      </c>
      <c r="J184" s="961"/>
      <c r="K184" s="52">
        <f t="shared" si="37"/>
        <v>1</v>
      </c>
      <c r="L184" s="961"/>
      <c r="M184" s="52">
        <f t="shared" si="38"/>
        <v>1</v>
      </c>
      <c r="N184" s="961"/>
      <c r="O184" s="52">
        <f t="shared" si="39"/>
        <v>1</v>
      </c>
      <c r="P184" s="961"/>
      <c r="Q184" s="52">
        <f t="shared" si="40"/>
        <v>1</v>
      </c>
      <c r="R184" s="489">
        <f t="shared" si="41"/>
        <v>0</v>
      </c>
      <c r="S184" s="798">
        <f t="shared" si="32"/>
        <v>0</v>
      </c>
    </row>
    <row r="185" spans="1:19">
      <c r="A185" s="963"/>
      <c r="B185" s="136"/>
      <c r="C185" s="52">
        <f t="shared" si="33"/>
        <v>1</v>
      </c>
      <c r="D185" s="961"/>
      <c r="E185" s="52">
        <f t="shared" si="34"/>
        <v>1</v>
      </c>
      <c r="F185" s="961"/>
      <c r="G185" s="52">
        <f t="shared" si="35"/>
        <v>1</v>
      </c>
      <c r="H185" s="961"/>
      <c r="I185" s="52">
        <f t="shared" si="36"/>
        <v>1</v>
      </c>
      <c r="J185" s="961"/>
      <c r="K185" s="52">
        <f t="shared" si="37"/>
        <v>1</v>
      </c>
      <c r="L185" s="961"/>
      <c r="M185" s="52">
        <f t="shared" si="38"/>
        <v>1</v>
      </c>
      <c r="N185" s="961"/>
      <c r="O185" s="52">
        <f t="shared" si="39"/>
        <v>1</v>
      </c>
      <c r="P185" s="961"/>
      <c r="Q185" s="52">
        <f t="shared" si="40"/>
        <v>1</v>
      </c>
      <c r="R185" s="489">
        <f t="shared" si="41"/>
        <v>0</v>
      </c>
      <c r="S185" s="798">
        <f t="shared" si="32"/>
        <v>0</v>
      </c>
    </row>
    <row r="186" spans="1:19">
      <c r="A186" s="963"/>
      <c r="B186" s="136"/>
      <c r="C186" s="52">
        <f t="shared" si="33"/>
        <v>1</v>
      </c>
      <c r="D186" s="961"/>
      <c r="E186" s="52">
        <f t="shared" si="34"/>
        <v>1</v>
      </c>
      <c r="F186" s="961"/>
      <c r="G186" s="52">
        <f t="shared" si="35"/>
        <v>1</v>
      </c>
      <c r="H186" s="961"/>
      <c r="I186" s="52">
        <f t="shared" si="36"/>
        <v>1</v>
      </c>
      <c r="J186" s="961"/>
      <c r="K186" s="52">
        <f t="shared" si="37"/>
        <v>1</v>
      </c>
      <c r="L186" s="961"/>
      <c r="M186" s="52">
        <f t="shared" si="38"/>
        <v>1</v>
      </c>
      <c r="N186" s="961"/>
      <c r="O186" s="52">
        <f t="shared" si="39"/>
        <v>1</v>
      </c>
      <c r="P186" s="961"/>
      <c r="Q186" s="52">
        <f t="shared" si="40"/>
        <v>1</v>
      </c>
      <c r="R186" s="489">
        <f t="shared" si="41"/>
        <v>0</v>
      </c>
      <c r="S186" s="798">
        <f t="shared" si="32"/>
        <v>0</v>
      </c>
    </row>
    <row r="187" spans="1:19">
      <c r="A187" s="963"/>
      <c r="B187" s="136"/>
      <c r="C187" s="52">
        <f t="shared" si="33"/>
        <v>1</v>
      </c>
      <c r="D187" s="961"/>
      <c r="E187" s="52">
        <f t="shared" si="34"/>
        <v>1</v>
      </c>
      <c r="F187" s="961"/>
      <c r="G187" s="52">
        <f t="shared" si="35"/>
        <v>1</v>
      </c>
      <c r="H187" s="961"/>
      <c r="I187" s="52">
        <f t="shared" si="36"/>
        <v>1</v>
      </c>
      <c r="J187" s="961"/>
      <c r="K187" s="52">
        <f t="shared" si="37"/>
        <v>1</v>
      </c>
      <c r="L187" s="961"/>
      <c r="M187" s="52">
        <f t="shared" si="38"/>
        <v>1</v>
      </c>
      <c r="N187" s="961"/>
      <c r="O187" s="52">
        <f t="shared" si="39"/>
        <v>1</v>
      </c>
      <c r="P187" s="961"/>
      <c r="Q187" s="52">
        <f t="shared" si="40"/>
        <v>1</v>
      </c>
      <c r="R187" s="489">
        <f t="shared" si="41"/>
        <v>0</v>
      </c>
      <c r="S187" s="798">
        <f t="shared" ref="S187:S222" si="42">ROUND(R187*B187/10000,0)</f>
        <v>0</v>
      </c>
    </row>
    <row r="188" spans="1:19">
      <c r="A188" s="963"/>
      <c r="B188" s="136"/>
      <c r="C188" s="52">
        <f t="shared" si="33"/>
        <v>1</v>
      </c>
      <c r="D188" s="961"/>
      <c r="E188" s="52">
        <f t="shared" si="34"/>
        <v>1</v>
      </c>
      <c r="F188" s="961"/>
      <c r="G188" s="52">
        <f t="shared" si="35"/>
        <v>1</v>
      </c>
      <c r="H188" s="961"/>
      <c r="I188" s="52">
        <f t="shared" si="36"/>
        <v>1</v>
      </c>
      <c r="J188" s="961"/>
      <c r="K188" s="52">
        <f t="shared" si="37"/>
        <v>1</v>
      </c>
      <c r="L188" s="961"/>
      <c r="M188" s="52">
        <f t="shared" si="38"/>
        <v>1</v>
      </c>
      <c r="N188" s="961"/>
      <c r="O188" s="52">
        <f t="shared" si="39"/>
        <v>1</v>
      </c>
      <c r="P188" s="961"/>
      <c r="Q188" s="52">
        <f t="shared" si="40"/>
        <v>1</v>
      </c>
      <c r="R188" s="489">
        <f t="shared" si="41"/>
        <v>0</v>
      </c>
      <c r="S188" s="798">
        <f t="shared" si="42"/>
        <v>0</v>
      </c>
    </row>
    <row r="189" spans="1:19">
      <c r="A189" s="963"/>
      <c r="B189" s="136"/>
      <c r="C189" s="52">
        <f t="shared" si="33"/>
        <v>1</v>
      </c>
      <c r="D189" s="961"/>
      <c r="E189" s="52">
        <f t="shared" si="34"/>
        <v>1</v>
      </c>
      <c r="F189" s="961"/>
      <c r="G189" s="52">
        <f t="shared" si="35"/>
        <v>1</v>
      </c>
      <c r="H189" s="961"/>
      <c r="I189" s="52">
        <f t="shared" si="36"/>
        <v>1</v>
      </c>
      <c r="J189" s="961"/>
      <c r="K189" s="52">
        <f t="shared" si="37"/>
        <v>1</v>
      </c>
      <c r="L189" s="961"/>
      <c r="M189" s="52">
        <f t="shared" si="38"/>
        <v>1</v>
      </c>
      <c r="N189" s="961"/>
      <c r="O189" s="52">
        <f t="shared" si="39"/>
        <v>1</v>
      </c>
      <c r="P189" s="961"/>
      <c r="Q189" s="52">
        <f t="shared" si="40"/>
        <v>1</v>
      </c>
      <c r="R189" s="489">
        <f t="shared" si="41"/>
        <v>0</v>
      </c>
      <c r="S189" s="798">
        <f t="shared" si="42"/>
        <v>0</v>
      </c>
    </row>
    <row r="190" spans="1:19">
      <c r="A190" s="963"/>
      <c r="B190" s="136"/>
      <c r="C190" s="52">
        <f t="shared" si="33"/>
        <v>1</v>
      </c>
      <c r="D190" s="961"/>
      <c r="E190" s="52">
        <f t="shared" si="34"/>
        <v>1</v>
      </c>
      <c r="F190" s="961"/>
      <c r="G190" s="52">
        <f t="shared" si="35"/>
        <v>1</v>
      </c>
      <c r="H190" s="961"/>
      <c r="I190" s="52">
        <f t="shared" si="36"/>
        <v>1</v>
      </c>
      <c r="J190" s="961"/>
      <c r="K190" s="52">
        <f t="shared" si="37"/>
        <v>1</v>
      </c>
      <c r="L190" s="961"/>
      <c r="M190" s="52">
        <f t="shared" si="38"/>
        <v>1</v>
      </c>
      <c r="N190" s="961"/>
      <c r="O190" s="52">
        <f t="shared" si="39"/>
        <v>1</v>
      </c>
      <c r="P190" s="961"/>
      <c r="Q190" s="52">
        <f t="shared" si="40"/>
        <v>1</v>
      </c>
      <c r="R190" s="489">
        <f t="shared" si="41"/>
        <v>0</v>
      </c>
      <c r="S190" s="798">
        <f t="shared" si="42"/>
        <v>0</v>
      </c>
    </row>
    <row r="191" spans="1:19">
      <c r="A191" s="963"/>
      <c r="B191" s="136"/>
      <c r="C191" s="52">
        <f t="shared" si="33"/>
        <v>1</v>
      </c>
      <c r="D191" s="961"/>
      <c r="E191" s="52">
        <f t="shared" si="34"/>
        <v>1</v>
      </c>
      <c r="F191" s="961"/>
      <c r="G191" s="52">
        <f t="shared" si="35"/>
        <v>1</v>
      </c>
      <c r="H191" s="961"/>
      <c r="I191" s="52">
        <f t="shared" si="36"/>
        <v>1</v>
      </c>
      <c r="J191" s="961"/>
      <c r="K191" s="52">
        <f t="shared" si="37"/>
        <v>1</v>
      </c>
      <c r="L191" s="961"/>
      <c r="M191" s="52">
        <f t="shared" si="38"/>
        <v>1</v>
      </c>
      <c r="N191" s="961"/>
      <c r="O191" s="52">
        <f t="shared" si="39"/>
        <v>1</v>
      </c>
      <c r="P191" s="961"/>
      <c r="Q191" s="52">
        <f t="shared" si="40"/>
        <v>1</v>
      </c>
      <c r="R191" s="489">
        <f t="shared" si="41"/>
        <v>0</v>
      </c>
      <c r="S191" s="798">
        <f t="shared" si="42"/>
        <v>0</v>
      </c>
    </row>
    <row r="192" spans="1:19">
      <c r="A192" s="963"/>
      <c r="B192" s="136"/>
      <c r="C192" s="52">
        <f t="shared" si="33"/>
        <v>1</v>
      </c>
      <c r="D192" s="961"/>
      <c r="E192" s="52">
        <f t="shared" si="34"/>
        <v>1</v>
      </c>
      <c r="F192" s="961"/>
      <c r="G192" s="52">
        <f t="shared" si="35"/>
        <v>1</v>
      </c>
      <c r="H192" s="961"/>
      <c r="I192" s="52">
        <f t="shared" si="36"/>
        <v>1</v>
      </c>
      <c r="J192" s="961"/>
      <c r="K192" s="52">
        <f t="shared" si="37"/>
        <v>1</v>
      </c>
      <c r="L192" s="961"/>
      <c r="M192" s="52">
        <f t="shared" si="38"/>
        <v>1</v>
      </c>
      <c r="N192" s="961"/>
      <c r="O192" s="52">
        <f t="shared" si="39"/>
        <v>1</v>
      </c>
      <c r="P192" s="961"/>
      <c r="Q192" s="52">
        <f t="shared" si="40"/>
        <v>1</v>
      </c>
      <c r="R192" s="489">
        <f t="shared" si="41"/>
        <v>0</v>
      </c>
      <c r="S192" s="798">
        <f t="shared" si="42"/>
        <v>0</v>
      </c>
    </row>
    <row r="193" spans="1:19">
      <c r="A193" s="963"/>
      <c r="B193" s="136"/>
      <c r="C193" s="52">
        <f t="shared" si="33"/>
        <v>1</v>
      </c>
      <c r="D193" s="961"/>
      <c r="E193" s="52">
        <f t="shared" si="34"/>
        <v>1</v>
      </c>
      <c r="F193" s="961"/>
      <c r="G193" s="52">
        <f t="shared" si="35"/>
        <v>1</v>
      </c>
      <c r="H193" s="961"/>
      <c r="I193" s="52">
        <f t="shared" si="36"/>
        <v>1</v>
      </c>
      <c r="J193" s="961"/>
      <c r="K193" s="52">
        <f t="shared" si="37"/>
        <v>1</v>
      </c>
      <c r="L193" s="961"/>
      <c r="M193" s="52">
        <f t="shared" si="38"/>
        <v>1</v>
      </c>
      <c r="N193" s="961"/>
      <c r="O193" s="52">
        <f t="shared" si="39"/>
        <v>1</v>
      </c>
      <c r="P193" s="961"/>
      <c r="Q193" s="52">
        <f t="shared" si="40"/>
        <v>1</v>
      </c>
      <c r="R193" s="489">
        <f t="shared" si="41"/>
        <v>0</v>
      </c>
      <c r="S193" s="798">
        <f t="shared" si="42"/>
        <v>0</v>
      </c>
    </row>
    <row r="194" spans="1:19">
      <c r="A194" s="963"/>
      <c r="B194" s="136"/>
      <c r="C194" s="52">
        <f t="shared" si="33"/>
        <v>1</v>
      </c>
      <c r="D194" s="961"/>
      <c r="E194" s="52">
        <f t="shared" si="34"/>
        <v>1</v>
      </c>
      <c r="F194" s="961"/>
      <c r="G194" s="52">
        <f t="shared" si="35"/>
        <v>1</v>
      </c>
      <c r="H194" s="961"/>
      <c r="I194" s="52">
        <f t="shared" si="36"/>
        <v>1</v>
      </c>
      <c r="J194" s="961"/>
      <c r="K194" s="52">
        <f t="shared" si="37"/>
        <v>1</v>
      </c>
      <c r="L194" s="961"/>
      <c r="M194" s="52">
        <f t="shared" si="38"/>
        <v>1</v>
      </c>
      <c r="N194" s="961"/>
      <c r="O194" s="52">
        <f t="shared" si="39"/>
        <v>1</v>
      </c>
      <c r="P194" s="961"/>
      <c r="Q194" s="52">
        <f t="shared" si="40"/>
        <v>1</v>
      </c>
      <c r="R194" s="489">
        <f t="shared" si="41"/>
        <v>0</v>
      </c>
      <c r="S194" s="798">
        <f t="shared" si="42"/>
        <v>0</v>
      </c>
    </row>
    <row r="195" spans="1:19">
      <c r="A195" s="963"/>
      <c r="B195" s="136"/>
      <c r="C195" s="52">
        <f t="shared" si="33"/>
        <v>1</v>
      </c>
      <c r="D195" s="961"/>
      <c r="E195" s="52">
        <f t="shared" si="34"/>
        <v>1</v>
      </c>
      <c r="F195" s="961"/>
      <c r="G195" s="52">
        <f t="shared" si="35"/>
        <v>1</v>
      </c>
      <c r="H195" s="961"/>
      <c r="I195" s="52">
        <f t="shared" si="36"/>
        <v>1</v>
      </c>
      <c r="J195" s="961"/>
      <c r="K195" s="52">
        <f t="shared" si="37"/>
        <v>1</v>
      </c>
      <c r="L195" s="961"/>
      <c r="M195" s="52">
        <f t="shared" si="38"/>
        <v>1</v>
      </c>
      <c r="N195" s="961"/>
      <c r="O195" s="52">
        <f t="shared" si="39"/>
        <v>1</v>
      </c>
      <c r="P195" s="961"/>
      <c r="Q195" s="52">
        <f t="shared" si="40"/>
        <v>1</v>
      </c>
      <c r="R195" s="489">
        <f t="shared" si="41"/>
        <v>0</v>
      </c>
      <c r="S195" s="798">
        <f t="shared" si="42"/>
        <v>0</v>
      </c>
    </row>
    <row r="196" spans="1:19">
      <c r="A196" s="963"/>
      <c r="B196" s="136"/>
      <c r="C196" s="52">
        <f t="shared" si="33"/>
        <v>1</v>
      </c>
      <c r="D196" s="961"/>
      <c r="E196" s="52">
        <f t="shared" si="34"/>
        <v>1</v>
      </c>
      <c r="F196" s="961"/>
      <c r="G196" s="52">
        <f t="shared" si="35"/>
        <v>1</v>
      </c>
      <c r="H196" s="961"/>
      <c r="I196" s="52">
        <f t="shared" si="36"/>
        <v>1</v>
      </c>
      <c r="J196" s="961"/>
      <c r="K196" s="52">
        <f t="shared" si="37"/>
        <v>1</v>
      </c>
      <c r="L196" s="961"/>
      <c r="M196" s="52">
        <f t="shared" si="38"/>
        <v>1</v>
      </c>
      <c r="N196" s="961"/>
      <c r="O196" s="52">
        <f t="shared" si="39"/>
        <v>1</v>
      </c>
      <c r="P196" s="961"/>
      <c r="Q196" s="52">
        <f t="shared" si="40"/>
        <v>1</v>
      </c>
      <c r="R196" s="489">
        <f t="shared" si="41"/>
        <v>0</v>
      </c>
      <c r="S196" s="798">
        <f t="shared" si="42"/>
        <v>0</v>
      </c>
    </row>
    <row r="197" spans="1:19">
      <c r="A197" s="963"/>
      <c r="B197" s="136"/>
      <c r="C197" s="52">
        <f t="shared" si="33"/>
        <v>1</v>
      </c>
      <c r="D197" s="961"/>
      <c r="E197" s="52">
        <f t="shared" si="34"/>
        <v>1</v>
      </c>
      <c r="F197" s="961"/>
      <c r="G197" s="52">
        <f t="shared" si="35"/>
        <v>1</v>
      </c>
      <c r="H197" s="961"/>
      <c r="I197" s="52">
        <f t="shared" si="36"/>
        <v>1</v>
      </c>
      <c r="J197" s="961"/>
      <c r="K197" s="52">
        <f t="shared" si="37"/>
        <v>1</v>
      </c>
      <c r="L197" s="961"/>
      <c r="M197" s="52">
        <f t="shared" si="38"/>
        <v>1</v>
      </c>
      <c r="N197" s="961"/>
      <c r="O197" s="52">
        <f t="shared" si="39"/>
        <v>1</v>
      </c>
      <c r="P197" s="961"/>
      <c r="Q197" s="52">
        <f t="shared" si="40"/>
        <v>1</v>
      </c>
      <c r="R197" s="489">
        <f t="shared" si="41"/>
        <v>0</v>
      </c>
      <c r="S197" s="798">
        <f t="shared" si="42"/>
        <v>0</v>
      </c>
    </row>
    <row r="198" spans="1:19">
      <c r="A198" s="963"/>
      <c r="B198" s="136"/>
      <c r="C198" s="52">
        <f t="shared" si="33"/>
        <v>1</v>
      </c>
      <c r="D198" s="961"/>
      <c r="E198" s="52">
        <f t="shared" si="34"/>
        <v>1</v>
      </c>
      <c r="F198" s="961"/>
      <c r="G198" s="52">
        <f t="shared" si="35"/>
        <v>1</v>
      </c>
      <c r="H198" s="961"/>
      <c r="I198" s="52">
        <f t="shared" si="36"/>
        <v>1</v>
      </c>
      <c r="J198" s="961"/>
      <c r="K198" s="52">
        <f t="shared" si="37"/>
        <v>1</v>
      </c>
      <c r="L198" s="961"/>
      <c r="M198" s="52">
        <f t="shared" si="38"/>
        <v>1</v>
      </c>
      <c r="N198" s="961"/>
      <c r="O198" s="52">
        <f t="shared" si="39"/>
        <v>1</v>
      </c>
      <c r="P198" s="961"/>
      <c r="Q198" s="52">
        <f t="shared" si="40"/>
        <v>1</v>
      </c>
      <c r="R198" s="489">
        <f t="shared" si="41"/>
        <v>0</v>
      </c>
      <c r="S198" s="798">
        <f t="shared" si="42"/>
        <v>0</v>
      </c>
    </row>
    <row r="199" spans="1:19">
      <c r="A199" s="963"/>
      <c r="B199" s="136"/>
      <c r="C199" s="52">
        <f t="shared" si="33"/>
        <v>1</v>
      </c>
      <c r="D199" s="961"/>
      <c r="E199" s="52">
        <f t="shared" si="34"/>
        <v>1</v>
      </c>
      <c r="F199" s="961"/>
      <c r="G199" s="52">
        <f t="shared" si="35"/>
        <v>1</v>
      </c>
      <c r="H199" s="961"/>
      <c r="I199" s="52">
        <f t="shared" si="36"/>
        <v>1</v>
      </c>
      <c r="J199" s="961"/>
      <c r="K199" s="52">
        <f t="shared" si="37"/>
        <v>1</v>
      </c>
      <c r="L199" s="961"/>
      <c r="M199" s="52">
        <f t="shared" si="38"/>
        <v>1</v>
      </c>
      <c r="N199" s="961"/>
      <c r="O199" s="52">
        <f t="shared" si="39"/>
        <v>1</v>
      </c>
      <c r="P199" s="961"/>
      <c r="Q199" s="52">
        <f t="shared" si="40"/>
        <v>1</v>
      </c>
      <c r="R199" s="489">
        <f t="shared" si="41"/>
        <v>0</v>
      </c>
      <c r="S199" s="798">
        <f t="shared" si="42"/>
        <v>0</v>
      </c>
    </row>
    <row r="200" spans="1:19">
      <c r="A200" s="963"/>
      <c r="B200" s="136"/>
      <c r="C200" s="52">
        <f t="shared" si="33"/>
        <v>1</v>
      </c>
      <c r="D200" s="961"/>
      <c r="E200" s="52">
        <f t="shared" si="34"/>
        <v>1</v>
      </c>
      <c r="F200" s="961"/>
      <c r="G200" s="52">
        <f t="shared" si="35"/>
        <v>1</v>
      </c>
      <c r="H200" s="961"/>
      <c r="I200" s="52">
        <f t="shared" si="36"/>
        <v>1</v>
      </c>
      <c r="J200" s="961"/>
      <c r="K200" s="52">
        <f t="shared" si="37"/>
        <v>1</v>
      </c>
      <c r="L200" s="961"/>
      <c r="M200" s="52">
        <f t="shared" si="38"/>
        <v>1</v>
      </c>
      <c r="N200" s="961"/>
      <c r="O200" s="52">
        <f t="shared" si="39"/>
        <v>1</v>
      </c>
      <c r="P200" s="961"/>
      <c r="Q200" s="52">
        <f t="shared" si="40"/>
        <v>1</v>
      </c>
      <c r="R200" s="489">
        <f t="shared" si="41"/>
        <v>0</v>
      </c>
      <c r="S200" s="798">
        <f t="shared" si="42"/>
        <v>0</v>
      </c>
    </row>
    <row r="201" spans="1:19">
      <c r="A201" s="963"/>
      <c r="B201" s="136"/>
      <c r="C201" s="52">
        <f t="shared" si="33"/>
        <v>1</v>
      </c>
      <c r="D201" s="961"/>
      <c r="E201" s="52">
        <f t="shared" si="34"/>
        <v>1</v>
      </c>
      <c r="F201" s="961"/>
      <c r="G201" s="52">
        <f t="shared" si="35"/>
        <v>1</v>
      </c>
      <c r="H201" s="961"/>
      <c r="I201" s="52">
        <f t="shared" si="36"/>
        <v>1</v>
      </c>
      <c r="J201" s="961"/>
      <c r="K201" s="52">
        <f t="shared" si="37"/>
        <v>1</v>
      </c>
      <c r="L201" s="961"/>
      <c r="M201" s="52">
        <f t="shared" si="38"/>
        <v>1</v>
      </c>
      <c r="N201" s="961"/>
      <c r="O201" s="52">
        <f t="shared" si="39"/>
        <v>1</v>
      </c>
      <c r="P201" s="961"/>
      <c r="Q201" s="52">
        <f t="shared" si="40"/>
        <v>1</v>
      </c>
      <c r="R201" s="489">
        <f t="shared" si="41"/>
        <v>0</v>
      </c>
      <c r="S201" s="798">
        <f t="shared" si="42"/>
        <v>0</v>
      </c>
    </row>
    <row r="202" spans="1:19">
      <c r="A202" s="963"/>
      <c r="B202" s="136"/>
      <c r="C202" s="52">
        <f t="shared" si="33"/>
        <v>1</v>
      </c>
      <c r="D202" s="961"/>
      <c r="E202" s="52">
        <f t="shared" si="34"/>
        <v>1</v>
      </c>
      <c r="F202" s="961"/>
      <c r="G202" s="52">
        <f t="shared" si="35"/>
        <v>1</v>
      </c>
      <c r="H202" s="961"/>
      <c r="I202" s="52">
        <f t="shared" si="36"/>
        <v>1</v>
      </c>
      <c r="J202" s="961"/>
      <c r="K202" s="52">
        <f t="shared" si="37"/>
        <v>1</v>
      </c>
      <c r="L202" s="961"/>
      <c r="M202" s="52">
        <f t="shared" si="38"/>
        <v>1</v>
      </c>
      <c r="N202" s="961"/>
      <c r="O202" s="52">
        <f t="shared" si="39"/>
        <v>1</v>
      </c>
      <c r="P202" s="961"/>
      <c r="Q202" s="52">
        <f t="shared" si="40"/>
        <v>1</v>
      </c>
      <c r="R202" s="489">
        <f t="shared" si="41"/>
        <v>0</v>
      </c>
      <c r="S202" s="798">
        <f t="shared" si="42"/>
        <v>0</v>
      </c>
    </row>
    <row r="203" spans="1:19">
      <c r="A203" s="963"/>
      <c r="B203" s="136"/>
      <c r="C203" s="52">
        <f t="shared" si="33"/>
        <v>1</v>
      </c>
      <c r="D203" s="961"/>
      <c r="E203" s="52">
        <f t="shared" si="34"/>
        <v>1</v>
      </c>
      <c r="F203" s="961"/>
      <c r="G203" s="52">
        <f t="shared" si="35"/>
        <v>1</v>
      </c>
      <c r="H203" s="961"/>
      <c r="I203" s="52">
        <f t="shared" si="36"/>
        <v>1</v>
      </c>
      <c r="J203" s="961"/>
      <c r="K203" s="52">
        <f t="shared" si="37"/>
        <v>1</v>
      </c>
      <c r="L203" s="961"/>
      <c r="M203" s="52">
        <f t="shared" si="38"/>
        <v>1</v>
      </c>
      <c r="N203" s="961"/>
      <c r="O203" s="52">
        <f t="shared" si="39"/>
        <v>1</v>
      </c>
      <c r="P203" s="961"/>
      <c r="Q203" s="52">
        <f t="shared" si="40"/>
        <v>1</v>
      </c>
      <c r="R203" s="489">
        <f t="shared" si="41"/>
        <v>0</v>
      </c>
      <c r="S203" s="798">
        <f t="shared" si="42"/>
        <v>0</v>
      </c>
    </row>
    <row r="204" spans="1:19">
      <c r="A204" s="963"/>
      <c r="B204" s="136"/>
      <c r="C204" s="52">
        <f t="shared" si="33"/>
        <v>1</v>
      </c>
      <c r="D204" s="961"/>
      <c r="E204" s="52">
        <f t="shared" si="34"/>
        <v>1</v>
      </c>
      <c r="F204" s="961"/>
      <c r="G204" s="52">
        <f t="shared" si="35"/>
        <v>1</v>
      </c>
      <c r="H204" s="961"/>
      <c r="I204" s="52">
        <f t="shared" si="36"/>
        <v>1</v>
      </c>
      <c r="J204" s="961"/>
      <c r="K204" s="52">
        <f t="shared" si="37"/>
        <v>1</v>
      </c>
      <c r="L204" s="961"/>
      <c r="M204" s="52">
        <f t="shared" si="38"/>
        <v>1</v>
      </c>
      <c r="N204" s="961"/>
      <c r="O204" s="52">
        <f t="shared" si="39"/>
        <v>1</v>
      </c>
      <c r="P204" s="961"/>
      <c r="Q204" s="52">
        <f t="shared" si="40"/>
        <v>1</v>
      </c>
      <c r="R204" s="489">
        <f t="shared" si="41"/>
        <v>0</v>
      </c>
      <c r="S204" s="798">
        <f t="shared" si="42"/>
        <v>0</v>
      </c>
    </row>
    <row r="205" spans="1:19">
      <c r="A205" s="963"/>
      <c r="B205" s="136"/>
      <c r="C205" s="52">
        <f t="shared" si="33"/>
        <v>1</v>
      </c>
      <c r="D205" s="961"/>
      <c r="E205" s="52">
        <f t="shared" si="34"/>
        <v>1</v>
      </c>
      <c r="F205" s="961"/>
      <c r="G205" s="52">
        <f t="shared" si="35"/>
        <v>1</v>
      </c>
      <c r="H205" s="961"/>
      <c r="I205" s="52">
        <f t="shared" si="36"/>
        <v>1</v>
      </c>
      <c r="J205" s="961"/>
      <c r="K205" s="52">
        <f t="shared" si="37"/>
        <v>1</v>
      </c>
      <c r="L205" s="961"/>
      <c r="M205" s="52">
        <f t="shared" si="38"/>
        <v>1</v>
      </c>
      <c r="N205" s="961"/>
      <c r="O205" s="52">
        <f t="shared" si="39"/>
        <v>1</v>
      </c>
      <c r="P205" s="961"/>
      <c r="Q205" s="52">
        <f t="shared" si="40"/>
        <v>1</v>
      </c>
      <c r="R205" s="489">
        <f t="shared" si="41"/>
        <v>0</v>
      </c>
      <c r="S205" s="798">
        <f t="shared" si="42"/>
        <v>0</v>
      </c>
    </row>
    <row r="206" spans="1:19">
      <c r="A206" s="963"/>
      <c r="B206" s="136"/>
      <c r="C206" s="52">
        <f t="shared" si="33"/>
        <v>1</v>
      </c>
      <c r="D206" s="961"/>
      <c r="E206" s="52">
        <f t="shared" si="34"/>
        <v>1</v>
      </c>
      <c r="F206" s="961"/>
      <c r="G206" s="52">
        <f t="shared" si="35"/>
        <v>1</v>
      </c>
      <c r="H206" s="961"/>
      <c r="I206" s="52">
        <f t="shared" si="36"/>
        <v>1</v>
      </c>
      <c r="J206" s="961"/>
      <c r="K206" s="52">
        <f t="shared" si="37"/>
        <v>1</v>
      </c>
      <c r="L206" s="961"/>
      <c r="M206" s="52">
        <f t="shared" si="38"/>
        <v>1</v>
      </c>
      <c r="N206" s="961"/>
      <c r="O206" s="52">
        <f t="shared" si="39"/>
        <v>1</v>
      </c>
      <c r="P206" s="961"/>
      <c r="Q206" s="52">
        <f t="shared" si="40"/>
        <v>1</v>
      </c>
      <c r="R206" s="489">
        <f t="shared" si="41"/>
        <v>0</v>
      </c>
      <c r="S206" s="798">
        <f t="shared" si="42"/>
        <v>0</v>
      </c>
    </row>
    <row r="207" spans="1:19">
      <c r="A207" s="963"/>
      <c r="B207" s="136"/>
      <c r="C207" s="52">
        <f t="shared" si="33"/>
        <v>1</v>
      </c>
      <c r="D207" s="961"/>
      <c r="E207" s="52">
        <f t="shared" si="34"/>
        <v>1</v>
      </c>
      <c r="F207" s="961"/>
      <c r="G207" s="52">
        <f t="shared" si="35"/>
        <v>1</v>
      </c>
      <c r="H207" s="961"/>
      <c r="I207" s="52">
        <f t="shared" si="36"/>
        <v>1</v>
      </c>
      <c r="J207" s="961"/>
      <c r="K207" s="52">
        <f t="shared" si="37"/>
        <v>1</v>
      </c>
      <c r="L207" s="961"/>
      <c r="M207" s="52">
        <f t="shared" si="38"/>
        <v>1</v>
      </c>
      <c r="N207" s="961"/>
      <c r="O207" s="52">
        <f t="shared" si="39"/>
        <v>1</v>
      </c>
      <c r="P207" s="961"/>
      <c r="Q207" s="52">
        <f t="shared" si="40"/>
        <v>1</v>
      </c>
      <c r="R207" s="489">
        <f t="shared" si="41"/>
        <v>0</v>
      </c>
      <c r="S207" s="798">
        <f t="shared" si="42"/>
        <v>0</v>
      </c>
    </row>
    <row r="208" spans="1:19">
      <c r="A208" s="963"/>
      <c r="B208" s="136"/>
      <c r="C208" s="52">
        <f t="shared" si="33"/>
        <v>1</v>
      </c>
      <c r="D208" s="961"/>
      <c r="E208" s="52">
        <f t="shared" si="34"/>
        <v>1</v>
      </c>
      <c r="F208" s="961"/>
      <c r="G208" s="52">
        <f t="shared" si="35"/>
        <v>1</v>
      </c>
      <c r="H208" s="961"/>
      <c r="I208" s="52">
        <f t="shared" si="36"/>
        <v>1</v>
      </c>
      <c r="J208" s="961"/>
      <c r="K208" s="52">
        <f t="shared" si="37"/>
        <v>1</v>
      </c>
      <c r="L208" s="961"/>
      <c r="M208" s="52">
        <f t="shared" si="38"/>
        <v>1</v>
      </c>
      <c r="N208" s="961"/>
      <c r="O208" s="52">
        <f t="shared" si="39"/>
        <v>1</v>
      </c>
      <c r="P208" s="961"/>
      <c r="Q208" s="52">
        <f t="shared" si="40"/>
        <v>1</v>
      </c>
      <c r="R208" s="489">
        <f t="shared" si="41"/>
        <v>0</v>
      </c>
      <c r="S208" s="798">
        <f t="shared" si="42"/>
        <v>0</v>
      </c>
    </row>
    <row r="209" spans="1:19">
      <c r="A209" s="963"/>
      <c r="B209" s="136"/>
      <c r="C209" s="52">
        <f t="shared" si="33"/>
        <v>1</v>
      </c>
      <c r="D209" s="961"/>
      <c r="E209" s="52">
        <f t="shared" si="34"/>
        <v>1</v>
      </c>
      <c r="F209" s="961"/>
      <c r="G209" s="52">
        <f t="shared" si="35"/>
        <v>1</v>
      </c>
      <c r="H209" s="961"/>
      <c r="I209" s="52">
        <f t="shared" si="36"/>
        <v>1</v>
      </c>
      <c r="J209" s="961"/>
      <c r="K209" s="52">
        <f t="shared" si="37"/>
        <v>1</v>
      </c>
      <c r="L209" s="961"/>
      <c r="M209" s="52">
        <f t="shared" si="38"/>
        <v>1</v>
      </c>
      <c r="N209" s="961"/>
      <c r="O209" s="52">
        <f t="shared" si="39"/>
        <v>1</v>
      </c>
      <c r="P209" s="961"/>
      <c r="Q209" s="52">
        <f t="shared" si="40"/>
        <v>1</v>
      </c>
      <c r="R209" s="489">
        <f t="shared" si="41"/>
        <v>0</v>
      </c>
      <c r="S209" s="798">
        <f t="shared" si="42"/>
        <v>0</v>
      </c>
    </row>
    <row r="210" spans="1:19">
      <c r="A210" s="963"/>
      <c r="B210" s="136"/>
      <c r="C210" s="52">
        <f t="shared" si="33"/>
        <v>1</v>
      </c>
      <c r="D210" s="961"/>
      <c r="E210" s="52">
        <f t="shared" si="34"/>
        <v>1</v>
      </c>
      <c r="F210" s="961"/>
      <c r="G210" s="52">
        <f t="shared" si="35"/>
        <v>1</v>
      </c>
      <c r="H210" s="961"/>
      <c r="I210" s="52">
        <f t="shared" si="36"/>
        <v>1</v>
      </c>
      <c r="J210" s="961"/>
      <c r="K210" s="52">
        <f t="shared" si="37"/>
        <v>1</v>
      </c>
      <c r="L210" s="961"/>
      <c r="M210" s="52">
        <f t="shared" si="38"/>
        <v>1</v>
      </c>
      <c r="N210" s="961"/>
      <c r="O210" s="52">
        <f t="shared" si="39"/>
        <v>1</v>
      </c>
      <c r="P210" s="961"/>
      <c r="Q210" s="52">
        <f t="shared" si="40"/>
        <v>1</v>
      </c>
      <c r="R210" s="489">
        <f t="shared" si="41"/>
        <v>0</v>
      </c>
      <c r="S210" s="798">
        <f t="shared" si="42"/>
        <v>0</v>
      </c>
    </row>
    <row r="211" spans="1:19">
      <c r="A211" s="963"/>
      <c r="B211" s="136"/>
      <c r="C211" s="52">
        <f t="shared" si="33"/>
        <v>1</v>
      </c>
      <c r="D211" s="961"/>
      <c r="E211" s="52">
        <f t="shared" si="34"/>
        <v>1</v>
      </c>
      <c r="F211" s="961"/>
      <c r="G211" s="52">
        <f t="shared" si="35"/>
        <v>1</v>
      </c>
      <c r="H211" s="961"/>
      <c r="I211" s="52">
        <f t="shared" si="36"/>
        <v>1</v>
      </c>
      <c r="J211" s="961"/>
      <c r="K211" s="52">
        <f t="shared" si="37"/>
        <v>1</v>
      </c>
      <c r="L211" s="961"/>
      <c r="M211" s="52">
        <f t="shared" si="38"/>
        <v>1</v>
      </c>
      <c r="N211" s="961"/>
      <c r="O211" s="52">
        <f t="shared" si="39"/>
        <v>1</v>
      </c>
      <c r="P211" s="961"/>
      <c r="Q211" s="52">
        <f t="shared" si="40"/>
        <v>1</v>
      </c>
      <c r="R211" s="489">
        <f t="shared" si="41"/>
        <v>0</v>
      </c>
      <c r="S211" s="798">
        <f t="shared" si="42"/>
        <v>0</v>
      </c>
    </row>
    <row r="212" spans="1:19">
      <c r="A212" s="963"/>
      <c r="B212" s="136"/>
      <c r="C212" s="52">
        <f t="shared" si="33"/>
        <v>1</v>
      </c>
      <c r="D212" s="961"/>
      <c r="E212" s="52">
        <f t="shared" si="34"/>
        <v>1</v>
      </c>
      <c r="F212" s="961"/>
      <c r="G212" s="52">
        <f t="shared" si="35"/>
        <v>1</v>
      </c>
      <c r="H212" s="961"/>
      <c r="I212" s="52">
        <f t="shared" si="36"/>
        <v>1</v>
      </c>
      <c r="J212" s="961"/>
      <c r="K212" s="52">
        <f t="shared" si="37"/>
        <v>1</v>
      </c>
      <c r="L212" s="961"/>
      <c r="M212" s="52">
        <f t="shared" si="38"/>
        <v>1</v>
      </c>
      <c r="N212" s="961"/>
      <c r="O212" s="52">
        <f t="shared" si="39"/>
        <v>1</v>
      </c>
      <c r="P212" s="961"/>
      <c r="Q212" s="52">
        <f t="shared" si="40"/>
        <v>1</v>
      </c>
      <c r="R212" s="489">
        <f t="shared" si="41"/>
        <v>0</v>
      </c>
      <c r="S212" s="798">
        <f t="shared" si="42"/>
        <v>0</v>
      </c>
    </row>
    <row r="213" spans="1:19">
      <c r="A213" s="963"/>
      <c r="B213" s="136"/>
      <c r="C213" s="52">
        <f t="shared" si="33"/>
        <v>1</v>
      </c>
      <c r="D213" s="961"/>
      <c r="E213" s="52">
        <f t="shared" si="34"/>
        <v>1</v>
      </c>
      <c r="F213" s="961"/>
      <c r="G213" s="52">
        <f t="shared" si="35"/>
        <v>1</v>
      </c>
      <c r="H213" s="961"/>
      <c r="I213" s="52">
        <f t="shared" si="36"/>
        <v>1</v>
      </c>
      <c r="J213" s="961"/>
      <c r="K213" s="52">
        <f t="shared" si="37"/>
        <v>1</v>
      </c>
      <c r="L213" s="961"/>
      <c r="M213" s="52">
        <f t="shared" si="38"/>
        <v>1</v>
      </c>
      <c r="N213" s="961"/>
      <c r="O213" s="52">
        <f t="shared" si="39"/>
        <v>1</v>
      </c>
      <c r="P213" s="961"/>
      <c r="Q213" s="52">
        <f t="shared" si="40"/>
        <v>1</v>
      </c>
      <c r="R213" s="489">
        <f t="shared" si="41"/>
        <v>0</v>
      </c>
      <c r="S213" s="798">
        <f t="shared" si="42"/>
        <v>0</v>
      </c>
    </row>
    <row r="214" spans="1:19">
      <c r="A214" s="963"/>
      <c r="B214" s="136"/>
      <c r="C214" s="52">
        <f t="shared" si="33"/>
        <v>1</v>
      </c>
      <c r="D214" s="961"/>
      <c r="E214" s="52">
        <f t="shared" si="34"/>
        <v>1</v>
      </c>
      <c r="F214" s="961"/>
      <c r="G214" s="52">
        <f t="shared" si="35"/>
        <v>1</v>
      </c>
      <c r="H214" s="961"/>
      <c r="I214" s="52">
        <f t="shared" si="36"/>
        <v>1</v>
      </c>
      <c r="J214" s="961"/>
      <c r="K214" s="52">
        <f t="shared" si="37"/>
        <v>1</v>
      </c>
      <c r="L214" s="961"/>
      <c r="M214" s="52">
        <f t="shared" si="38"/>
        <v>1</v>
      </c>
      <c r="N214" s="961"/>
      <c r="O214" s="52">
        <f t="shared" si="39"/>
        <v>1</v>
      </c>
      <c r="P214" s="961"/>
      <c r="Q214" s="52">
        <f t="shared" si="40"/>
        <v>1</v>
      </c>
      <c r="R214" s="489">
        <f t="shared" si="41"/>
        <v>0</v>
      </c>
      <c r="S214" s="798">
        <f t="shared" si="42"/>
        <v>0</v>
      </c>
    </row>
    <row r="215" spans="1:19">
      <c r="A215" s="963"/>
      <c r="B215" s="136"/>
      <c r="C215" s="52">
        <f t="shared" si="33"/>
        <v>1</v>
      </c>
      <c r="D215" s="961"/>
      <c r="E215" s="52">
        <f t="shared" si="34"/>
        <v>1</v>
      </c>
      <c r="F215" s="961"/>
      <c r="G215" s="52">
        <f t="shared" si="35"/>
        <v>1</v>
      </c>
      <c r="H215" s="961"/>
      <c r="I215" s="52">
        <f t="shared" si="36"/>
        <v>1</v>
      </c>
      <c r="J215" s="961"/>
      <c r="K215" s="52">
        <f t="shared" si="37"/>
        <v>1</v>
      </c>
      <c r="L215" s="961"/>
      <c r="M215" s="52">
        <f t="shared" si="38"/>
        <v>1</v>
      </c>
      <c r="N215" s="961"/>
      <c r="O215" s="52">
        <f t="shared" si="39"/>
        <v>1</v>
      </c>
      <c r="P215" s="961"/>
      <c r="Q215" s="52">
        <f t="shared" si="40"/>
        <v>1</v>
      </c>
      <c r="R215" s="489">
        <f t="shared" si="41"/>
        <v>0</v>
      </c>
      <c r="S215" s="798">
        <f t="shared" si="42"/>
        <v>0</v>
      </c>
    </row>
    <row r="216" spans="1:19">
      <c r="A216" s="963"/>
      <c r="B216" s="136"/>
      <c r="C216" s="52">
        <f t="shared" si="33"/>
        <v>1</v>
      </c>
      <c r="D216" s="961"/>
      <c r="E216" s="52">
        <f t="shared" si="34"/>
        <v>1</v>
      </c>
      <c r="F216" s="961"/>
      <c r="G216" s="52">
        <f t="shared" si="35"/>
        <v>1</v>
      </c>
      <c r="H216" s="961"/>
      <c r="I216" s="52">
        <f t="shared" si="36"/>
        <v>1</v>
      </c>
      <c r="J216" s="961"/>
      <c r="K216" s="52">
        <f t="shared" si="37"/>
        <v>1</v>
      </c>
      <c r="L216" s="961"/>
      <c r="M216" s="52">
        <f t="shared" si="38"/>
        <v>1</v>
      </c>
      <c r="N216" s="961"/>
      <c r="O216" s="52">
        <f t="shared" si="39"/>
        <v>1</v>
      </c>
      <c r="P216" s="961"/>
      <c r="Q216" s="52">
        <f t="shared" si="40"/>
        <v>1</v>
      </c>
      <c r="R216" s="489">
        <f t="shared" si="41"/>
        <v>0</v>
      </c>
      <c r="S216" s="798">
        <f t="shared" si="42"/>
        <v>0</v>
      </c>
    </row>
    <row r="217" spans="1:19">
      <c r="A217" s="963"/>
      <c r="B217" s="136"/>
      <c r="C217" s="52">
        <f t="shared" si="33"/>
        <v>1</v>
      </c>
      <c r="D217" s="961"/>
      <c r="E217" s="52">
        <f t="shared" si="34"/>
        <v>1</v>
      </c>
      <c r="F217" s="961"/>
      <c r="G217" s="52">
        <f t="shared" si="35"/>
        <v>1</v>
      </c>
      <c r="H217" s="961"/>
      <c r="I217" s="52">
        <f t="shared" si="36"/>
        <v>1</v>
      </c>
      <c r="J217" s="961"/>
      <c r="K217" s="52">
        <f t="shared" si="37"/>
        <v>1</v>
      </c>
      <c r="L217" s="961"/>
      <c r="M217" s="52">
        <f t="shared" si="38"/>
        <v>1</v>
      </c>
      <c r="N217" s="961"/>
      <c r="O217" s="52">
        <f t="shared" si="39"/>
        <v>1</v>
      </c>
      <c r="P217" s="961"/>
      <c r="Q217" s="52">
        <f t="shared" si="40"/>
        <v>1</v>
      </c>
      <c r="R217" s="489">
        <f t="shared" si="41"/>
        <v>0</v>
      </c>
      <c r="S217" s="798">
        <f t="shared" si="42"/>
        <v>0</v>
      </c>
    </row>
    <row r="218" spans="1:19">
      <c r="A218" s="963"/>
      <c r="B218" s="136"/>
      <c r="C218" s="52">
        <f t="shared" ref="C218:C281" si="43">IF(B218="",1,(LOOKUP(B218,$3:$3,$4:$4)-LOOKUP($B$24,$3:$3,$4:$4)+100)/100)</f>
        <v>1</v>
      </c>
      <c r="D218" s="961"/>
      <c r="E218" s="52">
        <f t="shared" ref="E218:E281" si="44">(SUMIF($5:$5,D218,$6:$6)-SUMIF($5:$5,$D$24,$6:$6)+100)/100</f>
        <v>1</v>
      </c>
      <c r="F218" s="961"/>
      <c r="G218" s="52">
        <f t="shared" ref="G218:G281" si="45">(SUMIF($7:$7,F218,$8:$8)-SUMIF($7:$7,$F$24,$8:$8)+100)/100</f>
        <v>1</v>
      </c>
      <c r="H218" s="961"/>
      <c r="I218" s="52">
        <f t="shared" ref="I218:I281" si="46">(SUMIF($9:$9,H218,$10:$10)-SUMIF($9:$9,$H$24,$10:$10)+100)/100</f>
        <v>1</v>
      </c>
      <c r="J218" s="961"/>
      <c r="K218" s="52">
        <f t="shared" ref="K218:K281" si="47">(SUMIF($11:$11,J218,$12:$12)-SUMIF($11:$11,$J$24,$12:$12)+100)/100</f>
        <v>1</v>
      </c>
      <c r="L218" s="961"/>
      <c r="M218" s="52">
        <f t="shared" ref="M218:M281" si="48">(SUMIF($13:$13,L218,$14:$14)-SUMIF($13:$13,$L$24,$14:$14)+100)/100</f>
        <v>1</v>
      </c>
      <c r="N218" s="961"/>
      <c r="O218" s="52">
        <f t="shared" ref="O218:O281" si="49">(SUMIF($15:$15,N218,$16:$16)-SUMIF($15:$15,$N$24,$16:$16)+100)/100</f>
        <v>1</v>
      </c>
      <c r="P218" s="961"/>
      <c r="Q218" s="52">
        <f t="shared" ref="Q218:Q281" si="50">(SUMIF($17:$17,P218,$18:$18)-SUMIF($17:$17,$P$24,$18:$18)+100)/100</f>
        <v>1</v>
      </c>
      <c r="R218" s="489">
        <f t="shared" ref="R218:R281" si="51">IF(B218="",0,ROUND($R$24*C218*E218*G218*I218*K218*M218*O218*Q218,0))</f>
        <v>0</v>
      </c>
      <c r="S218" s="798">
        <f t="shared" si="42"/>
        <v>0</v>
      </c>
    </row>
    <row r="219" spans="1:19">
      <c r="A219" s="963"/>
      <c r="B219" s="136"/>
      <c r="C219" s="52">
        <f t="shared" si="43"/>
        <v>1</v>
      </c>
      <c r="D219" s="961"/>
      <c r="E219" s="52">
        <f t="shared" si="44"/>
        <v>1</v>
      </c>
      <c r="F219" s="961"/>
      <c r="G219" s="52">
        <f t="shared" si="45"/>
        <v>1</v>
      </c>
      <c r="H219" s="961"/>
      <c r="I219" s="52">
        <f t="shared" si="46"/>
        <v>1</v>
      </c>
      <c r="J219" s="961"/>
      <c r="K219" s="52">
        <f t="shared" si="47"/>
        <v>1</v>
      </c>
      <c r="L219" s="961"/>
      <c r="M219" s="52">
        <f t="shared" si="48"/>
        <v>1</v>
      </c>
      <c r="N219" s="961"/>
      <c r="O219" s="52">
        <f t="shared" si="49"/>
        <v>1</v>
      </c>
      <c r="P219" s="961"/>
      <c r="Q219" s="52">
        <f t="shared" si="50"/>
        <v>1</v>
      </c>
      <c r="R219" s="489">
        <f t="shared" si="51"/>
        <v>0</v>
      </c>
      <c r="S219" s="798">
        <f t="shared" si="42"/>
        <v>0</v>
      </c>
    </row>
    <row r="220" spans="1:19">
      <c r="A220" s="963"/>
      <c r="B220" s="136"/>
      <c r="C220" s="52">
        <f t="shared" si="43"/>
        <v>1</v>
      </c>
      <c r="D220" s="961"/>
      <c r="E220" s="52">
        <f t="shared" si="44"/>
        <v>1</v>
      </c>
      <c r="F220" s="961"/>
      <c r="G220" s="52">
        <f t="shared" si="45"/>
        <v>1</v>
      </c>
      <c r="H220" s="961"/>
      <c r="I220" s="52">
        <f t="shared" si="46"/>
        <v>1</v>
      </c>
      <c r="J220" s="961"/>
      <c r="K220" s="52">
        <f t="shared" si="47"/>
        <v>1</v>
      </c>
      <c r="L220" s="961"/>
      <c r="M220" s="52">
        <f t="shared" si="48"/>
        <v>1</v>
      </c>
      <c r="N220" s="961"/>
      <c r="O220" s="52">
        <f t="shared" si="49"/>
        <v>1</v>
      </c>
      <c r="P220" s="961"/>
      <c r="Q220" s="52">
        <f t="shared" si="50"/>
        <v>1</v>
      </c>
      <c r="R220" s="489">
        <f t="shared" si="51"/>
        <v>0</v>
      </c>
      <c r="S220" s="798">
        <f t="shared" si="42"/>
        <v>0</v>
      </c>
    </row>
    <row r="221" spans="1:19">
      <c r="A221" s="963"/>
      <c r="B221" s="136"/>
      <c r="C221" s="52">
        <f t="shared" si="43"/>
        <v>1</v>
      </c>
      <c r="D221" s="961"/>
      <c r="E221" s="52">
        <f t="shared" si="44"/>
        <v>1</v>
      </c>
      <c r="F221" s="961"/>
      <c r="G221" s="52">
        <f t="shared" si="45"/>
        <v>1</v>
      </c>
      <c r="H221" s="961"/>
      <c r="I221" s="52">
        <f t="shared" si="46"/>
        <v>1</v>
      </c>
      <c r="J221" s="961"/>
      <c r="K221" s="52">
        <f t="shared" si="47"/>
        <v>1</v>
      </c>
      <c r="L221" s="961"/>
      <c r="M221" s="52">
        <f t="shared" si="48"/>
        <v>1</v>
      </c>
      <c r="N221" s="961"/>
      <c r="O221" s="52">
        <f t="shared" si="49"/>
        <v>1</v>
      </c>
      <c r="P221" s="961"/>
      <c r="Q221" s="52">
        <f t="shared" si="50"/>
        <v>1</v>
      </c>
      <c r="R221" s="489">
        <f t="shared" si="51"/>
        <v>0</v>
      </c>
      <c r="S221" s="798">
        <f t="shared" si="42"/>
        <v>0</v>
      </c>
    </row>
    <row r="222" spans="1:19">
      <c r="A222" s="963"/>
      <c r="B222" s="136"/>
      <c r="C222" s="52">
        <f t="shared" si="43"/>
        <v>1</v>
      </c>
      <c r="D222" s="961"/>
      <c r="E222" s="52">
        <f t="shared" si="44"/>
        <v>1</v>
      </c>
      <c r="F222" s="961"/>
      <c r="G222" s="52">
        <f t="shared" si="45"/>
        <v>1</v>
      </c>
      <c r="H222" s="961"/>
      <c r="I222" s="52">
        <f t="shared" si="46"/>
        <v>1</v>
      </c>
      <c r="J222" s="961"/>
      <c r="K222" s="52">
        <f t="shared" si="47"/>
        <v>1</v>
      </c>
      <c r="L222" s="961"/>
      <c r="M222" s="52">
        <f t="shared" si="48"/>
        <v>1</v>
      </c>
      <c r="N222" s="961"/>
      <c r="O222" s="52">
        <f t="shared" si="49"/>
        <v>1</v>
      </c>
      <c r="P222" s="961"/>
      <c r="Q222" s="52">
        <f t="shared" si="50"/>
        <v>1</v>
      </c>
      <c r="R222" s="489">
        <f t="shared" si="51"/>
        <v>0</v>
      </c>
      <c r="S222" s="798">
        <f t="shared" si="42"/>
        <v>0</v>
      </c>
    </row>
    <row r="223" spans="1:19">
      <c r="A223" s="963"/>
      <c r="B223" s="136"/>
      <c r="C223" s="52">
        <f t="shared" si="43"/>
        <v>1</v>
      </c>
      <c r="D223" s="961"/>
      <c r="E223" s="52">
        <f t="shared" si="44"/>
        <v>1</v>
      </c>
      <c r="F223" s="961"/>
      <c r="G223" s="52">
        <f t="shared" si="45"/>
        <v>1</v>
      </c>
      <c r="H223" s="961"/>
      <c r="I223" s="52">
        <f t="shared" si="46"/>
        <v>1</v>
      </c>
      <c r="J223" s="961"/>
      <c r="K223" s="52">
        <f t="shared" si="47"/>
        <v>1</v>
      </c>
      <c r="L223" s="961"/>
      <c r="M223" s="52">
        <f t="shared" si="48"/>
        <v>1</v>
      </c>
      <c r="N223" s="961"/>
      <c r="O223" s="52">
        <f t="shared" si="49"/>
        <v>1</v>
      </c>
      <c r="P223" s="961"/>
      <c r="Q223" s="52">
        <f t="shared" si="50"/>
        <v>1</v>
      </c>
      <c r="R223" s="489">
        <f t="shared" si="51"/>
        <v>0</v>
      </c>
      <c r="S223" s="798">
        <f t="shared" ref="S223:S286" si="52">ROUND(R223*B223/10000,0)</f>
        <v>0</v>
      </c>
    </row>
    <row r="224" spans="1:19">
      <c r="A224" s="963"/>
      <c r="B224" s="136"/>
      <c r="C224" s="52">
        <f t="shared" si="43"/>
        <v>1</v>
      </c>
      <c r="D224" s="961"/>
      <c r="E224" s="52">
        <f t="shared" si="44"/>
        <v>1</v>
      </c>
      <c r="F224" s="961"/>
      <c r="G224" s="52">
        <f t="shared" si="45"/>
        <v>1</v>
      </c>
      <c r="H224" s="961"/>
      <c r="I224" s="52">
        <f t="shared" si="46"/>
        <v>1</v>
      </c>
      <c r="J224" s="961"/>
      <c r="K224" s="52">
        <f t="shared" si="47"/>
        <v>1</v>
      </c>
      <c r="L224" s="961"/>
      <c r="M224" s="52">
        <f t="shared" si="48"/>
        <v>1</v>
      </c>
      <c r="N224" s="961"/>
      <c r="O224" s="52">
        <f t="shared" si="49"/>
        <v>1</v>
      </c>
      <c r="P224" s="961"/>
      <c r="Q224" s="52">
        <f t="shared" si="50"/>
        <v>1</v>
      </c>
      <c r="R224" s="489">
        <f t="shared" si="51"/>
        <v>0</v>
      </c>
      <c r="S224" s="798">
        <f t="shared" si="52"/>
        <v>0</v>
      </c>
    </row>
    <row r="225" spans="1:19">
      <c r="A225" s="963"/>
      <c r="B225" s="136"/>
      <c r="C225" s="52">
        <f t="shared" si="43"/>
        <v>1</v>
      </c>
      <c r="D225" s="961"/>
      <c r="E225" s="52">
        <f t="shared" si="44"/>
        <v>1</v>
      </c>
      <c r="F225" s="961"/>
      <c r="G225" s="52">
        <f t="shared" si="45"/>
        <v>1</v>
      </c>
      <c r="H225" s="961"/>
      <c r="I225" s="52">
        <f t="shared" si="46"/>
        <v>1</v>
      </c>
      <c r="J225" s="961"/>
      <c r="K225" s="52">
        <f t="shared" si="47"/>
        <v>1</v>
      </c>
      <c r="L225" s="961"/>
      <c r="M225" s="52">
        <f t="shared" si="48"/>
        <v>1</v>
      </c>
      <c r="N225" s="961"/>
      <c r="O225" s="52">
        <f t="shared" si="49"/>
        <v>1</v>
      </c>
      <c r="P225" s="961"/>
      <c r="Q225" s="52">
        <f t="shared" si="50"/>
        <v>1</v>
      </c>
      <c r="R225" s="489">
        <f t="shared" si="51"/>
        <v>0</v>
      </c>
      <c r="S225" s="798">
        <f t="shared" si="52"/>
        <v>0</v>
      </c>
    </row>
    <row r="226" spans="1:19">
      <c r="A226" s="963"/>
      <c r="B226" s="136"/>
      <c r="C226" s="52">
        <f t="shared" si="43"/>
        <v>1</v>
      </c>
      <c r="D226" s="961"/>
      <c r="E226" s="52">
        <f t="shared" si="44"/>
        <v>1</v>
      </c>
      <c r="F226" s="961"/>
      <c r="G226" s="52">
        <f t="shared" si="45"/>
        <v>1</v>
      </c>
      <c r="H226" s="961"/>
      <c r="I226" s="52">
        <f t="shared" si="46"/>
        <v>1</v>
      </c>
      <c r="J226" s="961"/>
      <c r="K226" s="52">
        <f t="shared" si="47"/>
        <v>1</v>
      </c>
      <c r="L226" s="961"/>
      <c r="M226" s="52">
        <f t="shared" si="48"/>
        <v>1</v>
      </c>
      <c r="N226" s="961"/>
      <c r="O226" s="52">
        <f t="shared" si="49"/>
        <v>1</v>
      </c>
      <c r="P226" s="961"/>
      <c r="Q226" s="52">
        <f t="shared" si="50"/>
        <v>1</v>
      </c>
      <c r="R226" s="489">
        <f t="shared" si="51"/>
        <v>0</v>
      </c>
      <c r="S226" s="798">
        <f t="shared" si="52"/>
        <v>0</v>
      </c>
    </row>
    <row r="227" spans="1:19">
      <c r="A227" s="963"/>
      <c r="B227" s="136"/>
      <c r="C227" s="52">
        <f t="shared" si="43"/>
        <v>1</v>
      </c>
      <c r="D227" s="961"/>
      <c r="E227" s="52">
        <f t="shared" si="44"/>
        <v>1</v>
      </c>
      <c r="F227" s="961"/>
      <c r="G227" s="52">
        <f t="shared" si="45"/>
        <v>1</v>
      </c>
      <c r="H227" s="961"/>
      <c r="I227" s="52">
        <f t="shared" si="46"/>
        <v>1</v>
      </c>
      <c r="J227" s="961"/>
      <c r="K227" s="52">
        <f t="shared" si="47"/>
        <v>1</v>
      </c>
      <c r="L227" s="961"/>
      <c r="M227" s="52">
        <f t="shared" si="48"/>
        <v>1</v>
      </c>
      <c r="N227" s="961"/>
      <c r="O227" s="52">
        <f t="shared" si="49"/>
        <v>1</v>
      </c>
      <c r="P227" s="961"/>
      <c r="Q227" s="52">
        <f t="shared" si="50"/>
        <v>1</v>
      </c>
      <c r="R227" s="489">
        <f t="shared" si="51"/>
        <v>0</v>
      </c>
      <c r="S227" s="798">
        <f t="shared" si="52"/>
        <v>0</v>
      </c>
    </row>
    <row r="228" spans="1:19">
      <c r="A228" s="963"/>
      <c r="B228" s="136"/>
      <c r="C228" s="52">
        <f t="shared" si="43"/>
        <v>1</v>
      </c>
      <c r="D228" s="961"/>
      <c r="E228" s="52">
        <f t="shared" si="44"/>
        <v>1</v>
      </c>
      <c r="F228" s="961"/>
      <c r="G228" s="52">
        <f t="shared" si="45"/>
        <v>1</v>
      </c>
      <c r="H228" s="961"/>
      <c r="I228" s="52">
        <f t="shared" si="46"/>
        <v>1</v>
      </c>
      <c r="J228" s="961"/>
      <c r="K228" s="52">
        <f t="shared" si="47"/>
        <v>1</v>
      </c>
      <c r="L228" s="961"/>
      <c r="M228" s="52">
        <f t="shared" si="48"/>
        <v>1</v>
      </c>
      <c r="N228" s="961"/>
      <c r="O228" s="52">
        <f t="shared" si="49"/>
        <v>1</v>
      </c>
      <c r="P228" s="961"/>
      <c r="Q228" s="52">
        <f t="shared" si="50"/>
        <v>1</v>
      </c>
      <c r="R228" s="489">
        <f t="shared" si="51"/>
        <v>0</v>
      </c>
      <c r="S228" s="798">
        <f t="shared" si="52"/>
        <v>0</v>
      </c>
    </row>
    <row r="229" spans="1:19">
      <c r="A229" s="963"/>
      <c r="B229" s="136"/>
      <c r="C229" s="52">
        <f t="shared" si="43"/>
        <v>1</v>
      </c>
      <c r="D229" s="961"/>
      <c r="E229" s="52">
        <f t="shared" si="44"/>
        <v>1</v>
      </c>
      <c r="F229" s="961"/>
      <c r="G229" s="52">
        <f t="shared" si="45"/>
        <v>1</v>
      </c>
      <c r="H229" s="961"/>
      <c r="I229" s="52">
        <f t="shared" si="46"/>
        <v>1</v>
      </c>
      <c r="J229" s="961"/>
      <c r="K229" s="52">
        <f t="shared" si="47"/>
        <v>1</v>
      </c>
      <c r="L229" s="961"/>
      <c r="M229" s="52">
        <f t="shared" si="48"/>
        <v>1</v>
      </c>
      <c r="N229" s="961"/>
      <c r="O229" s="52">
        <f t="shared" si="49"/>
        <v>1</v>
      </c>
      <c r="P229" s="961"/>
      <c r="Q229" s="52">
        <f t="shared" si="50"/>
        <v>1</v>
      </c>
      <c r="R229" s="489">
        <f t="shared" si="51"/>
        <v>0</v>
      </c>
      <c r="S229" s="798">
        <f t="shared" si="52"/>
        <v>0</v>
      </c>
    </row>
    <row r="230" spans="1:19">
      <c r="A230" s="963"/>
      <c r="B230" s="136"/>
      <c r="C230" s="52">
        <f t="shared" si="43"/>
        <v>1</v>
      </c>
      <c r="D230" s="961"/>
      <c r="E230" s="52">
        <f t="shared" si="44"/>
        <v>1</v>
      </c>
      <c r="F230" s="961"/>
      <c r="G230" s="52">
        <f t="shared" si="45"/>
        <v>1</v>
      </c>
      <c r="H230" s="961"/>
      <c r="I230" s="52">
        <f t="shared" si="46"/>
        <v>1</v>
      </c>
      <c r="J230" s="961"/>
      <c r="K230" s="52">
        <f t="shared" si="47"/>
        <v>1</v>
      </c>
      <c r="L230" s="961"/>
      <c r="M230" s="52">
        <f t="shared" si="48"/>
        <v>1</v>
      </c>
      <c r="N230" s="961"/>
      <c r="O230" s="52">
        <f t="shared" si="49"/>
        <v>1</v>
      </c>
      <c r="P230" s="961"/>
      <c r="Q230" s="52">
        <f t="shared" si="50"/>
        <v>1</v>
      </c>
      <c r="R230" s="489">
        <f t="shared" si="51"/>
        <v>0</v>
      </c>
      <c r="S230" s="798">
        <f t="shared" si="52"/>
        <v>0</v>
      </c>
    </row>
    <row r="231" spans="1:19">
      <c r="A231" s="963"/>
      <c r="B231" s="136"/>
      <c r="C231" s="52">
        <f t="shared" si="43"/>
        <v>1</v>
      </c>
      <c r="D231" s="961"/>
      <c r="E231" s="52">
        <f t="shared" si="44"/>
        <v>1</v>
      </c>
      <c r="F231" s="961"/>
      <c r="G231" s="52">
        <f t="shared" si="45"/>
        <v>1</v>
      </c>
      <c r="H231" s="961"/>
      <c r="I231" s="52">
        <f t="shared" si="46"/>
        <v>1</v>
      </c>
      <c r="J231" s="961"/>
      <c r="K231" s="52">
        <f t="shared" si="47"/>
        <v>1</v>
      </c>
      <c r="L231" s="961"/>
      <c r="M231" s="52">
        <f t="shared" si="48"/>
        <v>1</v>
      </c>
      <c r="N231" s="961"/>
      <c r="O231" s="52">
        <f t="shared" si="49"/>
        <v>1</v>
      </c>
      <c r="P231" s="961"/>
      <c r="Q231" s="52">
        <f t="shared" si="50"/>
        <v>1</v>
      </c>
      <c r="R231" s="489">
        <f t="shared" si="51"/>
        <v>0</v>
      </c>
      <c r="S231" s="798">
        <f t="shared" si="52"/>
        <v>0</v>
      </c>
    </row>
    <row r="232" spans="1:19">
      <c r="A232" s="963"/>
      <c r="B232" s="136"/>
      <c r="C232" s="52">
        <f t="shared" si="43"/>
        <v>1</v>
      </c>
      <c r="D232" s="961"/>
      <c r="E232" s="52">
        <f t="shared" si="44"/>
        <v>1</v>
      </c>
      <c r="F232" s="961"/>
      <c r="G232" s="52">
        <f t="shared" si="45"/>
        <v>1</v>
      </c>
      <c r="H232" s="961"/>
      <c r="I232" s="52">
        <f t="shared" si="46"/>
        <v>1</v>
      </c>
      <c r="J232" s="961"/>
      <c r="K232" s="52">
        <f t="shared" si="47"/>
        <v>1</v>
      </c>
      <c r="L232" s="961"/>
      <c r="M232" s="52">
        <f t="shared" si="48"/>
        <v>1</v>
      </c>
      <c r="N232" s="961"/>
      <c r="O232" s="52">
        <f t="shared" si="49"/>
        <v>1</v>
      </c>
      <c r="P232" s="961"/>
      <c r="Q232" s="52">
        <f t="shared" si="50"/>
        <v>1</v>
      </c>
      <c r="R232" s="489">
        <f t="shared" si="51"/>
        <v>0</v>
      </c>
      <c r="S232" s="798">
        <f t="shared" si="52"/>
        <v>0</v>
      </c>
    </row>
    <row r="233" spans="1:19">
      <c r="A233" s="963"/>
      <c r="B233" s="136"/>
      <c r="C233" s="52">
        <f t="shared" si="43"/>
        <v>1</v>
      </c>
      <c r="D233" s="961"/>
      <c r="E233" s="52">
        <f t="shared" si="44"/>
        <v>1</v>
      </c>
      <c r="F233" s="961"/>
      <c r="G233" s="52">
        <f t="shared" si="45"/>
        <v>1</v>
      </c>
      <c r="H233" s="961"/>
      <c r="I233" s="52">
        <f t="shared" si="46"/>
        <v>1</v>
      </c>
      <c r="J233" s="961"/>
      <c r="K233" s="52">
        <f t="shared" si="47"/>
        <v>1</v>
      </c>
      <c r="L233" s="961"/>
      <c r="M233" s="52">
        <f t="shared" si="48"/>
        <v>1</v>
      </c>
      <c r="N233" s="961"/>
      <c r="O233" s="52">
        <f t="shared" si="49"/>
        <v>1</v>
      </c>
      <c r="P233" s="961"/>
      <c r="Q233" s="52">
        <f t="shared" si="50"/>
        <v>1</v>
      </c>
      <c r="R233" s="489">
        <f t="shared" si="51"/>
        <v>0</v>
      </c>
      <c r="S233" s="798">
        <f t="shared" si="52"/>
        <v>0</v>
      </c>
    </row>
    <row r="234" spans="1:19">
      <c r="A234" s="963"/>
      <c r="B234" s="136"/>
      <c r="C234" s="52">
        <f t="shared" si="43"/>
        <v>1</v>
      </c>
      <c r="D234" s="961"/>
      <c r="E234" s="52">
        <f t="shared" si="44"/>
        <v>1</v>
      </c>
      <c r="F234" s="961"/>
      <c r="G234" s="52">
        <f t="shared" si="45"/>
        <v>1</v>
      </c>
      <c r="H234" s="961"/>
      <c r="I234" s="52">
        <f t="shared" si="46"/>
        <v>1</v>
      </c>
      <c r="J234" s="961"/>
      <c r="K234" s="52">
        <f t="shared" si="47"/>
        <v>1</v>
      </c>
      <c r="L234" s="961"/>
      <c r="M234" s="52">
        <f t="shared" si="48"/>
        <v>1</v>
      </c>
      <c r="N234" s="961"/>
      <c r="O234" s="52">
        <f t="shared" si="49"/>
        <v>1</v>
      </c>
      <c r="P234" s="961"/>
      <c r="Q234" s="52">
        <f t="shared" si="50"/>
        <v>1</v>
      </c>
      <c r="R234" s="489">
        <f t="shared" si="51"/>
        <v>0</v>
      </c>
      <c r="S234" s="798">
        <f t="shared" si="52"/>
        <v>0</v>
      </c>
    </row>
    <row r="235" spans="1:19">
      <c r="A235" s="963"/>
      <c r="B235" s="136"/>
      <c r="C235" s="52">
        <f t="shared" si="43"/>
        <v>1</v>
      </c>
      <c r="D235" s="961"/>
      <c r="E235" s="52">
        <f t="shared" si="44"/>
        <v>1</v>
      </c>
      <c r="F235" s="961"/>
      <c r="G235" s="52">
        <f t="shared" si="45"/>
        <v>1</v>
      </c>
      <c r="H235" s="961"/>
      <c r="I235" s="52">
        <f t="shared" si="46"/>
        <v>1</v>
      </c>
      <c r="J235" s="961"/>
      <c r="K235" s="52">
        <f t="shared" si="47"/>
        <v>1</v>
      </c>
      <c r="L235" s="961"/>
      <c r="M235" s="52">
        <f t="shared" si="48"/>
        <v>1</v>
      </c>
      <c r="N235" s="961"/>
      <c r="O235" s="52">
        <f t="shared" si="49"/>
        <v>1</v>
      </c>
      <c r="P235" s="961"/>
      <c r="Q235" s="52">
        <f t="shared" si="50"/>
        <v>1</v>
      </c>
      <c r="R235" s="489">
        <f t="shared" si="51"/>
        <v>0</v>
      </c>
      <c r="S235" s="798">
        <f t="shared" si="52"/>
        <v>0</v>
      </c>
    </row>
    <row r="236" spans="1:19">
      <c r="A236" s="963"/>
      <c r="B236" s="136"/>
      <c r="C236" s="52">
        <f t="shared" si="43"/>
        <v>1</v>
      </c>
      <c r="D236" s="961"/>
      <c r="E236" s="52">
        <f t="shared" si="44"/>
        <v>1</v>
      </c>
      <c r="F236" s="961"/>
      <c r="G236" s="52">
        <f t="shared" si="45"/>
        <v>1</v>
      </c>
      <c r="H236" s="961"/>
      <c r="I236" s="52">
        <f t="shared" si="46"/>
        <v>1</v>
      </c>
      <c r="J236" s="961"/>
      <c r="K236" s="52">
        <f t="shared" si="47"/>
        <v>1</v>
      </c>
      <c r="L236" s="961"/>
      <c r="M236" s="52">
        <f t="shared" si="48"/>
        <v>1</v>
      </c>
      <c r="N236" s="961"/>
      <c r="O236" s="52">
        <f t="shared" si="49"/>
        <v>1</v>
      </c>
      <c r="P236" s="961"/>
      <c r="Q236" s="52">
        <f t="shared" si="50"/>
        <v>1</v>
      </c>
      <c r="R236" s="489">
        <f t="shared" si="51"/>
        <v>0</v>
      </c>
      <c r="S236" s="798">
        <f t="shared" si="52"/>
        <v>0</v>
      </c>
    </row>
    <row r="237" spans="1:19">
      <c r="A237" s="963"/>
      <c r="B237" s="136"/>
      <c r="C237" s="52">
        <f t="shared" si="43"/>
        <v>1</v>
      </c>
      <c r="D237" s="961"/>
      <c r="E237" s="52">
        <f t="shared" si="44"/>
        <v>1</v>
      </c>
      <c r="F237" s="961"/>
      <c r="G237" s="52">
        <f t="shared" si="45"/>
        <v>1</v>
      </c>
      <c r="H237" s="961"/>
      <c r="I237" s="52">
        <f t="shared" si="46"/>
        <v>1</v>
      </c>
      <c r="J237" s="961"/>
      <c r="K237" s="52">
        <f t="shared" si="47"/>
        <v>1</v>
      </c>
      <c r="L237" s="961"/>
      <c r="M237" s="52">
        <f t="shared" si="48"/>
        <v>1</v>
      </c>
      <c r="N237" s="961"/>
      <c r="O237" s="52">
        <f t="shared" si="49"/>
        <v>1</v>
      </c>
      <c r="P237" s="961"/>
      <c r="Q237" s="52">
        <f t="shared" si="50"/>
        <v>1</v>
      </c>
      <c r="R237" s="489">
        <f t="shared" si="51"/>
        <v>0</v>
      </c>
      <c r="S237" s="798">
        <f t="shared" si="52"/>
        <v>0</v>
      </c>
    </row>
    <row r="238" spans="1:19">
      <c r="A238" s="963"/>
      <c r="B238" s="136"/>
      <c r="C238" s="52">
        <f t="shared" si="43"/>
        <v>1</v>
      </c>
      <c r="D238" s="961"/>
      <c r="E238" s="52">
        <f t="shared" si="44"/>
        <v>1</v>
      </c>
      <c r="F238" s="961"/>
      <c r="G238" s="52">
        <f t="shared" si="45"/>
        <v>1</v>
      </c>
      <c r="H238" s="961"/>
      <c r="I238" s="52">
        <f t="shared" si="46"/>
        <v>1</v>
      </c>
      <c r="J238" s="961"/>
      <c r="K238" s="52">
        <f t="shared" si="47"/>
        <v>1</v>
      </c>
      <c r="L238" s="961"/>
      <c r="M238" s="52">
        <f t="shared" si="48"/>
        <v>1</v>
      </c>
      <c r="N238" s="961"/>
      <c r="O238" s="52">
        <f t="shared" si="49"/>
        <v>1</v>
      </c>
      <c r="P238" s="961"/>
      <c r="Q238" s="52">
        <f t="shared" si="50"/>
        <v>1</v>
      </c>
      <c r="R238" s="489">
        <f t="shared" si="51"/>
        <v>0</v>
      </c>
      <c r="S238" s="798">
        <f t="shared" si="52"/>
        <v>0</v>
      </c>
    </row>
    <row r="239" spans="1:19">
      <c r="A239" s="963"/>
      <c r="B239" s="136"/>
      <c r="C239" s="52">
        <f t="shared" si="43"/>
        <v>1</v>
      </c>
      <c r="D239" s="961"/>
      <c r="E239" s="52">
        <f t="shared" si="44"/>
        <v>1</v>
      </c>
      <c r="F239" s="961"/>
      <c r="G239" s="52">
        <f t="shared" si="45"/>
        <v>1</v>
      </c>
      <c r="H239" s="961"/>
      <c r="I239" s="52">
        <f t="shared" si="46"/>
        <v>1</v>
      </c>
      <c r="J239" s="961"/>
      <c r="K239" s="52">
        <f t="shared" si="47"/>
        <v>1</v>
      </c>
      <c r="L239" s="961"/>
      <c r="M239" s="52">
        <f t="shared" si="48"/>
        <v>1</v>
      </c>
      <c r="N239" s="961"/>
      <c r="O239" s="52">
        <f t="shared" si="49"/>
        <v>1</v>
      </c>
      <c r="P239" s="961"/>
      <c r="Q239" s="52">
        <f t="shared" si="50"/>
        <v>1</v>
      </c>
      <c r="R239" s="489">
        <f t="shared" si="51"/>
        <v>0</v>
      </c>
      <c r="S239" s="798">
        <f t="shared" si="52"/>
        <v>0</v>
      </c>
    </row>
    <row r="240" spans="1:19">
      <c r="A240" s="963"/>
      <c r="B240" s="136"/>
      <c r="C240" s="52">
        <f t="shared" si="43"/>
        <v>1</v>
      </c>
      <c r="D240" s="961"/>
      <c r="E240" s="52">
        <f t="shared" si="44"/>
        <v>1</v>
      </c>
      <c r="F240" s="961"/>
      <c r="G240" s="52">
        <f t="shared" si="45"/>
        <v>1</v>
      </c>
      <c r="H240" s="961"/>
      <c r="I240" s="52">
        <f t="shared" si="46"/>
        <v>1</v>
      </c>
      <c r="J240" s="961"/>
      <c r="K240" s="52">
        <f t="shared" si="47"/>
        <v>1</v>
      </c>
      <c r="L240" s="961"/>
      <c r="M240" s="52">
        <f t="shared" si="48"/>
        <v>1</v>
      </c>
      <c r="N240" s="961"/>
      <c r="O240" s="52">
        <f t="shared" si="49"/>
        <v>1</v>
      </c>
      <c r="P240" s="961"/>
      <c r="Q240" s="52">
        <f t="shared" si="50"/>
        <v>1</v>
      </c>
      <c r="R240" s="489">
        <f t="shared" si="51"/>
        <v>0</v>
      </c>
      <c r="S240" s="798">
        <f t="shared" si="52"/>
        <v>0</v>
      </c>
    </row>
    <row r="241" spans="1:19">
      <c r="A241" s="963"/>
      <c r="B241" s="136"/>
      <c r="C241" s="52">
        <f t="shared" si="43"/>
        <v>1</v>
      </c>
      <c r="D241" s="961"/>
      <c r="E241" s="52">
        <f t="shared" si="44"/>
        <v>1</v>
      </c>
      <c r="F241" s="961"/>
      <c r="G241" s="52">
        <f t="shared" si="45"/>
        <v>1</v>
      </c>
      <c r="H241" s="961"/>
      <c r="I241" s="52">
        <f t="shared" si="46"/>
        <v>1</v>
      </c>
      <c r="J241" s="961"/>
      <c r="K241" s="52">
        <f t="shared" si="47"/>
        <v>1</v>
      </c>
      <c r="L241" s="961"/>
      <c r="M241" s="52">
        <f t="shared" si="48"/>
        <v>1</v>
      </c>
      <c r="N241" s="961"/>
      <c r="O241" s="52">
        <f t="shared" si="49"/>
        <v>1</v>
      </c>
      <c r="P241" s="961"/>
      <c r="Q241" s="52">
        <f t="shared" si="50"/>
        <v>1</v>
      </c>
      <c r="R241" s="489">
        <f t="shared" si="51"/>
        <v>0</v>
      </c>
      <c r="S241" s="798">
        <f t="shared" si="52"/>
        <v>0</v>
      </c>
    </row>
    <row r="242" spans="1:19">
      <c r="A242" s="963"/>
      <c r="B242" s="136"/>
      <c r="C242" s="52">
        <f t="shared" si="43"/>
        <v>1</v>
      </c>
      <c r="D242" s="961"/>
      <c r="E242" s="52">
        <f t="shared" si="44"/>
        <v>1</v>
      </c>
      <c r="F242" s="961"/>
      <c r="G242" s="52">
        <f t="shared" si="45"/>
        <v>1</v>
      </c>
      <c r="H242" s="961"/>
      <c r="I242" s="52">
        <f t="shared" si="46"/>
        <v>1</v>
      </c>
      <c r="J242" s="961"/>
      <c r="K242" s="52">
        <f t="shared" si="47"/>
        <v>1</v>
      </c>
      <c r="L242" s="961"/>
      <c r="M242" s="52">
        <f t="shared" si="48"/>
        <v>1</v>
      </c>
      <c r="N242" s="961"/>
      <c r="O242" s="52">
        <f t="shared" si="49"/>
        <v>1</v>
      </c>
      <c r="P242" s="961"/>
      <c r="Q242" s="52">
        <f t="shared" si="50"/>
        <v>1</v>
      </c>
      <c r="R242" s="489">
        <f t="shared" si="51"/>
        <v>0</v>
      </c>
      <c r="S242" s="798">
        <f t="shared" si="52"/>
        <v>0</v>
      </c>
    </row>
    <row r="243" spans="1:19">
      <c r="A243" s="963"/>
      <c r="B243" s="136"/>
      <c r="C243" s="52">
        <f t="shared" si="43"/>
        <v>1</v>
      </c>
      <c r="D243" s="961"/>
      <c r="E243" s="52">
        <f t="shared" si="44"/>
        <v>1</v>
      </c>
      <c r="F243" s="961"/>
      <c r="G243" s="52">
        <f t="shared" si="45"/>
        <v>1</v>
      </c>
      <c r="H243" s="961"/>
      <c r="I243" s="52">
        <f t="shared" si="46"/>
        <v>1</v>
      </c>
      <c r="J243" s="961"/>
      <c r="K243" s="52">
        <f t="shared" si="47"/>
        <v>1</v>
      </c>
      <c r="L243" s="961"/>
      <c r="M243" s="52">
        <f t="shared" si="48"/>
        <v>1</v>
      </c>
      <c r="N243" s="961"/>
      <c r="O243" s="52">
        <f t="shared" si="49"/>
        <v>1</v>
      </c>
      <c r="P243" s="961"/>
      <c r="Q243" s="52">
        <f t="shared" si="50"/>
        <v>1</v>
      </c>
      <c r="R243" s="489">
        <f t="shared" si="51"/>
        <v>0</v>
      </c>
      <c r="S243" s="798">
        <f t="shared" si="52"/>
        <v>0</v>
      </c>
    </row>
    <row r="244" spans="1:19">
      <c r="A244" s="963"/>
      <c r="B244" s="136"/>
      <c r="C244" s="52">
        <f t="shared" si="43"/>
        <v>1</v>
      </c>
      <c r="D244" s="961"/>
      <c r="E244" s="52">
        <f t="shared" si="44"/>
        <v>1</v>
      </c>
      <c r="F244" s="961"/>
      <c r="G244" s="52">
        <f t="shared" si="45"/>
        <v>1</v>
      </c>
      <c r="H244" s="961"/>
      <c r="I244" s="52">
        <f t="shared" si="46"/>
        <v>1</v>
      </c>
      <c r="J244" s="961"/>
      <c r="K244" s="52">
        <f t="shared" si="47"/>
        <v>1</v>
      </c>
      <c r="L244" s="961"/>
      <c r="M244" s="52">
        <f t="shared" si="48"/>
        <v>1</v>
      </c>
      <c r="N244" s="961"/>
      <c r="O244" s="52">
        <f t="shared" si="49"/>
        <v>1</v>
      </c>
      <c r="P244" s="961"/>
      <c r="Q244" s="52">
        <f t="shared" si="50"/>
        <v>1</v>
      </c>
      <c r="R244" s="489">
        <f t="shared" si="51"/>
        <v>0</v>
      </c>
      <c r="S244" s="798">
        <f t="shared" si="52"/>
        <v>0</v>
      </c>
    </row>
    <row r="245" spans="1:19">
      <c r="A245" s="963"/>
      <c r="B245" s="136"/>
      <c r="C245" s="52">
        <f t="shared" si="43"/>
        <v>1</v>
      </c>
      <c r="D245" s="961"/>
      <c r="E245" s="52">
        <f t="shared" si="44"/>
        <v>1</v>
      </c>
      <c r="F245" s="961"/>
      <c r="G245" s="52">
        <f t="shared" si="45"/>
        <v>1</v>
      </c>
      <c r="H245" s="961"/>
      <c r="I245" s="52">
        <f t="shared" si="46"/>
        <v>1</v>
      </c>
      <c r="J245" s="961"/>
      <c r="K245" s="52">
        <f t="shared" si="47"/>
        <v>1</v>
      </c>
      <c r="L245" s="961"/>
      <c r="M245" s="52">
        <f t="shared" si="48"/>
        <v>1</v>
      </c>
      <c r="N245" s="961"/>
      <c r="O245" s="52">
        <f t="shared" si="49"/>
        <v>1</v>
      </c>
      <c r="P245" s="961"/>
      <c r="Q245" s="52">
        <f t="shared" si="50"/>
        <v>1</v>
      </c>
      <c r="R245" s="489">
        <f t="shared" si="51"/>
        <v>0</v>
      </c>
      <c r="S245" s="798">
        <f t="shared" si="52"/>
        <v>0</v>
      </c>
    </row>
    <row r="246" spans="1:19">
      <c r="A246" s="963"/>
      <c r="B246" s="136"/>
      <c r="C246" s="52">
        <f t="shared" si="43"/>
        <v>1</v>
      </c>
      <c r="D246" s="961"/>
      <c r="E246" s="52">
        <f t="shared" si="44"/>
        <v>1</v>
      </c>
      <c r="F246" s="961"/>
      <c r="G246" s="52">
        <f t="shared" si="45"/>
        <v>1</v>
      </c>
      <c r="H246" s="961"/>
      <c r="I246" s="52">
        <f t="shared" si="46"/>
        <v>1</v>
      </c>
      <c r="J246" s="961"/>
      <c r="K246" s="52">
        <f t="shared" si="47"/>
        <v>1</v>
      </c>
      <c r="L246" s="961"/>
      <c r="M246" s="52">
        <f t="shared" si="48"/>
        <v>1</v>
      </c>
      <c r="N246" s="961"/>
      <c r="O246" s="52">
        <f t="shared" si="49"/>
        <v>1</v>
      </c>
      <c r="P246" s="961"/>
      <c r="Q246" s="52">
        <f t="shared" si="50"/>
        <v>1</v>
      </c>
      <c r="R246" s="489">
        <f t="shared" si="51"/>
        <v>0</v>
      </c>
      <c r="S246" s="798">
        <f t="shared" si="52"/>
        <v>0</v>
      </c>
    </row>
    <row r="247" spans="1:19">
      <c r="A247" s="963"/>
      <c r="B247" s="136"/>
      <c r="C247" s="52">
        <f t="shared" si="43"/>
        <v>1</v>
      </c>
      <c r="D247" s="961"/>
      <c r="E247" s="52">
        <f t="shared" si="44"/>
        <v>1</v>
      </c>
      <c r="F247" s="961"/>
      <c r="G247" s="52">
        <f t="shared" si="45"/>
        <v>1</v>
      </c>
      <c r="H247" s="961"/>
      <c r="I247" s="52">
        <f t="shared" si="46"/>
        <v>1</v>
      </c>
      <c r="J247" s="961"/>
      <c r="K247" s="52">
        <f t="shared" si="47"/>
        <v>1</v>
      </c>
      <c r="L247" s="961"/>
      <c r="M247" s="52">
        <f t="shared" si="48"/>
        <v>1</v>
      </c>
      <c r="N247" s="961"/>
      <c r="O247" s="52">
        <f t="shared" si="49"/>
        <v>1</v>
      </c>
      <c r="P247" s="961"/>
      <c r="Q247" s="52">
        <f t="shared" si="50"/>
        <v>1</v>
      </c>
      <c r="R247" s="489">
        <f t="shared" si="51"/>
        <v>0</v>
      </c>
      <c r="S247" s="798">
        <f t="shared" si="52"/>
        <v>0</v>
      </c>
    </row>
    <row r="248" spans="1:19">
      <c r="A248" s="963"/>
      <c r="B248" s="136"/>
      <c r="C248" s="52">
        <f t="shared" si="43"/>
        <v>1</v>
      </c>
      <c r="D248" s="961"/>
      <c r="E248" s="52">
        <f t="shared" si="44"/>
        <v>1</v>
      </c>
      <c r="F248" s="961"/>
      <c r="G248" s="52">
        <f t="shared" si="45"/>
        <v>1</v>
      </c>
      <c r="H248" s="961"/>
      <c r="I248" s="52">
        <f t="shared" si="46"/>
        <v>1</v>
      </c>
      <c r="J248" s="961"/>
      <c r="K248" s="52">
        <f t="shared" si="47"/>
        <v>1</v>
      </c>
      <c r="L248" s="961"/>
      <c r="M248" s="52">
        <f t="shared" si="48"/>
        <v>1</v>
      </c>
      <c r="N248" s="961"/>
      <c r="O248" s="52">
        <f t="shared" si="49"/>
        <v>1</v>
      </c>
      <c r="P248" s="961"/>
      <c r="Q248" s="52">
        <f t="shared" si="50"/>
        <v>1</v>
      </c>
      <c r="R248" s="489">
        <f t="shared" si="51"/>
        <v>0</v>
      </c>
      <c r="S248" s="798">
        <f t="shared" si="52"/>
        <v>0</v>
      </c>
    </row>
    <row r="249" spans="1:19">
      <c r="A249" s="963"/>
      <c r="B249" s="136"/>
      <c r="C249" s="52">
        <f t="shared" si="43"/>
        <v>1</v>
      </c>
      <c r="D249" s="961"/>
      <c r="E249" s="52">
        <f t="shared" si="44"/>
        <v>1</v>
      </c>
      <c r="F249" s="961"/>
      <c r="G249" s="52">
        <f t="shared" si="45"/>
        <v>1</v>
      </c>
      <c r="H249" s="961"/>
      <c r="I249" s="52">
        <f t="shared" si="46"/>
        <v>1</v>
      </c>
      <c r="J249" s="961"/>
      <c r="K249" s="52">
        <f t="shared" si="47"/>
        <v>1</v>
      </c>
      <c r="L249" s="961"/>
      <c r="M249" s="52">
        <f t="shared" si="48"/>
        <v>1</v>
      </c>
      <c r="N249" s="961"/>
      <c r="O249" s="52">
        <f t="shared" si="49"/>
        <v>1</v>
      </c>
      <c r="P249" s="961"/>
      <c r="Q249" s="52">
        <f t="shared" si="50"/>
        <v>1</v>
      </c>
      <c r="R249" s="489">
        <f t="shared" si="51"/>
        <v>0</v>
      </c>
      <c r="S249" s="798">
        <f t="shared" si="52"/>
        <v>0</v>
      </c>
    </row>
    <row r="250" spans="1:19">
      <c r="A250" s="963"/>
      <c r="B250" s="136"/>
      <c r="C250" s="52">
        <f t="shared" si="43"/>
        <v>1</v>
      </c>
      <c r="D250" s="961"/>
      <c r="E250" s="52">
        <f t="shared" si="44"/>
        <v>1</v>
      </c>
      <c r="F250" s="961"/>
      <c r="G250" s="52">
        <f t="shared" si="45"/>
        <v>1</v>
      </c>
      <c r="H250" s="961"/>
      <c r="I250" s="52">
        <f t="shared" si="46"/>
        <v>1</v>
      </c>
      <c r="J250" s="961"/>
      <c r="K250" s="52">
        <f t="shared" si="47"/>
        <v>1</v>
      </c>
      <c r="L250" s="961"/>
      <c r="M250" s="52">
        <f t="shared" si="48"/>
        <v>1</v>
      </c>
      <c r="N250" s="961"/>
      <c r="O250" s="52">
        <f t="shared" si="49"/>
        <v>1</v>
      </c>
      <c r="P250" s="961"/>
      <c r="Q250" s="52">
        <f t="shared" si="50"/>
        <v>1</v>
      </c>
      <c r="R250" s="489">
        <f t="shared" si="51"/>
        <v>0</v>
      </c>
      <c r="S250" s="798">
        <f t="shared" si="52"/>
        <v>0</v>
      </c>
    </row>
    <row r="251" spans="1:19">
      <c r="A251" s="963"/>
      <c r="B251" s="136"/>
      <c r="C251" s="52">
        <f t="shared" si="43"/>
        <v>1</v>
      </c>
      <c r="D251" s="961"/>
      <c r="E251" s="52">
        <f t="shared" si="44"/>
        <v>1</v>
      </c>
      <c r="F251" s="961"/>
      <c r="G251" s="52">
        <f t="shared" si="45"/>
        <v>1</v>
      </c>
      <c r="H251" s="961"/>
      <c r="I251" s="52">
        <f t="shared" si="46"/>
        <v>1</v>
      </c>
      <c r="J251" s="961"/>
      <c r="K251" s="52">
        <f t="shared" si="47"/>
        <v>1</v>
      </c>
      <c r="L251" s="961"/>
      <c r="M251" s="52">
        <f t="shared" si="48"/>
        <v>1</v>
      </c>
      <c r="N251" s="961"/>
      <c r="O251" s="52">
        <f t="shared" si="49"/>
        <v>1</v>
      </c>
      <c r="P251" s="961"/>
      <c r="Q251" s="52">
        <f t="shared" si="50"/>
        <v>1</v>
      </c>
      <c r="R251" s="489">
        <f t="shared" si="51"/>
        <v>0</v>
      </c>
      <c r="S251" s="798">
        <f t="shared" si="52"/>
        <v>0</v>
      </c>
    </row>
    <row r="252" spans="1:19">
      <c r="A252" s="963"/>
      <c r="B252" s="136"/>
      <c r="C252" s="52">
        <f t="shared" si="43"/>
        <v>1</v>
      </c>
      <c r="D252" s="961"/>
      <c r="E252" s="52">
        <f t="shared" si="44"/>
        <v>1</v>
      </c>
      <c r="F252" s="961"/>
      <c r="G252" s="52">
        <f t="shared" si="45"/>
        <v>1</v>
      </c>
      <c r="H252" s="961"/>
      <c r="I252" s="52">
        <f t="shared" si="46"/>
        <v>1</v>
      </c>
      <c r="J252" s="961"/>
      <c r="K252" s="52">
        <f t="shared" si="47"/>
        <v>1</v>
      </c>
      <c r="L252" s="961"/>
      <c r="M252" s="52">
        <f t="shared" si="48"/>
        <v>1</v>
      </c>
      <c r="N252" s="961"/>
      <c r="O252" s="52">
        <f t="shared" si="49"/>
        <v>1</v>
      </c>
      <c r="P252" s="961"/>
      <c r="Q252" s="52">
        <f t="shared" si="50"/>
        <v>1</v>
      </c>
      <c r="R252" s="489">
        <f t="shared" si="51"/>
        <v>0</v>
      </c>
      <c r="S252" s="798">
        <f t="shared" si="52"/>
        <v>0</v>
      </c>
    </row>
    <row r="253" spans="1:19">
      <c r="A253" s="963"/>
      <c r="B253" s="136"/>
      <c r="C253" s="52">
        <f t="shared" si="43"/>
        <v>1</v>
      </c>
      <c r="D253" s="961"/>
      <c r="E253" s="52">
        <f t="shared" si="44"/>
        <v>1</v>
      </c>
      <c r="F253" s="961"/>
      <c r="G253" s="52">
        <f t="shared" si="45"/>
        <v>1</v>
      </c>
      <c r="H253" s="961"/>
      <c r="I253" s="52">
        <f t="shared" si="46"/>
        <v>1</v>
      </c>
      <c r="J253" s="961"/>
      <c r="K253" s="52">
        <f t="shared" si="47"/>
        <v>1</v>
      </c>
      <c r="L253" s="961"/>
      <c r="M253" s="52">
        <f t="shared" si="48"/>
        <v>1</v>
      </c>
      <c r="N253" s="961"/>
      <c r="O253" s="52">
        <f t="shared" si="49"/>
        <v>1</v>
      </c>
      <c r="P253" s="961"/>
      <c r="Q253" s="52">
        <f t="shared" si="50"/>
        <v>1</v>
      </c>
      <c r="R253" s="489">
        <f t="shared" si="51"/>
        <v>0</v>
      </c>
      <c r="S253" s="798">
        <f t="shared" si="52"/>
        <v>0</v>
      </c>
    </row>
    <row r="254" spans="1:19">
      <c r="A254" s="963"/>
      <c r="B254" s="136"/>
      <c r="C254" s="52">
        <f t="shared" si="43"/>
        <v>1</v>
      </c>
      <c r="D254" s="961"/>
      <c r="E254" s="52">
        <f t="shared" si="44"/>
        <v>1</v>
      </c>
      <c r="F254" s="961"/>
      <c r="G254" s="52">
        <f t="shared" si="45"/>
        <v>1</v>
      </c>
      <c r="H254" s="961"/>
      <c r="I254" s="52">
        <f t="shared" si="46"/>
        <v>1</v>
      </c>
      <c r="J254" s="961"/>
      <c r="K254" s="52">
        <f t="shared" si="47"/>
        <v>1</v>
      </c>
      <c r="L254" s="961"/>
      <c r="M254" s="52">
        <f t="shared" si="48"/>
        <v>1</v>
      </c>
      <c r="N254" s="961"/>
      <c r="O254" s="52">
        <f t="shared" si="49"/>
        <v>1</v>
      </c>
      <c r="P254" s="961"/>
      <c r="Q254" s="52">
        <f t="shared" si="50"/>
        <v>1</v>
      </c>
      <c r="R254" s="489">
        <f t="shared" si="51"/>
        <v>0</v>
      </c>
      <c r="S254" s="798">
        <f t="shared" si="52"/>
        <v>0</v>
      </c>
    </row>
    <row r="255" spans="1:19">
      <c r="A255" s="963"/>
      <c r="B255" s="136"/>
      <c r="C255" s="52">
        <f t="shared" si="43"/>
        <v>1</v>
      </c>
      <c r="D255" s="961"/>
      <c r="E255" s="52">
        <f t="shared" si="44"/>
        <v>1</v>
      </c>
      <c r="F255" s="961"/>
      <c r="G255" s="52">
        <f t="shared" si="45"/>
        <v>1</v>
      </c>
      <c r="H255" s="961"/>
      <c r="I255" s="52">
        <f t="shared" si="46"/>
        <v>1</v>
      </c>
      <c r="J255" s="961"/>
      <c r="K255" s="52">
        <f t="shared" si="47"/>
        <v>1</v>
      </c>
      <c r="L255" s="961"/>
      <c r="M255" s="52">
        <f t="shared" si="48"/>
        <v>1</v>
      </c>
      <c r="N255" s="961"/>
      <c r="O255" s="52">
        <f t="shared" si="49"/>
        <v>1</v>
      </c>
      <c r="P255" s="961"/>
      <c r="Q255" s="52">
        <f t="shared" si="50"/>
        <v>1</v>
      </c>
      <c r="R255" s="489">
        <f t="shared" si="51"/>
        <v>0</v>
      </c>
      <c r="S255" s="798">
        <f t="shared" si="52"/>
        <v>0</v>
      </c>
    </row>
    <row r="256" spans="1:19">
      <c r="A256" s="963"/>
      <c r="B256" s="136"/>
      <c r="C256" s="52">
        <f t="shared" si="43"/>
        <v>1</v>
      </c>
      <c r="D256" s="961"/>
      <c r="E256" s="52">
        <f t="shared" si="44"/>
        <v>1</v>
      </c>
      <c r="F256" s="961"/>
      <c r="G256" s="52">
        <f t="shared" si="45"/>
        <v>1</v>
      </c>
      <c r="H256" s="961"/>
      <c r="I256" s="52">
        <f t="shared" si="46"/>
        <v>1</v>
      </c>
      <c r="J256" s="961"/>
      <c r="K256" s="52">
        <f t="shared" si="47"/>
        <v>1</v>
      </c>
      <c r="L256" s="961"/>
      <c r="M256" s="52">
        <f t="shared" si="48"/>
        <v>1</v>
      </c>
      <c r="N256" s="961"/>
      <c r="O256" s="52">
        <f t="shared" si="49"/>
        <v>1</v>
      </c>
      <c r="P256" s="961"/>
      <c r="Q256" s="52">
        <f t="shared" si="50"/>
        <v>1</v>
      </c>
      <c r="R256" s="489">
        <f t="shared" si="51"/>
        <v>0</v>
      </c>
      <c r="S256" s="798">
        <f t="shared" si="52"/>
        <v>0</v>
      </c>
    </row>
    <row r="257" spans="1:19">
      <c r="A257" s="963"/>
      <c r="B257" s="136"/>
      <c r="C257" s="52">
        <f t="shared" si="43"/>
        <v>1</v>
      </c>
      <c r="D257" s="961"/>
      <c r="E257" s="52">
        <f t="shared" si="44"/>
        <v>1</v>
      </c>
      <c r="F257" s="961"/>
      <c r="G257" s="52">
        <f t="shared" si="45"/>
        <v>1</v>
      </c>
      <c r="H257" s="961"/>
      <c r="I257" s="52">
        <f t="shared" si="46"/>
        <v>1</v>
      </c>
      <c r="J257" s="961"/>
      <c r="K257" s="52">
        <f t="shared" si="47"/>
        <v>1</v>
      </c>
      <c r="L257" s="961"/>
      <c r="M257" s="52">
        <f t="shared" si="48"/>
        <v>1</v>
      </c>
      <c r="N257" s="961"/>
      <c r="O257" s="52">
        <f t="shared" si="49"/>
        <v>1</v>
      </c>
      <c r="P257" s="961"/>
      <c r="Q257" s="52">
        <f t="shared" si="50"/>
        <v>1</v>
      </c>
      <c r="R257" s="489">
        <f t="shared" si="51"/>
        <v>0</v>
      </c>
      <c r="S257" s="798">
        <f t="shared" si="52"/>
        <v>0</v>
      </c>
    </row>
    <row r="258" spans="1:19">
      <c r="A258" s="963"/>
      <c r="B258" s="136"/>
      <c r="C258" s="52">
        <f t="shared" si="43"/>
        <v>1</v>
      </c>
      <c r="D258" s="961"/>
      <c r="E258" s="52">
        <f t="shared" si="44"/>
        <v>1</v>
      </c>
      <c r="F258" s="961"/>
      <c r="G258" s="52">
        <f t="shared" si="45"/>
        <v>1</v>
      </c>
      <c r="H258" s="961"/>
      <c r="I258" s="52">
        <f t="shared" si="46"/>
        <v>1</v>
      </c>
      <c r="J258" s="961"/>
      <c r="K258" s="52">
        <f t="shared" si="47"/>
        <v>1</v>
      </c>
      <c r="L258" s="961"/>
      <c r="M258" s="52">
        <f t="shared" si="48"/>
        <v>1</v>
      </c>
      <c r="N258" s="961"/>
      <c r="O258" s="52">
        <f t="shared" si="49"/>
        <v>1</v>
      </c>
      <c r="P258" s="961"/>
      <c r="Q258" s="52">
        <f t="shared" si="50"/>
        <v>1</v>
      </c>
      <c r="R258" s="489">
        <f t="shared" si="51"/>
        <v>0</v>
      </c>
      <c r="S258" s="798">
        <f t="shared" si="52"/>
        <v>0</v>
      </c>
    </row>
    <row r="259" spans="1:19">
      <c r="A259" s="963"/>
      <c r="B259" s="136"/>
      <c r="C259" s="52">
        <f t="shared" si="43"/>
        <v>1</v>
      </c>
      <c r="D259" s="961"/>
      <c r="E259" s="52">
        <f t="shared" si="44"/>
        <v>1</v>
      </c>
      <c r="F259" s="961"/>
      <c r="G259" s="52">
        <f t="shared" si="45"/>
        <v>1</v>
      </c>
      <c r="H259" s="961"/>
      <c r="I259" s="52">
        <f t="shared" si="46"/>
        <v>1</v>
      </c>
      <c r="J259" s="961"/>
      <c r="K259" s="52">
        <f t="shared" si="47"/>
        <v>1</v>
      </c>
      <c r="L259" s="961"/>
      <c r="M259" s="52">
        <f t="shared" si="48"/>
        <v>1</v>
      </c>
      <c r="N259" s="961"/>
      <c r="O259" s="52">
        <f t="shared" si="49"/>
        <v>1</v>
      </c>
      <c r="P259" s="961"/>
      <c r="Q259" s="52">
        <f t="shared" si="50"/>
        <v>1</v>
      </c>
      <c r="R259" s="489">
        <f t="shared" si="51"/>
        <v>0</v>
      </c>
      <c r="S259" s="798">
        <f t="shared" si="52"/>
        <v>0</v>
      </c>
    </row>
    <row r="260" spans="1:19">
      <c r="A260" s="963"/>
      <c r="B260" s="136"/>
      <c r="C260" s="52">
        <f t="shared" si="43"/>
        <v>1</v>
      </c>
      <c r="D260" s="961"/>
      <c r="E260" s="52">
        <f t="shared" si="44"/>
        <v>1</v>
      </c>
      <c r="F260" s="961"/>
      <c r="G260" s="52">
        <f t="shared" si="45"/>
        <v>1</v>
      </c>
      <c r="H260" s="961"/>
      <c r="I260" s="52">
        <f t="shared" si="46"/>
        <v>1</v>
      </c>
      <c r="J260" s="961"/>
      <c r="K260" s="52">
        <f t="shared" si="47"/>
        <v>1</v>
      </c>
      <c r="L260" s="961"/>
      <c r="M260" s="52">
        <f t="shared" si="48"/>
        <v>1</v>
      </c>
      <c r="N260" s="961"/>
      <c r="O260" s="52">
        <f t="shared" si="49"/>
        <v>1</v>
      </c>
      <c r="P260" s="961"/>
      <c r="Q260" s="52">
        <f t="shared" si="50"/>
        <v>1</v>
      </c>
      <c r="R260" s="489">
        <f t="shared" si="51"/>
        <v>0</v>
      </c>
      <c r="S260" s="798">
        <f t="shared" si="52"/>
        <v>0</v>
      </c>
    </row>
    <row r="261" spans="1:19">
      <c r="A261" s="963"/>
      <c r="B261" s="136"/>
      <c r="C261" s="52">
        <f t="shared" si="43"/>
        <v>1</v>
      </c>
      <c r="D261" s="961"/>
      <c r="E261" s="52">
        <f t="shared" si="44"/>
        <v>1</v>
      </c>
      <c r="F261" s="961"/>
      <c r="G261" s="52">
        <f t="shared" si="45"/>
        <v>1</v>
      </c>
      <c r="H261" s="961"/>
      <c r="I261" s="52">
        <f t="shared" si="46"/>
        <v>1</v>
      </c>
      <c r="J261" s="961"/>
      <c r="K261" s="52">
        <f t="shared" si="47"/>
        <v>1</v>
      </c>
      <c r="L261" s="961"/>
      <c r="M261" s="52">
        <f t="shared" si="48"/>
        <v>1</v>
      </c>
      <c r="N261" s="961"/>
      <c r="O261" s="52">
        <f t="shared" si="49"/>
        <v>1</v>
      </c>
      <c r="P261" s="961"/>
      <c r="Q261" s="52">
        <f t="shared" si="50"/>
        <v>1</v>
      </c>
      <c r="R261" s="489">
        <f t="shared" si="51"/>
        <v>0</v>
      </c>
      <c r="S261" s="798">
        <f t="shared" si="52"/>
        <v>0</v>
      </c>
    </row>
    <row r="262" spans="1:19">
      <c r="A262" s="963"/>
      <c r="B262" s="136"/>
      <c r="C262" s="52">
        <f t="shared" si="43"/>
        <v>1</v>
      </c>
      <c r="D262" s="961"/>
      <c r="E262" s="52">
        <f t="shared" si="44"/>
        <v>1</v>
      </c>
      <c r="F262" s="961"/>
      <c r="G262" s="52">
        <f t="shared" si="45"/>
        <v>1</v>
      </c>
      <c r="H262" s="961"/>
      <c r="I262" s="52">
        <f t="shared" si="46"/>
        <v>1</v>
      </c>
      <c r="J262" s="961"/>
      <c r="K262" s="52">
        <f t="shared" si="47"/>
        <v>1</v>
      </c>
      <c r="L262" s="961"/>
      <c r="M262" s="52">
        <f t="shared" si="48"/>
        <v>1</v>
      </c>
      <c r="N262" s="961"/>
      <c r="O262" s="52">
        <f t="shared" si="49"/>
        <v>1</v>
      </c>
      <c r="P262" s="961"/>
      <c r="Q262" s="52">
        <f t="shared" si="50"/>
        <v>1</v>
      </c>
      <c r="R262" s="489">
        <f t="shared" si="51"/>
        <v>0</v>
      </c>
      <c r="S262" s="798">
        <f t="shared" si="52"/>
        <v>0</v>
      </c>
    </row>
    <row r="263" spans="1:19">
      <c r="A263" s="963"/>
      <c r="B263" s="136"/>
      <c r="C263" s="52">
        <f t="shared" si="43"/>
        <v>1</v>
      </c>
      <c r="D263" s="961"/>
      <c r="E263" s="52">
        <f t="shared" si="44"/>
        <v>1</v>
      </c>
      <c r="F263" s="961"/>
      <c r="G263" s="52">
        <f t="shared" si="45"/>
        <v>1</v>
      </c>
      <c r="H263" s="961"/>
      <c r="I263" s="52">
        <f t="shared" si="46"/>
        <v>1</v>
      </c>
      <c r="J263" s="961"/>
      <c r="K263" s="52">
        <f t="shared" si="47"/>
        <v>1</v>
      </c>
      <c r="L263" s="961"/>
      <c r="M263" s="52">
        <f t="shared" si="48"/>
        <v>1</v>
      </c>
      <c r="N263" s="961"/>
      <c r="O263" s="52">
        <f t="shared" si="49"/>
        <v>1</v>
      </c>
      <c r="P263" s="961"/>
      <c r="Q263" s="52">
        <f t="shared" si="50"/>
        <v>1</v>
      </c>
      <c r="R263" s="489">
        <f t="shared" si="51"/>
        <v>0</v>
      </c>
      <c r="S263" s="798">
        <f t="shared" si="52"/>
        <v>0</v>
      </c>
    </row>
    <row r="264" spans="1:19">
      <c r="A264" s="963"/>
      <c r="B264" s="136"/>
      <c r="C264" s="52">
        <f t="shared" si="43"/>
        <v>1</v>
      </c>
      <c r="D264" s="961"/>
      <c r="E264" s="52">
        <f t="shared" si="44"/>
        <v>1</v>
      </c>
      <c r="F264" s="961"/>
      <c r="G264" s="52">
        <f t="shared" si="45"/>
        <v>1</v>
      </c>
      <c r="H264" s="961"/>
      <c r="I264" s="52">
        <f t="shared" si="46"/>
        <v>1</v>
      </c>
      <c r="J264" s="961"/>
      <c r="K264" s="52">
        <f t="shared" si="47"/>
        <v>1</v>
      </c>
      <c r="L264" s="961"/>
      <c r="M264" s="52">
        <f t="shared" si="48"/>
        <v>1</v>
      </c>
      <c r="N264" s="961"/>
      <c r="O264" s="52">
        <f t="shared" si="49"/>
        <v>1</v>
      </c>
      <c r="P264" s="961"/>
      <c r="Q264" s="52">
        <f t="shared" si="50"/>
        <v>1</v>
      </c>
      <c r="R264" s="489">
        <f t="shared" si="51"/>
        <v>0</v>
      </c>
      <c r="S264" s="798">
        <f t="shared" si="52"/>
        <v>0</v>
      </c>
    </row>
    <row r="265" spans="1:19">
      <c r="A265" s="963"/>
      <c r="B265" s="136"/>
      <c r="C265" s="52">
        <f t="shared" si="43"/>
        <v>1</v>
      </c>
      <c r="D265" s="961"/>
      <c r="E265" s="52">
        <f t="shared" si="44"/>
        <v>1</v>
      </c>
      <c r="F265" s="961"/>
      <c r="G265" s="52">
        <f t="shared" si="45"/>
        <v>1</v>
      </c>
      <c r="H265" s="961"/>
      <c r="I265" s="52">
        <f t="shared" si="46"/>
        <v>1</v>
      </c>
      <c r="J265" s="961"/>
      <c r="K265" s="52">
        <f t="shared" si="47"/>
        <v>1</v>
      </c>
      <c r="L265" s="961"/>
      <c r="M265" s="52">
        <f t="shared" si="48"/>
        <v>1</v>
      </c>
      <c r="N265" s="961"/>
      <c r="O265" s="52">
        <f t="shared" si="49"/>
        <v>1</v>
      </c>
      <c r="P265" s="961"/>
      <c r="Q265" s="52">
        <f t="shared" si="50"/>
        <v>1</v>
      </c>
      <c r="R265" s="489">
        <f t="shared" si="51"/>
        <v>0</v>
      </c>
      <c r="S265" s="798">
        <f t="shared" si="52"/>
        <v>0</v>
      </c>
    </row>
    <row r="266" spans="1:19">
      <c r="A266" s="963"/>
      <c r="B266" s="136"/>
      <c r="C266" s="52">
        <f t="shared" si="43"/>
        <v>1</v>
      </c>
      <c r="D266" s="961"/>
      <c r="E266" s="52">
        <f t="shared" si="44"/>
        <v>1</v>
      </c>
      <c r="F266" s="961"/>
      <c r="G266" s="52">
        <f t="shared" si="45"/>
        <v>1</v>
      </c>
      <c r="H266" s="961"/>
      <c r="I266" s="52">
        <f t="shared" si="46"/>
        <v>1</v>
      </c>
      <c r="J266" s="961"/>
      <c r="K266" s="52">
        <f t="shared" si="47"/>
        <v>1</v>
      </c>
      <c r="L266" s="961"/>
      <c r="M266" s="52">
        <f t="shared" si="48"/>
        <v>1</v>
      </c>
      <c r="N266" s="961"/>
      <c r="O266" s="52">
        <f t="shared" si="49"/>
        <v>1</v>
      </c>
      <c r="P266" s="961"/>
      <c r="Q266" s="52">
        <f t="shared" si="50"/>
        <v>1</v>
      </c>
      <c r="R266" s="489">
        <f t="shared" si="51"/>
        <v>0</v>
      </c>
      <c r="S266" s="798">
        <f t="shared" si="52"/>
        <v>0</v>
      </c>
    </row>
    <row r="267" spans="1:19">
      <c r="A267" s="963"/>
      <c r="B267" s="136"/>
      <c r="C267" s="52">
        <f t="shared" si="43"/>
        <v>1</v>
      </c>
      <c r="D267" s="961"/>
      <c r="E267" s="52">
        <f t="shared" si="44"/>
        <v>1</v>
      </c>
      <c r="F267" s="961"/>
      <c r="G267" s="52">
        <f t="shared" si="45"/>
        <v>1</v>
      </c>
      <c r="H267" s="961"/>
      <c r="I267" s="52">
        <f t="shared" si="46"/>
        <v>1</v>
      </c>
      <c r="J267" s="961"/>
      <c r="K267" s="52">
        <f t="shared" si="47"/>
        <v>1</v>
      </c>
      <c r="L267" s="961"/>
      <c r="M267" s="52">
        <f t="shared" si="48"/>
        <v>1</v>
      </c>
      <c r="N267" s="961"/>
      <c r="O267" s="52">
        <f t="shared" si="49"/>
        <v>1</v>
      </c>
      <c r="P267" s="961"/>
      <c r="Q267" s="52">
        <f t="shared" si="50"/>
        <v>1</v>
      </c>
      <c r="R267" s="489">
        <f t="shared" si="51"/>
        <v>0</v>
      </c>
      <c r="S267" s="798">
        <f t="shared" si="52"/>
        <v>0</v>
      </c>
    </row>
    <row r="268" spans="1:19">
      <c r="A268" s="963"/>
      <c r="B268" s="136"/>
      <c r="C268" s="52">
        <f t="shared" si="43"/>
        <v>1</v>
      </c>
      <c r="D268" s="961"/>
      <c r="E268" s="52">
        <f t="shared" si="44"/>
        <v>1</v>
      </c>
      <c r="F268" s="961"/>
      <c r="G268" s="52">
        <f t="shared" si="45"/>
        <v>1</v>
      </c>
      <c r="H268" s="961"/>
      <c r="I268" s="52">
        <f t="shared" si="46"/>
        <v>1</v>
      </c>
      <c r="J268" s="961"/>
      <c r="K268" s="52">
        <f t="shared" si="47"/>
        <v>1</v>
      </c>
      <c r="L268" s="961"/>
      <c r="M268" s="52">
        <f t="shared" si="48"/>
        <v>1</v>
      </c>
      <c r="N268" s="961"/>
      <c r="O268" s="52">
        <f t="shared" si="49"/>
        <v>1</v>
      </c>
      <c r="P268" s="961"/>
      <c r="Q268" s="52">
        <f t="shared" si="50"/>
        <v>1</v>
      </c>
      <c r="R268" s="489">
        <f t="shared" si="51"/>
        <v>0</v>
      </c>
      <c r="S268" s="798">
        <f t="shared" si="52"/>
        <v>0</v>
      </c>
    </row>
    <row r="269" spans="1:19">
      <c r="A269" s="963"/>
      <c r="B269" s="136"/>
      <c r="C269" s="52">
        <f t="shared" si="43"/>
        <v>1</v>
      </c>
      <c r="D269" s="961"/>
      <c r="E269" s="52">
        <f t="shared" si="44"/>
        <v>1</v>
      </c>
      <c r="F269" s="961"/>
      <c r="G269" s="52">
        <f t="shared" si="45"/>
        <v>1</v>
      </c>
      <c r="H269" s="961"/>
      <c r="I269" s="52">
        <f t="shared" si="46"/>
        <v>1</v>
      </c>
      <c r="J269" s="961"/>
      <c r="K269" s="52">
        <f t="shared" si="47"/>
        <v>1</v>
      </c>
      <c r="L269" s="961"/>
      <c r="M269" s="52">
        <f t="shared" si="48"/>
        <v>1</v>
      </c>
      <c r="N269" s="961"/>
      <c r="O269" s="52">
        <f t="shared" si="49"/>
        <v>1</v>
      </c>
      <c r="P269" s="961"/>
      <c r="Q269" s="52">
        <f t="shared" si="50"/>
        <v>1</v>
      </c>
      <c r="R269" s="489">
        <f t="shared" si="51"/>
        <v>0</v>
      </c>
      <c r="S269" s="798">
        <f t="shared" si="52"/>
        <v>0</v>
      </c>
    </row>
    <row r="270" spans="1:19">
      <c r="A270" s="963"/>
      <c r="B270" s="136"/>
      <c r="C270" s="52">
        <f t="shared" si="43"/>
        <v>1</v>
      </c>
      <c r="D270" s="961"/>
      <c r="E270" s="52">
        <f t="shared" si="44"/>
        <v>1</v>
      </c>
      <c r="F270" s="961"/>
      <c r="G270" s="52">
        <f t="shared" si="45"/>
        <v>1</v>
      </c>
      <c r="H270" s="961"/>
      <c r="I270" s="52">
        <f t="shared" si="46"/>
        <v>1</v>
      </c>
      <c r="J270" s="961"/>
      <c r="K270" s="52">
        <f t="shared" si="47"/>
        <v>1</v>
      </c>
      <c r="L270" s="961"/>
      <c r="M270" s="52">
        <f t="shared" si="48"/>
        <v>1</v>
      </c>
      <c r="N270" s="961"/>
      <c r="O270" s="52">
        <f t="shared" si="49"/>
        <v>1</v>
      </c>
      <c r="P270" s="961"/>
      <c r="Q270" s="52">
        <f t="shared" si="50"/>
        <v>1</v>
      </c>
      <c r="R270" s="489">
        <f t="shared" si="51"/>
        <v>0</v>
      </c>
      <c r="S270" s="798">
        <f t="shared" si="52"/>
        <v>0</v>
      </c>
    </row>
    <row r="271" spans="1:19">
      <c r="A271" s="963"/>
      <c r="B271" s="136"/>
      <c r="C271" s="52">
        <f t="shared" si="43"/>
        <v>1</v>
      </c>
      <c r="D271" s="961"/>
      <c r="E271" s="52">
        <f t="shared" si="44"/>
        <v>1</v>
      </c>
      <c r="F271" s="961"/>
      <c r="G271" s="52">
        <f t="shared" si="45"/>
        <v>1</v>
      </c>
      <c r="H271" s="961"/>
      <c r="I271" s="52">
        <f t="shared" si="46"/>
        <v>1</v>
      </c>
      <c r="J271" s="961"/>
      <c r="K271" s="52">
        <f t="shared" si="47"/>
        <v>1</v>
      </c>
      <c r="L271" s="961"/>
      <c r="M271" s="52">
        <f t="shared" si="48"/>
        <v>1</v>
      </c>
      <c r="N271" s="961"/>
      <c r="O271" s="52">
        <f t="shared" si="49"/>
        <v>1</v>
      </c>
      <c r="P271" s="961"/>
      <c r="Q271" s="52">
        <f t="shared" si="50"/>
        <v>1</v>
      </c>
      <c r="R271" s="489">
        <f t="shared" si="51"/>
        <v>0</v>
      </c>
      <c r="S271" s="798">
        <f t="shared" si="52"/>
        <v>0</v>
      </c>
    </row>
    <row r="272" spans="1:19">
      <c r="A272" s="963"/>
      <c r="B272" s="136"/>
      <c r="C272" s="52">
        <f t="shared" si="43"/>
        <v>1</v>
      </c>
      <c r="D272" s="961"/>
      <c r="E272" s="52">
        <f t="shared" si="44"/>
        <v>1</v>
      </c>
      <c r="F272" s="961"/>
      <c r="G272" s="52">
        <f t="shared" si="45"/>
        <v>1</v>
      </c>
      <c r="H272" s="961"/>
      <c r="I272" s="52">
        <f t="shared" si="46"/>
        <v>1</v>
      </c>
      <c r="J272" s="961"/>
      <c r="K272" s="52">
        <f t="shared" si="47"/>
        <v>1</v>
      </c>
      <c r="L272" s="961"/>
      <c r="M272" s="52">
        <f t="shared" si="48"/>
        <v>1</v>
      </c>
      <c r="N272" s="961"/>
      <c r="O272" s="52">
        <f t="shared" si="49"/>
        <v>1</v>
      </c>
      <c r="P272" s="961"/>
      <c r="Q272" s="52">
        <f t="shared" si="50"/>
        <v>1</v>
      </c>
      <c r="R272" s="489">
        <f t="shared" si="51"/>
        <v>0</v>
      </c>
      <c r="S272" s="798">
        <f t="shared" si="52"/>
        <v>0</v>
      </c>
    </row>
    <row r="273" spans="1:19">
      <c r="A273" s="963"/>
      <c r="B273" s="136"/>
      <c r="C273" s="52">
        <f t="shared" si="43"/>
        <v>1</v>
      </c>
      <c r="D273" s="961"/>
      <c r="E273" s="52">
        <f t="shared" si="44"/>
        <v>1</v>
      </c>
      <c r="F273" s="961"/>
      <c r="G273" s="52">
        <f t="shared" si="45"/>
        <v>1</v>
      </c>
      <c r="H273" s="961"/>
      <c r="I273" s="52">
        <f t="shared" si="46"/>
        <v>1</v>
      </c>
      <c r="J273" s="961"/>
      <c r="K273" s="52">
        <f t="shared" si="47"/>
        <v>1</v>
      </c>
      <c r="L273" s="961"/>
      <c r="M273" s="52">
        <f t="shared" si="48"/>
        <v>1</v>
      </c>
      <c r="N273" s="961"/>
      <c r="O273" s="52">
        <f t="shared" si="49"/>
        <v>1</v>
      </c>
      <c r="P273" s="961"/>
      <c r="Q273" s="52">
        <f t="shared" si="50"/>
        <v>1</v>
      </c>
      <c r="R273" s="489">
        <f t="shared" si="51"/>
        <v>0</v>
      </c>
      <c r="S273" s="798">
        <f t="shared" si="52"/>
        <v>0</v>
      </c>
    </row>
    <row r="274" spans="1:19">
      <c r="A274" s="963"/>
      <c r="B274" s="136"/>
      <c r="C274" s="52">
        <f t="shared" si="43"/>
        <v>1</v>
      </c>
      <c r="D274" s="961"/>
      <c r="E274" s="52">
        <f t="shared" si="44"/>
        <v>1</v>
      </c>
      <c r="F274" s="961"/>
      <c r="G274" s="52">
        <f t="shared" si="45"/>
        <v>1</v>
      </c>
      <c r="H274" s="961"/>
      <c r="I274" s="52">
        <f t="shared" si="46"/>
        <v>1</v>
      </c>
      <c r="J274" s="961"/>
      <c r="K274" s="52">
        <f t="shared" si="47"/>
        <v>1</v>
      </c>
      <c r="L274" s="961"/>
      <c r="M274" s="52">
        <f t="shared" si="48"/>
        <v>1</v>
      </c>
      <c r="N274" s="961"/>
      <c r="O274" s="52">
        <f t="shared" si="49"/>
        <v>1</v>
      </c>
      <c r="P274" s="961"/>
      <c r="Q274" s="52">
        <f t="shared" si="50"/>
        <v>1</v>
      </c>
      <c r="R274" s="489">
        <f t="shared" si="51"/>
        <v>0</v>
      </c>
      <c r="S274" s="798">
        <f t="shared" si="52"/>
        <v>0</v>
      </c>
    </row>
    <row r="275" spans="1:19">
      <c r="A275" s="963"/>
      <c r="B275" s="136"/>
      <c r="C275" s="52">
        <f t="shared" si="43"/>
        <v>1</v>
      </c>
      <c r="D275" s="961"/>
      <c r="E275" s="52">
        <f t="shared" si="44"/>
        <v>1</v>
      </c>
      <c r="F275" s="961"/>
      <c r="G275" s="52">
        <f t="shared" si="45"/>
        <v>1</v>
      </c>
      <c r="H275" s="961"/>
      <c r="I275" s="52">
        <f t="shared" si="46"/>
        <v>1</v>
      </c>
      <c r="J275" s="961"/>
      <c r="K275" s="52">
        <f t="shared" si="47"/>
        <v>1</v>
      </c>
      <c r="L275" s="961"/>
      <c r="M275" s="52">
        <f t="shared" si="48"/>
        <v>1</v>
      </c>
      <c r="N275" s="961"/>
      <c r="O275" s="52">
        <f t="shared" si="49"/>
        <v>1</v>
      </c>
      <c r="P275" s="961"/>
      <c r="Q275" s="52">
        <f t="shared" si="50"/>
        <v>1</v>
      </c>
      <c r="R275" s="489">
        <f t="shared" si="51"/>
        <v>0</v>
      </c>
      <c r="S275" s="798">
        <f t="shared" si="52"/>
        <v>0</v>
      </c>
    </row>
    <row r="276" spans="1:19">
      <c r="A276" s="963"/>
      <c r="B276" s="136"/>
      <c r="C276" s="52">
        <f t="shared" si="43"/>
        <v>1</v>
      </c>
      <c r="D276" s="961"/>
      <c r="E276" s="52">
        <f t="shared" si="44"/>
        <v>1</v>
      </c>
      <c r="F276" s="961"/>
      <c r="G276" s="52">
        <f t="shared" si="45"/>
        <v>1</v>
      </c>
      <c r="H276" s="961"/>
      <c r="I276" s="52">
        <f t="shared" si="46"/>
        <v>1</v>
      </c>
      <c r="J276" s="961"/>
      <c r="K276" s="52">
        <f t="shared" si="47"/>
        <v>1</v>
      </c>
      <c r="L276" s="961"/>
      <c r="M276" s="52">
        <f t="shared" si="48"/>
        <v>1</v>
      </c>
      <c r="N276" s="961"/>
      <c r="O276" s="52">
        <f t="shared" si="49"/>
        <v>1</v>
      </c>
      <c r="P276" s="961"/>
      <c r="Q276" s="52">
        <f t="shared" si="50"/>
        <v>1</v>
      </c>
      <c r="R276" s="489">
        <f t="shared" si="51"/>
        <v>0</v>
      </c>
      <c r="S276" s="798">
        <f t="shared" si="52"/>
        <v>0</v>
      </c>
    </row>
    <row r="277" spans="1:19">
      <c r="A277" s="963"/>
      <c r="B277" s="136"/>
      <c r="C277" s="52">
        <f t="shared" si="43"/>
        <v>1</v>
      </c>
      <c r="D277" s="961"/>
      <c r="E277" s="52">
        <f t="shared" si="44"/>
        <v>1</v>
      </c>
      <c r="F277" s="961"/>
      <c r="G277" s="52">
        <f t="shared" si="45"/>
        <v>1</v>
      </c>
      <c r="H277" s="961"/>
      <c r="I277" s="52">
        <f t="shared" si="46"/>
        <v>1</v>
      </c>
      <c r="J277" s="961"/>
      <c r="K277" s="52">
        <f t="shared" si="47"/>
        <v>1</v>
      </c>
      <c r="L277" s="961"/>
      <c r="M277" s="52">
        <f t="shared" si="48"/>
        <v>1</v>
      </c>
      <c r="N277" s="961"/>
      <c r="O277" s="52">
        <f t="shared" si="49"/>
        <v>1</v>
      </c>
      <c r="P277" s="961"/>
      <c r="Q277" s="52">
        <f t="shared" si="50"/>
        <v>1</v>
      </c>
      <c r="R277" s="489">
        <f t="shared" si="51"/>
        <v>0</v>
      </c>
      <c r="S277" s="798">
        <f t="shared" si="52"/>
        <v>0</v>
      </c>
    </row>
    <row r="278" spans="1:19">
      <c r="A278" s="963"/>
      <c r="B278" s="136"/>
      <c r="C278" s="52">
        <f t="shared" si="43"/>
        <v>1</v>
      </c>
      <c r="D278" s="961"/>
      <c r="E278" s="52">
        <f t="shared" si="44"/>
        <v>1</v>
      </c>
      <c r="F278" s="961"/>
      <c r="G278" s="52">
        <f t="shared" si="45"/>
        <v>1</v>
      </c>
      <c r="H278" s="961"/>
      <c r="I278" s="52">
        <f t="shared" si="46"/>
        <v>1</v>
      </c>
      <c r="J278" s="961"/>
      <c r="K278" s="52">
        <f t="shared" si="47"/>
        <v>1</v>
      </c>
      <c r="L278" s="961"/>
      <c r="M278" s="52">
        <f t="shared" si="48"/>
        <v>1</v>
      </c>
      <c r="N278" s="961"/>
      <c r="O278" s="52">
        <f t="shared" si="49"/>
        <v>1</v>
      </c>
      <c r="P278" s="961"/>
      <c r="Q278" s="52">
        <f t="shared" si="50"/>
        <v>1</v>
      </c>
      <c r="R278" s="489">
        <f t="shared" si="51"/>
        <v>0</v>
      </c>
      <c r="S278" s="798">
        <f t="shared" si="52"/>
        <v>0</v>
      </c>
    </row>
    <row r="279" spans="1:19">
      <c r="A279" s="963"/>
      <c r="B279" s="136"/>
      <c r="C279" s="52">
        <f t="shared" si="43"/>
        <v>1</v>
      </c>
      <c r="D279" s="961"/>
      <c r="E279" s="52">
        <f t="shared" si="44"/>
        <v>1</v>
      </c>
      <c r="F279" s="961"/>
      <c r="G279" s="52">
        <f t="shared" si="45"/>
        <v>1</v>
      </c>
      <c r="H279" s="961"/>
      <c r="I279" s="52">
        <f t="shared" si="46"/>
        <v>1</v>
      </c>
      <c r="J279" s="961"/>
      <c r="K279" s="52">
        <f t="shared" si="47"/>
        <v>1</v>
      </c>
      <c r="L279" s="961"/>
      <c r="M279" s="52">
        <f t="shared" si="48"/>
        <v>1</v>
      </c>
      <c r="N279" s="961"/>
      <c r="O279" s="52">
        <f t="shared" si="49"/>
        <v>1</v>
      </c>
      <c r="P279" s="961"/>
      <c r="Q279" s="52">
        <f t="shared" si="50"/>
        <v>1</v>
      </c>
      <c r="R279" s="489">
        <f t="shared" si="51"/>
        <v>0</v>
      </c>
      <c r="S279" s="798">
        <f t="shared" si="52"/>
        <v>0</v>
      </c>
    </row>
    <row r="280" spans="1:19">
      <c r="A280" s="963"/>
      <c r="B280" s="136"/>
      <c r="C280" s="52">
        <f t="shared" si="43"/>
        <v>1</v>
      </c>
      <c r="D280" s="961"/>
      <c r="E280" s="52">
        <f t="shared" si="44"/>
        <v>1</v>
      </c>
      <c r="F280" s="961"/>
      <c r="G280" s="52">
        <f t="shared" si="45"/>
        <v>1</v>
      </c>
      <c r="H280" s="961"/>
      <c r="I280" s="52">
        <f t="shared" si="46"/>
        <v>1</v>
      </c>
      <c r="J280" s="961"/>
      <c r="K280" s="52">
        <f t="shared" si="47"/>
        <v>1</v>
      </c>
      <c r="L280" s="961"/>
      <c r="M280" s="52">
        <f t="shared" si="48"/>
        <v>1</v>
      </c>
      <c r="N280" s="961"/>
      <c r="O280" s="52">
        <f t="shared" si="49"/>
        <v>1</v>
      </c>
      <c r="P280" s="961"/>
      <c r="Q280" s="52">
        <f t="shared" si="50"/>
        <v>1</v>
      </c>
      <c r="R280" s="489">
        <f t="shared" si="51"/>
        <v>0</v>
      </c>
      <c r="S280" s="798">
        <f t="shared" si="52"/>
        <v>0</v>
      </c>
    </row>
    <row r="281" spans="1:19">
      <c r="A281" s="963"/>
      <c r="B281" s="136"/>
      <c r="C281" s="52">
        <f t="shared" si="43"/>
        <v>1</v>
      </c>
      <c r="D281" s="961"/>
      <c r="E281" s="52">
        <f t="shared" si="44"/>
        <v>1</v>
      </c>
      <c r="F281" s="961"/>
      <c r="G281" s="52">
        <f t="shared" si="45"/>
        <v>1</v>
      </c>
      <c r="H281" s="961"/>
      <c r="I281" s="52">
        <f t="shared" si="46"/>
        <v>1</v>
      </c>
      <c r="J281" s="961"/>
      <c r="K281" s="52">
        <f t="shared" si="47"/>
        <v>1</v>
      </c>
      <c r="L281" s="961"/>
      <c r="M281" s="52">
        <f t="shared" si="48"/>
        <v>1</v>
      </c>
      <c r="N281" s="961"/>
      <c r="O281" s="52">
        <f t="shared" si="49"/>
        <v>1</v>
      </c>
      <c r="P281" s="961"/>
      <c r="Q281" s="52">
        <f t="shared" si="50"/>
        <v>1</v>
      </c>
      <c r="R281" s="489">
        <f t="shared" si="51"/>
        <v>0</v>
      </c>
      <c r="S281" s="798">
        <f t="shared" si="52"/>
        <v>0</v>
      </c>
    </row>
    <row r="282" spans="1:19">
      <c r="A282" s="963"/>
      <c r="B282" s="136"/>
      <c r="C282" s="52">
        <f t="shared" ref="C282:C345" si="53">IF(B282="",1,(LOOKUP(B282,$3:$3,$4:$4)-LOOKUP($B$24,$3:$3,$4:$4)+100)/100)</f>
        <v>1</v>
      </c>
      <c r="D282" s="961"/>
      <c r="E282" s="52">
        <f t="shared" ref="E282:E345" si="54">(SUMIF($5:$5,D282,$6:$6)-SUMIF($5:$5,$D$24,$6:$6)+100)/100</f>
        <v>1</v>
      </c>
      <c r="F282" s="961"/>
      <c r="G282" s="52">
        <f t="shared" ref="G282:G345" si="55">(SUMIF($7:$7,F282,$8:$8)-SUMIF($7:$7,$F$24,$8:$8)+100)/100</f>
        <v>1</v>
      </c>
      <c r="H282" s="961"/>
      <c r="I282" s="52">
        <f t="shared" ref="I282:I345" si="56">(SUMIF($9:$9,H282,$10:$10)-SUMIF($9:$9,$H$24,$10:$10)+100)/100</f>
        <v>1</v>
      </c>
      <c r="J282" s="961"/>
      <c r="K282" s="52">
        <f t="shared" ref="K282:K345" si="57">(SUMIF($11:$11,J282,$12:$12)-SUMIF($11:$11,$J$24,$12:$12)+100)/100</f>
        <v>1</v>
      </c>
      <c r="L282" s="961"/>
      <c r="M282" s="52">
        <f t="shared" ref="M282:M345" si="58">(SUMIF($13:$13,L282,$14:$14)-SUMIF($13:$13,$L$24,$14:$14)+100)/100</f>
        <v>1</v>
      </c>
      <c r="N282" s="961"/>
      <c r="O282" s="52">
        <f t="shared" ref="O282:O345" si="59">(SUMIF($15:$15,N282,$16:$16)-SUMIF($15:$15,$N$24,$16:$16)+100)/100</f>
        <v>1</v>
      </c>
      <c r="P282" s="961"/>
      <c r="Q282" s="52">
        <f t="shared" ref="Q282:Q345" si="60">(SUMIF($17:$17,P282,$18:$18)-SUMIF($17:$17,$P$24,$18:$18)+100)/100</f>
        <v>1</v>
      </c>
      <c r="R282" s="489">
        <f t="shared" ref="R282:R345" si="61">IF(B282="",0,ROUND($R$24*C282*E282*G282*I282*K282*M282*O282*Q282,0))</f>
        <v>0</v>
      </c>
      <c r="S282" s="798">
        <f t="shared" si="52"/>
        <v>0</v>
      </c>
    </row>
    <row r="283" spans="1:19">
      <c r="A283" s="963"/>
      <c r="B283" s="136"/>
      <c r="C283" s="52">
        <f t="shared" si="53"/>
        <v>1</v>
      </c>
      <c r="D283" s="961"/>
      <c r="E283" s="52">
        <f t="shared" si="54"/>
        <v>1</v>
      </c>
      <c r="F283" s="961"/>
      <c r="G283" s="52">
        <f t="shared" si="55"/>
        <v>1</v>
      </c>
      <c r="H283" s="961"/>
      <c r="I283" s="52">
        <f t="shared" si="56"/>
        <v>1</v>
      </c>
      <c r="J283" s="961"/>
      <c r="K283" s="52">
        <f t="shared" si="57"/>
        <v>1</v>
      </c>
      <c r="L283" s="961"/>
      <c r="M283" s="52">
        <f t="shared" si="58"/>
        <v>1</v>
      </c>
      <c r="N283" s="961"/>
      <c r="O283" s="52">
        <f t="shared" si="59"/>
        <v>1</v>
      </c>
      <c r="P283" s="961"/>
      <c r="Q283" s="52">
        <f t="shared" si="60"/>
        <v>1</v>
      </c>
      <c r="R283" s="489">
        <f t="shared" si="61"/>
        <v>0</v>
      </c>
      <c r="S283" s="798">
        <f t="shared" si="52"/>
        <v>0</v>
      </c>
    </row>
    <row r="284" spans="1:19">
      <c r="A284" s="963"/>
      <c r="B284" s="136"/>
      <c r="C284" s="52">
        <f t="shared" si="53"/>
        <v>1</v>
      </c>
      <c r="D284" s="961"/>
      <c r="E284" s="52">
        <f t="shared" si="54"/>
        <v>1</v>
      </c>
      <c r="F284" s="961"/>
      <c r="G284" s="52">
        <f t="shared" si="55"/>
        <v>1</v>
      </c>
      <c r="H284" s="961"/>
      <c r="I284" s="52">
        <f t="shared" si="56"/>
        <v>1</v>
      </c>
      <c r="J284" s="961"/>
      <c r="K284" s="52">
        <f t="shared" si="57"/>
        <v>1</v>
      </c>
      <c r="L284" s="961"/>
      <c r="M284" s="52">
        <f t="shared" si="58"/>
        <v>1</v>
      </c>
      <c r="N284" s="961"/>
      <c r="O284" s="52">
        <f t="shared" si="59"/>
        <v>1</v>
      </c>
      <c r="P284" s="961"/>
      <c r="Q284" s="52">
        <f t="shared" si="60"/>
        <v>1</v>
      </c>
      <c r="R284" s="489">
        <f t="shared" si="61"/>
        <v>0</v>
      </c>
      <c r="S284" s="798">
        <f t="shared" si="52"/>
        <v>0</v>
      </c>
    </row>
    <row r="285" spans="1:19">
      <c r="A285" s="963"/>
      <c r="B285" s="136"/>
      <c r="C285" s="52">
        <f t="shared" si="53"/>
        <v>1</v>
      </c>
      <c r="D285" s="961"/>
      <c r="E285" s="52">
        <f t="shared" si="54"/>
        <v>1</v>
      </c>
      <c r="F285" s="961"/>
      <c r="G285" s="52">
        <f t="shared" si="55"/>
        <v>1</v>
      </c>
      <c r="H285" s="961"/>
      <c r="I285" s="52">
        <f t="shared" si="56"/>
        <v>1</v>
      </c>
      <c r="J285" s="961"/>
      <c r="K285" s="52">
        <f t="shared" si="57"/>
        <v>1</v>
      </c>
      <c r="L285" s="961"/>
      <c r="M285" s="52">
        <f t="shared" si="58"/>
        <v>1</v>
      </c>
      <c r="N285" s="961"/>
      <c r="O285" s="52">
        <f t="shared" si="59"/>
        <v>1</v>
      </c>
      <c r="P285" s="961"/>
      <c r="Q285" s="52">
        <f t="shared" si="60"/>
        <v>1</v>
      </c>
      <c r="R285" s="489">
        <f t="shared" si="61"/>
        <v>0</v>
      </c>
      <c r="S285" s="798">
        <f t="shared" si="52"/>
        <v>0</v>
      </c>
    </row>
    <row r="286" spans="1:19">
      <c r="A286" s="963"/>
      <c r="B286" s="136"/>
      <c r="C286" s="52">
        <f t="shared" si="53"/>
        <v>1</v>
      </c>
      <c r="D286" s="961"/>
      <c r="E286" s="52">
        <f t="shared" si="54"/>
        <v>1</v>
      </c>
      <c r="F286" s="961"/>
      <c r="G286" s="52">
        <f t="shared" si="55"/>
        <v>1</v>
      </c>
      <c r="H286" s="961"/>
      <c r="I286" s="52">
        <f t="shared" si="56"/>
        <v>1</v>
      </c>
      <c r="J286" s="961"/>
      <c r="K286" s="52">
        <f t="shared" si="57"/>
        <v>1</v>
      </c>
      <c r="L286" s="961"/>
      <c r="M286" s="52">
        <f t="shared" si="58"/>
        <v>1</v>
      </c>
      <c r="N286" s="961"/>
      <c r="O286" s="52">
        <f t="shared" si="59"/>
        <v>1</v>
      </c>
      <c r="P286" s="961"/>
      <c r="Q286" s="52">
        <f t="shared" si="60"/>
        <v>1</v>
      </c>
      <c r="R286" s="489">
        <f t="shared" si="61"/>
        <v>0</v>
      </c>
      <c r="S286" s="798">
        <f t="shared" si="52"/>
        <v>0</v>
      </c>
    </row>
    <row r="287" spans="1:19">
      <c r="A287" s="963"/>
      <c r="B287" s="136"/>
      <c r="C287" s="52">
        <f t="shared" si="53"/>
        <v>1</v>
      </c>
      <c r="D287" s="961"/>
      <c r="E287" s="52">
        <f t="shared" si="54"/>
        <v>1</v>
      </c>
      <c r="F287" s="961"/>
      <c r="G287" s="52">
        <f t="shared" si="55"/>
        <v>1</v>
      </c>
      <c r="H287" s="961"/>
      <c r="I287" s="52">
        <f t="shared" si="56"/>
        <v>1</v>
      </c>
      <c r="J287" s="961"/>
      <c r="K287" s="52">
        <f t="shared" si="57"/>
        <v>1</v>
      </c>
      <c r="L287" s="961"/>
      <c r="M287" s="52">
        <f t="shared" si="58"/>
        <v>1</v>
      </c>
      <c r="N287" s="961"/>
      <c r="O287" s="52">
        <f t="shared" si="59"/>
        <v>1</v>
      </c>
      <c r="P287" s="961"/>
      <c r="Q287" s="52">
        <f t="shared" si="60"/>
        <v>1</v>
      </c>
      <c r="R287" s="489">
        <f t="shared" si="61"/>
        <v>0</v>
      </c>
      <c r="S287" s="798">
        <f t="shared" ref="S287:S320" si="62">ROUND(R287*B287/10000,0)</f>
        <v>0</v>
      </c>
    </row>
    <row r="288" spans="1:19">
      <c r="A288" s="963"/>
      <c r="B288" s="136"/>
      <c r="C288" s="52">
        <f t="shared" si="53"/>
        <v>1</v>
      </c>
      <c r="D288" s="961"/>
      <c r="E288" s="52">
        <f t="shared" si="54"/>
        <v>1</v>
      </c>
      <c r="F288" s="961"/>
      <c r="G288" s="52">
        <f t="shared" si="55"/>
        <v>1</v>
      </c>
      <c r="H288" s="961"/>
      <c r="I288" s="52">
        <f t="shared" si="56"/>
        <v>1</v>
      </c>
      <c r="J288" s="961"/>
      <c r="K288" s="52">
        <f t="shared" si="57"/>
        <v>1</v>
      </c>
      <c r="L288" s="961"/>
      <c r="M288" s="52">
        <f t="shared" si="58"/>
        <v>1</v>
      </c>
      <c r="N288" s="961"/>
      <c r="O288" s="52">
        <f t="shared" si="59"/>
        <v>1</v>
      </c>
      <c r="P288" s="961"/>
      <c r="Q288" s="52">
        <f t="shared" si="60"/>
        <v>1</v>
      </c>
      <c r="R288" s="489">
        <f t="shared" si="61"/>
        <v>0</v>
      </c>
      <c r="S288" s="798">
        <f t="shared" si="62"/>
        <v>0</v>
      </c>
    </row>
    <row r="289" spans="1:19">
      <c r="A289" s="963"/>
      <c r="B289" s="136"/>
      <c r="C289" s="52">
        <f t="shared" si="53"/>
        <v>1</v>
      </c>
      <c r="D289" s="961"/>
      <c r="E289" s="52">
        <f t="shared" si="54"/>
        <v>1</v>
      </c>
      <c r="F289" s="961"/>
      <c r="G289" s="52">
        <f t="shared" si="55"/>
        <v>1</v>
      </c>
      <c r="H289" s="961"/>
      <c r="I289" s="52">
        <f t="shared" si="56"/>
        <v>1</v>
      </c>
      <c r="J289" s="961"/>
      <c r="K289" s="52">
        <f t="shared" si="57"/>
        <v>1</v>
      </c>
      <c r="L289" s="961"/>
      <c r="M289" s="52">
        <f t="shared" si="58"/>
        <v>1</v>
      </c>
      <c r="N289" s="961"/>
      <c r="O289" s="52">
        <f t="shared" si="59"/>
        <v>1</v>
      </c>
      <c r="P289" s="961"/>
      <c r="Q289" s="52">
        <f t="shared" si="60"/>
        <v>1</v>
      </c>
      <c r="R289" s="489">
        <f t="shared" si="61"/>
        <v>0</v>
      </c>
      <c r="S289" s="798">
        <f t="shared" si="62"/>
        <v>0</v>
      </c>
    </row>
    <row r="290" spans="1:19">
      <c r="A290" s="963"/>
      <c r="B290" s="136"/>
      <c r="C290" s="52">
        <f t="shared" si="53"/>
        <v>1</v>
      </c>
      <c r="D290" s="961"/>
      <c r="E290" s="52">
        <f t="shared" si="54"/>
        <v>1</v>
      </c>
      <c r="F290" s="961"/>
      <c r="G290" s="52">
        <f t="shared" si="55"/>
        <v>1</v>
      </c>
      <c r="H290" s="961"/>
      <c r="I290" s="52">
        <f t="shared" si="56"/>
        <v>1</v>
      </c>
      <c r="J290" s="961"/>
      <c r="K290" s="52">
        <f t="shared" si="57"/>
        <v>1</v>
      </c>
      <c r="L290" s="961"/>
      <c r="M290" s="52">
        <f t="shared" si="58"/>
        <v>1</v>
      </c>
      <c r="N290" s="961"/>
      <c r="O290" s="52">
        <f t="shared" si="59"/>
        <v>1</v>
      </c>
      <c r="P290" s="961"/>
      <c r="Q290" s="52">
        <f t="shared" si="60"/>
        <v>1</v>
      </c>
      <c r="R290" s="489">
        <f t="shared" si="61"/>
        <v>0</v>
      </c>
      <c r="S290" s="798">
        <f t="shared" si="62"/>
        <v>0</v>
      </c>
    </row>
    <row r="291" spans="1:19">
      <c r="A291" s="963"/>
      <c r="B291" s="136"/>
      <c r="C291" s="52">
        <f t="shared" si="53"/>
        <v>1</v>
      </c>
      <c r="D291" s="961"/>
      <c r="E291" s="52">
        <f t="shared" si="54"/>
        <v>1</v>
      </c>
      <c r="F291" s="961"/>
      <c r="G291" s="52">
        <f t="shared" si="55"/>
        <v>1</v>
      </c>
      <c r="H291" s="961"/>
      <c r="I291" s="52">
        <f t="shared" si="56"/>
        <v>1</v>
      </c>
      <c r="J291" s="961"/>
      <c r="K291" s="52">
        <f t="shared" si="57"/>
        <v>1</v>
      </c>
      <c r="L291" s="961"/>
      <c r="M291" s="52">
        <f t="shared" si="58"/>
        <v>1</v>
      </c>
      <c r="N291" s="961"/>
      <c r="O291" s="52">
        <f t="shared" si="59"/>
        <v>1</v>
      </c>
      <c r="P291" s="961"/>
      <c r="Q291" s="52">
        <f t="shared" si="60"/>
        <v>1</v>
      </c>
      <c r="R291" s="489">
        <f t="shared" si="61"/>
        <v>0</v>
      </c>
      <c r="S291" s="798">
        <f t="shared" si="62"/>
        <v>0</v>
      </c>
    </row>
    <row r="292" spans="1:19">
      <c r="A292" s="963"/>
      <c r="B292" s="136"/>
      <c r="C292" s="52">
        <f t="shared" si="53"/>
        <v>1</v>
      </c>
      <c r="D292" s="961"/>
      <c r="E292" s="52">
        <f t="shared" si="54"/>
        <v>1</v>
      </c>
      <c r="F292" s="961"/>
      <c r="G292" s="52">
        <f t="shared" si="55"/>
        <v>1</v>
      </c>
      <c r="H292" s="961"/>
      <c r="I292" s="52">
        <f t="shared" si="56"/>
        <v>1</v>
      </c>
      <c r="J292" s="961"/>
      <c r="K292" s="52">
        <f t="shared" si="57"/>
        <v>1</v>
      </c>
      <c r="L292" s="961"/>
      <c r="M292" s="52">
        <f t="shared" si="58"/>
        <v>1</v>
      </c>
      <c r="N292" s="961"/>
      <c r="O292" s="52">
        <f t="shared" si="59"/>
        <v>1</v>
      </c>
      <c r="P292" s="961"/>
      <c r="Q292" s="52">
        <f t="shared" si="60"/>
        <v>1</v>
      </c>
      <c r="R292" s="489">
        <f t="shared" si="61"/>
        <v>0</v>
      </c>
      <c r="S292" s="798">
        <f t="shared" si="62"/>
        <v>0</v>
      </c>
    </row>
    <row r="293" spans="1:19">
      <c r="A293" s="963"/>
      <c r="B293" s="136"/>
      <c r="C293" s="52">
        <f t="shared" si="53"/>
        <v>1</v>
      </c>
      <c r="D293" s="961"/>
      <c r="E293" s="52">
        <f t="shared" si="54"/>
        <v>1</v>
      </c>
      <c r="F293" s="961"/>
      <c r="G293" s="52">
        <f t="shared" si="55"/>
        <v>1</v>
      </c>
      <c r="H293" s="961"/>
      <c r="I293" s="52">
        <f t="shared" si="56"/>
        <v>1</v>
      </c>
      <c r="J293" s="961"/>
      <c r="K293" s="52">
        <f t="shared" si="57"/>
        <v>1</v>
      </c>
      <c r="L293" s="961"/>
      <c r="M293" s="52">
        <f t="shared" si="58"/>
        <v>1</v>
      </c>
      <c r="N293" s="961"/>
      <c r="O293" s="52">
        <f t="shared" si="59"/>
        <v>1</v>
      </c>
      <c r="P293" s="961"/>
      <c r="Q293" s="52">
        <f t="shared" si="60"/>
        <v>1</v>
      </c>
      <c r="R293" s="489">
        <f t="shared" si="61"/>
        <v>0</v>
      </c>
      <c r="S293" s="798">
        <f t="shared" si="62"/>
        <v>0</v>
      </c>
    </row>
    <row r="294" spans="1:19">
      <c r="A294" s="963"/>
      <c r="B294" s="136"/>
      <c r="C294" s="52">
        <f t="shared" si="53"/>
        <v>1</v>
      </c>
      <c r="D294" s="961"/>
      <c r="E294" s="52">
        <f t="shared" si="54"/>
        <v>1</v>
      </c>
      <c r="F294" s="961"/>
      <c r="G294" s="52">
        <f t="shared" si="55"/>
        <v>1</v>
      </c>
      <c r="H294" s="961"/>
      <c r="I294" s="52">
        <f t="shared" si="56"/>
        <v>1</v>
      </c>
      <c r="J294" s="961"/>
      <c r="K294" s="52">
        <f t="shared" si="57"/>
        <v>1</v>
      </c>
      <c r="L294" s="961"/>
      <c r="M294" s="52">
        <f t="shared" si="58"/>
        <v>1</v>
      </c>
      <c r="N294" s="961"/>
      <c r="O294" s="52">
        <f t="shared" si="59"/>
        <v>1</v>
      </c>
      <c r="P294" s="961"/>
      <c r="Q294" s="52">
        <f t="shared" si="60"/>
        <v>1</v>
      </c>
      <c r="R294" s="489">
        <f t="shared" si="61"/>
        <v>0</v>
      </c>
      <c r="S294" s="798">
        <f t="shared" si="62"/>
        <v>0</v>
      </c>
    </row>
    <row r="295" spans="1:19">
      <c r="A295" s="963"/>
      <c r="B295" s="136"/>
      <c r="C295" s="52">
        <f t="shared" si="53"/>
        <v>1</v>
      </c>
      <c r="D295" s="961"/>
      <c r="E295" s="52">
        <f t="shared" si="54"/>
        <v>1</v>
      </c>
      <c r="F295" s="961"/>
      <c r="G295" s="52">
        <f t="shared" si="55"/>
        <v>1</v>
      </c>
      <c r="H295" s="961"/>
      <c r="I295" s="52">
        <f t="shared" si="56"/>
        <v>1</v>
      </c>
      <c r="J295" s="961"/>
      <c r="K295" s="52">
        <f t="shared" si="57"/>
        <v>1</v>
      </c>
      <c r="L295" s="961"/>
      <c r="M295" s="52">
        <f t="shared" si="58"/>
        <v>1</v>
      </c>
      <c r="N295" s="961"/>
      <c r="O295" s="52">
        <f t="shared" si="59"/>
        <v>1</v>
      </c>
      <c r="P295" s="961"/>
      <c r="Q295" s="52">
        <f t="shared" si="60"/>
        <v>1</v>
      </c>
      <c r="R295" s="489">
        <f t="shared" si="61"/>
        <v>0</v>
      </c>
      <c r="S295" s="798">
        <f t="shared" si="62"/>
        <v>0</v>
      </c>
    </row>
    <row r="296" spans="1:19">
      <c r="A296" s="963"/>
      <c r="B296" s="136"/>
      <c r="C296" s="52">
        <f t="shared" si="53"/>
        <v>1</v>
      </c>
      <c r="D296" s="961"/>
      <c r="E296" s="52">
        <f t="shared" si="54"/>
        <v>1</v>
      </c>
      <c r="F296" s="961"/>
      <c r="G296" s="52">
        <f t="shared" si="55"/>
        <v>1</v>
      </c>
      <c r="H296" s="961"/>
      <c r="I296" s="52">
        <f t="shared" si="56"/>
        <v>1</v>
      </c>
      <c r="J296" s="961"/>
      <c r="K296" s="52">
        <f t="shared" si="57"/>
        <v>1</v>
      </c>
      <c r="L296" s="961"/>
      <c r="M296" s="52">
        <f t="shared" si="58"/>
        <v>1</v>
      </c>
      <c r="N296" s="961"/>
      <c r="O296" s="52">
        <f t="shared" si="59"/>
        <v>1</v>
      </c>
      <c r="P296" s="961"/>
      <c r="Q296" s="52">
        <f t="shared" si="60"/>
        <v>1</v>
      </c>
      <c r="R296" s="489">
        <f t="shared" si="61"/>
        <v>0</v>
      </c>
      <c r="S296" s="798">
        <f t="shared" si="62"/>
        <v>0</v>
      </c>
    </row>
    <row r="297" spans="1:19">
      <c r="A297" s="963"/>
      <c r="B297" s="136"/>
      <c r="C297" s="52">
        <f t="shared" si="53"/>
        <v>1</v>
      </c>
      <c r="D297" s="961"/>
      <c r="E297" s="52">
        <f t="shared" si="54"/>
        <v>1</v>
      </c>
      <c r="F297" s="961"/>
      <c r="G297" s="52">
        <f t="shared" si="55"/>
        <v>1</v>
      </c>
      <c r="H297" s="961"/>
      <c r="I297" s="52">
        <f t="shared" si="56"/>
        <v>1</v>
      </c>
      <c r="J297" s="961"/>
      <c r="K297" s="52">
        <f t="shared" si="57"/>
        <v>1</v>
      </c>
      <c r="L297" s="961"/>
      <c r="M297" s="52">
        <f t="shared" si="58"/>
        <v>1</v>
      </c>
      <c r="N297" s="961"/>
      <c r="O297" s="52">
        <f t="shared" si="59"/>
        <v>1</v>
      </c>
      <c r="P297" s="961"/>
      <c r="Q297" s="52">
        <f t="shared" si="60"/>
        <v>1</v>
      </c>
      <c r="R297" s="489">
        <f t="shared" si="61"/>
        <v>0</v>
      </c>
      <c r="S297" s="798">
        <f t="shared" si="62"/>
        <v>0</v>
      </c>
    </row>
    <row r="298" spans="1:19">
      <c r="A298" s="963"/>
      <c r="B298" s="136"/>
      <c r="C298" s="52">
        <f t="shared" si="53"/>
        <v>1</v>
      </c>
      <c r="D298" s="961"/>
      <c r="E298" s="52">
        <f t="shared" si="54"/>
        <v>1</v>
      </c>
      <c r="F298" s="961"/>
      <c r="G298" s="52">
        <f t="shared" si="55"/>
        <v>1</v>
      </c>
      <c r="H298" s="961"/>
      <c r="I298" s="52">
        <f t="shared" si="56"/>
        <v>1</v>
      </c>
      <c r="J298" s="961"/>
      <c r="K298" s="52">
        <f t="shared" si="57"/>
        <v>1</v>
      </c>
      <c r="L298" s="961"/>
      <c r="M298" s="52">
        <f t="shared" si="58"/>
        <v>1</v>
      </c>
      <c r="N298" s="961"/>
      <c r="O298" s="52">
        <f t="shared" si="59"/>
        <v>1</v>
      </c>
      <c r="P298" s="961"/>
      <c r="Q298" s="52">
        <f t="shared" si="60"/>
        <v>1</v>
      </c>
      <c r="R298" s="489">
        <f t="shared" si="61"/>
        <v>0</v>
      </c>
      <c r="S298" s="798">
        <f t="shared" si="62"/>
        <v>0</v>
      </c>
    </row>
    <row r="299" spans="1:19">
      <c r="A299" s="963"/>
      <c r="B299" s="136"/>
      <c r="C299" s="52">
        <f t="shared" si="53"/>
        <v>1</v>
      </c>
      <c r="D299" s="961"/>
      <c r="E299" s="52">
        <f t="shared" si="54"/>
        <v>1</v>
      </c>
      <c r="F299" s="961"/>
      <c r="G299" s="52">
        <f t="shared" si="55"/>
        <v>1</v>
      </c>
      <c r="H299" s="961"/>
      <c r="I299" s="52">
        <f t="shared" si="56"/>
        <v>1</v>
      </c>
      <c r="J299" s="961"/>
      <c r="K299" s="52">
        <f t="shared" si="57"/>
        <v>1</v>
      </c>
      <c r="L299" s="961"/>
      <c r="M299" s="52">
        <f t="shared" si="58"/>
        <v>1</v>
      </c>
      <c r="N299" s="961"/>
      <c r="O299" s="52">
        <f t="shared" si="59"/>
        <v>1</v>
      </c>
      <c r="P299" s="961"/>
      <c r="Q299" s="52">
        <f t="shared" si="60"/>
        <v>1</v>
      </c>
      <c r="R299" s="489">
        <f t="shared" si="61"/>
        <v>0</v>
      </c>
      <c r="S299" s="798">
        <f t="shared" si="62"/>
        <v>0</v>
      </c>
    </row>
    <row r="300" spans="1:19">
      <c r="A300" s="963"/>
      <c r="B300" s="136"/>
      <c r="C300" s="52">
        <f t="shared" si="53"/>
        <v>1</v>
      </c>
      <c r="D300" s="961"/>
      <c r="E300" s="52">
        <f t="shared" si="54"/>
        <v>1</v>
      </c>
      <c r="F300" s="961"/>
      <c r="G300" s="52">
        <f t="shared" si="55"/>
        <v>1</v>
      </c>
      <c r="H300" s="961"/>
      <c r="I300" s="52">
        <f t="shared" si="56"/>
        <v>1</v>
      </c>
      <c r="J300" s="961"/>
      <c r="K300" s="52">
        <f t="shared" si="57"/>
        <v>1</v>
      </c>
      <c r="L300" s="961"/>
      <c r="M300" s="52">
        <f t="shared" si="58"/>
        <v>1</v>
      </c>
      <c r="N300" s="961"/>
      <c r="O300" s="52">
        <f t="shared" si="59"/>
        <v>1</v>
      </c>
      <c r="P300" s="961"/>
      <c r="Q300" s="52">
        <f t="shared" si="60"/>
        <v>1</v>
      </c>
      <c r="R300" s="489">
        <f t="shared" si="61"/>
        <v>0</v>
      </c>
      <c r="S300" s="798">
        <f t="shared" si="62"/>
        <v>0</v>
      </c>
    </row>
    <row r="301" spans="1:19">
      <c r="A301" s="963"/>
      <c r="B301" s="136"/>
      <c r="C301" s="52">
        <f t="shared" si="53"/>
        <v>1</v>
      </c>
      <c r="D301" s="961"/>
      <c r="E301" s="52">
        <f t="shared" si="54"/>
        <v>1</v>
      </c>
      <c r="F301" s="961"/>
      <c r="G301" s="52">
        <f t="shared" si="55"/>
        <v>1</v>
      </c>
      <c r="H301" s="961"/>
      <c r="I301" s="52">
        <f t="shared" si="56"/>
        <v>1</v>
      </c>
      <c r="J301" s="961"/>
      <c r="K301" s="52">
        <f t="shared" si="57"/>
        <v>1</v>
      </c>
      <c r="L301" s="961"/>
      <c r="M301" s="52">
        <f t="shared" si="58"/>
        <v>1</v>
      </c>
      <c r="N301" s="961"/>
      <c r="O301" s="52">
        <f t="shared" si="59"/>
        <v>1</v>
      </c>
      <c r="P301" s="961"/>
      <c r="Q301" s="52">
        <f t="shared" si="60"/>
        <v>1</v>
      </c>
      <c r="R301" s="489">
        <f t="shared" si="61"/>
        <v>0</v>
      </c>
      <c r="S301" s="798">
        <f t="shared" si="62"/>
        <v>0</v>
      </c>
    </row>
    <row r="302" spans="1:19">
      <c r="A302" s="963"/>
      <c r="B302" s="136"/>
      <c r="C302" s="52">
        <f t="shared" si="53"/>
        <v>1</v>
      </c>
      <c r="D302" s="961"/>
      <c r="E302" s="52">
        <f t="shared" si="54"/>
        <v>1</v>
      </c>
      <c r="F302" s="961"/>
      <c r="G302" s="52">
        <f t="shared" si="55"/>
        <v>1</v>
      </c>
      <c r="H302" s="961"/>
      <c r="I302" s="52">
        <f t="shared" si="56"/>
        <v>1</v>
      </c>
      <c r="J302" s="961"/>
      <c r="K302" s="52">
        <f t="shared" si="57"/>
        <v>1</v>
      </c>
      <c r="L302" s="961"/>
      <c r="M302" s="52">
        <f t="shared" si="58"/>
        <v>1</v>
      </c>
      <c r="N302" s="961"/>
      <c r="O302" s="52">
        <f t="shared" si="59"/>
        <v>1</v>
      </c>
      <c r="P302" s="961"/>
      <c r="Q302" s="52">
        <f t="shared" si="60"/>
        <v>1</v>
      </c>
      <c r="R302" s="489">
        <f t="shared" si="61"/>
        <v>0</v>
      </c>
      <c r="S302" s="798">
        <f t="shared" si="62"/>
        <v>0</v>
      </c>
    </row>
    <row r="303" spans="1:19">
      <c r="A303" s="963"/>
      <c r="B303" s="136"/>
      <c r="C303" s="52">
        <f t="shared" si="53"/>
        <v>1</v>
      </c>
      <c r="D303" s="961"/>
      <c r="E303" s="52">
        <f t="shared" si="54"/>
        <v>1</v>
      </c>
      <c r="F303" s="961"/>
      <c r="G303" s="52">
        <f t="shared" si="55"/>
        <v>1</v>
      </c>
      <c r="H303" s="961"/>
      <c r="I303" s="52">
        <f t="shared" si="56"/>
        <v>1</v>
      </c>
      <c r="J303" s="961"/>
      <c r="K303" s="52">
        <f t="shared" si="57"/>
        <v>1</v>
      </c>
      <c r="L303" s="961"/>
      <c r="M303" s="52">
        <f t="shared" si="58"/>
        <v>1</v>
      </c>
      <c r="N303" s="961"/>
      <c r="O303" s="52">
        <f t="shared" si="59"/>
        <v>1</v>
      </c>
      <c r="P303" s="961"/>
      <c r="Q303" s="52">
        <f t="shared" si="60"/>
        <v>1</v>
      </c>
      <c r="R303" s="489">
        <f t="shared" si="61"/>
        <v>0</v>
      </c>
      <c r="S303" s="798">
        <f t="shared" si="62"/>
        <v>0</v>
      </c>
    </row>
    <row r="304" spans="1:19">
      <c r="A304" s="963"/>
      <c r="B304" s="136"/>
      <c r="C304" s="52">
        <f t="shared" si="53"/>
        <v>1</v>
      </c>
      <c r="D304" s="961"/>
      <c r="E304" s="52">
        <f t="shared" si="54"/>
        <v>1</v>
      </c>
      <c r="F304" s="961"/>
      <c r="G304" s="52">
        <f t="shared" si="55"/>
        <v>1</v>
      </c>
      <c r="H304" s="961"/>
      <c r="I304" s="52">
        <f t="shared" si="56"/>
        <v>1</v>
      </c>
      <c r="J304" s="961"/>
      <c r="K304" s="52">
        <f t="shared" si="57"/>
        <v>1</v>
      </c>
      <c r="L304" s="961"/>
      <c r="M304" s="52">
        <f t="shared" si="58"/>
        <v>1</v>
      </c>
      <c r="N304" s="961"/>
      <c r="O304" s="52">
        <f t="shared" si="59"/>
        <v>1</v>
      </c>
      <c r="P304" s="961"/>
      <c r="Q304" s="52">
        <f t="shared" si="60"/>
        <v>1</v>
      </c>
      <c r="R304" s="489">
        <f t="shared" si="61"/>
        <v>0</v>
      </c>
      <c r="S304" s="798">
        <f t="shared" si="62"/>
        <v>0</v>
      </c>
    </row>
    <row r="305" spans="1:19">
      <c r="A305" s="963"/>
      <c r="B305" s="136"/>
      <c r="C305" s="52">
        <f t="shared" si="53"/>
        <v>1</v>
      </c>
      <c r="D305" s="961"/>
      <c r="E305" s="52">
        <f t="shared" si="54"/>
        <v>1</v>
      </c>
      <c r="F305" s="961"/>
      <c r="G305" s="52">
        <f t="shared" si="55"/>
        <v>1</v>
      </c>
      <c r="H305" s="961"/>
      <c r="I305" s="52">
        <f t="shared" si="56"/>
        <v>1</v>
      </c>
      <c r="J305" s="961"/>
      <c r="K305" s="52">
        <f t="shared" si="57"/>
        <v>1</v>
      </c>
      <c r="L305" s="961"/>
      <c r="M305" s="52">
        <f t="shared" si="58"/>
        <v>1</v>
      </c>
      <c r="N305" s="961"/>
      <c r="O305" s="52">
        <f t="shared" si="59"/>
        <v>1</v>
      </c>
      <c r="P305" s="961"/>
      <c r="Q305" s="52">
        <f t="shared" si="60"/>
        <v>1</v>
      </c>
      <c r="R305" s="489">
        <f t="shared" si="61"/>
        <v>0</v>
      </c>
      <c r="S305" s="798">
        <f t="shared" si="62"/>
        <v>0</v>
      </c>
    </row>
    <row r="306" spans="1:19">
      <c r="A306" s="963"/>
      <c r="B306" s="136"/>
      <c r="C306" s="52">
        <f t="shared" si="53"/>
        <v>1</v>
      </c>
      <c r="D306" s="961"/>
      <c r="E306" s="52">
        <f t="shared" si="54"/>
        <v>1</v>
      </c>
      <c r="F306" s="961"/>
      <c r="G306" s="52">
        <f t="shared" si="55"/>
        <v>1</v>
      </c>
      <c r="H306" s="961"/>
      <c r="I306" s="52">
        <f t="shared" si="56"/>
        <v>1</v>
      </c>
      <c r="J306" s="961"/>
      <c r="K306" s="52">
        <f t="shared" si="57"/>
        <v>1</v>
      </c>
      <c r="L306" s="961"/>
      <c r="M306" s="52">
        <f t="shared" si="58"/>
        <v>1</v>
      </c>
      <c r="N306" s="961"/>
      <c r="O306" s="52">
        <f t="shared" si="59"/>
        <v>1</v>
      </c>
      <c r="P306" s="961"/>
      <c r="Q306" s="52">
        <f t="shared" si="60"/>
        <v>1</v>
      </c>
      <c r="R306" s="489">
        <f t="shared" si="61"/>
        <v>0</v>
      </c>
      <c r="S306" s="798">
        <f t="shared" si="62"/>
        <v>0</v>
      </c>
    </row>
    <row r="307" spans="1:19">
      <c r="A307" s="963"/>
      <c r="B307" s="136"/>
      <c r="C307" s="52">
        <f t="shared" si="53"/>
        <v>1</v>
      </c>
      <c r="D307" s="961"/>
      <c r="E307" s="52">
        <f t="shared" si="54"/>
        <v>1</v>
      </c>
      <c r="F307" s="961"/>
      <c r="G307" s="52">
        <f t="shared" si="55"/>
        <v>1</v>
      </c>
      <c r="H307" s="961"/>
      <c r="I307" s="52">
        <f t="shared" si="56"/>
        <v>1</v>
      </c>
      <c r="J307" s="961"/>
      <c r="K307" s="52">
        <f t="shared" si="57"/>
        <v>1</v>
      </c>
      <c r="L307" s="961"/>
      <c r="M307" s="52">
        <f t="shared" si="58"/>
        <v>1</v>
      </c>
      <c r="N307" s="961"/>
      <c r="O307" s="52">
        <f t="shared" si="59"/>
        <v>1</v>
      </c>
      <c r="P307" s="961"/>
      <c r="Q307" s="52">
        <f t="shared" si="60"/>
        <v>1</v>
      </c>
      <c r="R307" s="489">
        <f t="shared" si="61"/>
        <v>0</v>
      </c>
      <c r="S307" s="798">
        <f t="shared" si="62"/>
        <v>0</v>
      </c>
    </row>
    <row r="308" spans="1:19">
      <c r="A308" s="963"/>
      <c r="B308" s="136"/>
      <c r="C308" s="52">
        <f t="shared" si="53"/>
        <v>1</v>
      </c>
      <c r="D308" s="961"/>
      <c r="E308" s="52">
        <f t="shared" si="54"/>
        <v>1</v>
      </c>
      <c r="F308" s="961"/>
      <c r="G308" s="52">
        <f t="shared" si="55"/>
        <v>1</v>
      </c>
      <c r="H308" s="961"/>
      <c r="I308" s="52">
        <f t="shared" si="56"/>
        <v>1</v>
      </c>
      <c r="J308" s="961"/>
      <c r="K308" s="52">
        <f t="shared" si="57"/>
        <v>1</v>
      </c>
      <c r="L308" s="961"/>
      <c r="M308" s="52">
        <f t="shared" si="58"/>
        <v>1</v>
      </c>
      <c r="N308" s="961"/>
      <c r="O308" s="52">
        <f t="shared" si="59"/>
        <v>1</v>
      </c>
      <c r="P308" s="961"/>
      <c r="Q308" s="52">
        <f t="shared" si="60"/>
        <v>1</v>
      </c>
      <c r="R308" s="489">
        <f t="shared" si="61"/>
        <v>0</v>
      </c>
      <c r="S308" s="798">
        <f t="shared" si="62"/>
        <v>0</v>
      </c>
    </row>
    <row r="309" spans="1:19">
      <c r="A309" s="963"/>
      <c r="B309" s="136"/>
      <c r="C309" s="52">
        <f t="shared" si="53"/>
        <v>1</v>
      </c>
      <c r="D309" s="961"/>
      <c r="E309" s="52">
        <f t="shared" si="54"/>
        <v>1</v>
      </c>
      <c r="F309" s="961"/>
      <c r="G309" s="52">
        <f t="shared" si="55"/>
        <v>1</v>
      </c>
      <c r="H309" s="961"/>
      <c r="I309" s="52">
        <f t="shared" si="56"/>
        <v>1</v>
      </c>
      <c r="J309" s="961"/>
      <c r="K309" s="52">
        <f t="shared" si="57"/>
        <v>1</v>
      </c>
      <c r="L309" s="961"/>
      <c r="M309" s="52">
        <f t="shared" si="58"/>
        <v>1</v>
      </c>
      <c r="N309" s="961"/>
      <c r="O309" s="52">
        <f t="shared" si="59"/>
        <v>1</v>
      </c>
      <c r="P309" s="961"/>
      <c r="Q309" s="52">
        <f t="shared" si="60"/>
        <v>1</v>
      </c>
      <c r="R309" s="489">
        <f t="shared" si="61"/>
        <v>0</v>
      </c>
      <c r="S309" s="798">
        <f t="shared" si="62"/>
        <v>0</v>
      </c>
    </row>
    <row r="310" spans="1:19">
      <c r="A310" s="963"/>
      <c r="B310" s="136"/>
      <c r="C310" s="52">
        <f t="shared" si="53"/>
        <v>1</v>
      </c>
      <c r="D310" s="961"/>
      <c r="E310" s="52">
        <f t="shared" si="54"/>
        <v>1</v>
      </c>
      <c r="F310" s="961"/>
      <c r="G310" s="52">
        <f t="shared" si="55"/>
        <v>1</v>
      </c>
      <c r="H310" s="961"/>
      <c r="I310" s="52">
        <f t="shared" si="56"/>
        <v>1</v>
      </c>
      <c r="J310" s="961"/>
      <c r="K310" s="52">
        <f t="shared" si="57"/>
        <v>1</v>
      </c>
      <c r="L310" s="961"/>
      <c r="M310" s="52">
        <f t="shared" si="58"/>
        <v>1</v>
      </c>
      <c r="N310" s="961"/>
      <c r="O310" s="52">
        <f t="shared" si="59"/>
        <v>1</v>
      </c>
      <c r="P310" s="961"/>
      <c r="Q310" s="52">
        <f t="shared" si="60"/>
        <v>1</v>
      </c>
      <c r="R310" s="489">
        <f t="shared" si="61"/>
        <v>0</v>
      </c>
      <c r="S310" s="798">
        <f t="shared" si="62"/>
        <v>0</v>
      </c>
    </row>
    <row r="311" spans="1:19">
      <c r="A311" s="963"/>
      <c r="B311" s="136"/>
      <c r="C311" s="52">
        <f t="shared" si="53"/>
        <v>1</v>
      </c>
      <c r="D311" s="961"/>
      <c r="E311" s="52">
        <f t="shared" si="54"/>
        <v>1</v>
      </c>
      <c r="F311" s="961"/>
      <c r="G311" s="52">
        <f t="shared" si="55"/>
        <v>1</v>
      </c>
      <c r="H311" s="961"/>
      <c r="I311" s="52">
        <f t="shared" si="56"/>
        <v>1</v>
      </c>
      <c r="J311" s="961"/>
      <c r="K311" s="52">
        <f t="shared" si="57"/>
        <v>1</v>
      </c>
      <c r="L311" s="961"/>
      <c r="M311" s="52">
        <f t="shared" si="58"/>
        <v>1</v>
      </c>
      <c r="N311" s="961"/>
      <c r="O311" s="52">
        <f t="shared" si="59"/>
        <v>1</v>
      </c>
      <c r="P311" s="961"/>
      <c r="Q311" s="52">
        <f t="shared" si="60"/>
        <v>1</v>
      </c>
      <c r="R311" s="489">
        <f t="shared" si="61"/>
        <v>0</v>
      </c>
      <c r="S311" s="798">
        <f t="shared" si="62"/>
        <v>0</v>
      </c>
    </row>
    <row r="312" spans="1:19">
      <c r="A312" s="963"/>
      <c r="B312" s="136"/>
      <c r="C312" s="52">
        <f t="shared" si="53"/>
        <v>1</v>
      </c>
      <c r="D312" s="961"/>
      <c r="E312" s="52">
        <f t="shared" si="54"/>
        <v>1</v>
      </c>
      <c r="F312" s="961"/>
      <c r="G312" s="52">
        <f t="shared" si="55"/>
        <v>1</v>
      </c>
      <c r="H312" s="961"/>
      <c r="I312" s="52">
        <f t="shared" si="56"/>
        <v>1</v>
      </c>
      <c r="J312" s="961"/>
      <c r="K312" s="52">
        <f t="shared" si="57"/>
        <v>1</v>
      </c>
      <c r="L312" s="961"/>
      <c r="M312" s="52">
        <f t="shared" si="58"/>
        <v>1</v>
      </c>
      <c r="N312" s="961"/>
      <c r="O312" s="52">
        <f t="shared" si="59"/>
        <v>1</v>
      </c>
      <c r="P312" s="961"/>
      <c r="Q312" s="52">
        <f t="shared" si="60"/>
        <v>1</v>
      </c>
      <c r="R312" s="489">
        <f t="shared" si="61"/>
        <v>0</v>
      </c>
      <c r="S312" s="798">
        <f t="shared" si="62"/>
        <v>0</v>
      </c>
    </row>
    <row r="313" spans="1:19">
      <c r="A313" s="963"/>
      <c r="B313" s="136"/>
      <c r="C313" s="52">
        <f t="shared" si="53"/>
        <v>1</v>
      </c>
      <c r="D313" s="961"/>
      <c r="E313" s="52">
        <f t="shared" si="54"/>
        <v>1</v>
      </c>
      <c r="F313" s="961"/>
      <c r="G313" s="52">
        <f t="shared" si="55"/>
        <v>1</v>
      </c>
      <c r="H313" s="961"/>
      <c r="I313" s="52">
        <f t="shared" si="56"/>
        <v>1</v>
      </c>
      <c r="J313" s="961"/>
      <c r="K313" s="52">
        <f t="shared" si="57"/>
        <v>1</v>
      </c>
      <c r="L313" s="961"/>
      <c r="M313" s="52">
        <f t="shared" si="58"/>
        <v>1</v>
      </c>
      <c r="N313" s="961"/>
      <c r="O313" s="52">
        <f t="shared" si="59"/>
        <v>1</v>
      </c>
      <c r="P313" s="961"/>
      <c r="Q313" s="52">
        <f t="shared" si="60"/>
        <v>1</v>
      </c>
      <c r="R313" s="489">
        <f t="shared" si="61"/>
        <v>0</v>
      </c>
      <c r="S313" s="798">
        <f t="shared" si="62"/>
        <v>0</v>
      </c>
    </row>
    <row r="314" spans="1:19">
      <c r="A314" s="963"/>
      <c r="B314" s="136"/>
      <c r="C314" s="52">
        <f t="shared" si="53"/>
        <v>1</v>
      </c>
      <c r="D314" s="961"/>
      <c r="E314" s="52">
        <f t="shared" si="54"/>
        <v>1</v>
      </c>
      <c r="F314" s="961"/>
      <c r="G314" s="52">
        <f t="shared" si="55"/>
        <v>1</v>
      </c>
      <c r="H314" s="961"/>
      <c r="I314" s="52">
        <f t="shared" si="56"/>
        <v>1</v>
      </c>
      <c r="J314" s="961"/>
      <c r="K314" s="52">
        <f t="shared" si="57"/>
        <v>1</v>
      </c>
      <c r="L314" s="961"/>
      <c r="M314" s="52">
        <f t="shared" si="58"/>
        <v>1</v>
      </c>
      <c r="N314" s="961"/>
      <c r="O314" s="52">
        <f t="shared" si="59"/>
        <v>1</v>
      </c>
      <c r="P314" s="961"/>
      <c r="Q314" s="52">
        <f t="shared" si="60"/>
        <v>1</v>
      </c>
      <c r="R314" s="489">
        <f t="shared" si="61"/>
        <v>0</v>
      </c>
      <c r="S314" s="798">
        <f t="shared" si="62"/>
        <v>0</v>
      </c>
    </row>
    <row r="315" spans="1:19">
      <c r="A315" s="963"/>
      <c r="B315" s="136"/>
      <c r="C315" s="52">
        <f t="shared" si="53"/>
        <v>1</v>
      </c>
      <c r="D315" s="961"/>
      <c r="E315" s="52">
        <f t="shared" si="54"/>
        <v>1</v>
      </c>
      <c r="F315" s="961"/>
      <c r="G315" s="52">
        <f t="shared" si="55"/>
        <v>1</v>
      </c>
      <c r="H315" s="961"/>
      <c r="I315" s="52">
        <f t="shared" si="56"/>
        <v>1</v>
      </c>
      <c r="J315" s="961"/>
      <c r="K315" s="52">
        <f t="shared" si="57"/>
        <v>1</v>
      </c>
      <c r="L315" s="961"/>
      <c r="M315" s="52">
        <f t="shared" si="58"/>
        <v>1</v>
      </c>
      <c r="N315" s="961"/>
      <c r="O315" s="52">
        <f t="shared" si="59"/>
        <v>1</v>
      </c>
      <c r="P315" s="961"/>
      <c r="Q315" s="52">
        <f t="shared" si="60"/>
        <v>1</v>
      </c>
      <c r="R315" s="489">
        <f t="shared" si="61"/>
        <v>0</v>
      </c>
      <c r="S315" s="798">
        <f t="shared" si="62"/>
        <v>0</v>
      </c>
    </row>
    <row r="316" spans="1:19">
      <c r="A316" s="963"/>
      <c r="B316" s="136"/>
      <c r="C316" s="52">
        <f t="shared" si="53"/>
        <v>1</v>
      </c>
      <c r="D316" s="961"/>
      <c r="E316" s="52">
        <f t="shared" si="54"/>
        <v>1</v>
      </c>
      <c r="F316" s="961"/>
      <c r="G316" s="52">
        <f t="shared" si="55"/>
        <v>1</v>
      </c>
      <c r="H316" s="961"/>
      <c r="I316" s="52">
        <f t="shared" si="56"/>
        <v>1</v>
      </c>
      <c r="J316" s="961"/>
      <c r="K316" s="52">
        <f t="shared" si="57"/>
        <v>1</v>
      </c>
      <c r="L316" s="961"/>
      <c r="M316" s="52">
        <f t="shared" si="58"/>
        <v>1</v>
      </c>
      <c r="N316" s="961"/>
      <c r="O316" s="52">
        <f t="shared" si="59"/>
        <v>1</v>
      </c>
      <c r="P316" s="961"/>
      <c r="Q316" s="52">
        <f t="shared" si="60"/>
        <v>1</v>
      </c>
      <c r="R316" s="489">
        <f t="shared" si="61"/>
        <v>0</v>
      </c>
      <c r="S316" s="798">
        <f t="shared" si="62"/>
        <v>0</v>
      </c>
    </row>
    <row r="317" spans="1:19">
      <c r="A317" s="963"/>
      <c r="B317" s="136"/>
      <c r="C317" s="52">
        <f t="shared" si="53"/>
        <v>1</v>
      </c>
      <c r="D317" s="961"/>
      <c r="E317" s="52">
        <f t="shared" si="54"/>
        <v>1</v>
      </c>
      <c r="F317" s="961"/>
      <c r="G317" s="52">
        <f t="shared" si="55"/>
        <v>1</v>
      </c>
      <c r="H317" s="961"/>
      <c r="I317" s="52">
        <f t="shared" si="56"/>
        <v>1</v>
      </c>
      <c r="J317" s="961"/>
      <c r="K317" s="52">
        <f t="shared" si="57"/>
        <v>1</v>
      </c>
      <c r="L317" s="961"/>
      <c r="M317" s="52">
        <f t="shared" si="58"/>
        <v>1</v>
      </c>
      <c r="N317" s="961"/>
      <c r="O317" s="52">
        <f t="shared" si="59"/>
        <v>1</v>
      </c>
      <c r="P317" s="961"/>
      <c r="Q317" s="52">
        <f t="shared" si="60"/>
        <v>1</v>
      </c>
      <c r="R317" s="489">
        <f t="shared" si="61"/>
        <v>0</v>
      </c>
      <c r="S317" s="798">
        <f t="shared" si="62"/>
        <v>0</v>
      </c>
    </row>
    <row r="318" spans="1:19">
      <c r="A318" s="963"/>
      <c r="B318" s="136"/>
      <c r="C318" s="52">
        <f t="shared" si="53"/>
        <v>1</v>
      </c>
      <c r="D318" s="961"/>
      <c r="E318" s="52">
        <f t="shared" si="54"/>
        <v>1</v>
      </c>
      <c r="F318" s="961"/>
      <c r="G318" s="52">
        <f t="shared" si="55"/>
        <v>1</v>
      </c>
      <c r="H318" s="961"/>
      <c r="I318" s="52">
        <f t="shared" si="56"/>
        <v>1</v>
      </c>
      <c r="J318" s="961"/>
      <c r="K318" s="52">
        <f t="shared" si="57"/>
        <v>1</v>
      </c>
      <c r="L318" s="961"/>
      <c r="M318" s="52">
        <f t="shared" si="58"/>
        <v>1</v>
      </c>
      <c r="N318" s="961"/>
      <c r="O318" s="52">
        <f t="shared" si="59"/>
        <v>1</v>
      </c>
      <c r="P318" s="961"/>
      <c r="Q318" s="52">
        <f t="shared" si="60"/>
        <v>1</v>
      </c>
      <c r="R318" s="489">
        <f t="shared" si="61"/>
        <v>0</v>
      </c>
      <c r="S318" s="798">
        <f t="shared" si="62"/>
        <v>0</v>
      </c>
    </row>
    <row r="319" spans="1:19">
      <c r="A319" s="963"/>
      <c r="B319" s="136"/>
      <c r="C319" s="52">
        <f t="shared" si="53"/>
        <v>1</v>
      </c>
      <c r="D319" s="961"/>
      <c r="E319" s="52">
        <f t="shared" si="54"/>
        <v>1</v>
      </c>
      <c r="F319" s="961"/>
      <c r="G319" s="52">
        <f t="shared" si="55"/>
        <v>1</v>
      </c>
      <c r="H319" s="961"/>
      <c r="I319" s="52">
        <f t="shared" si="56"/>
        <v>1</v>
      </c>
      <c r="J319" s="961"/>
      <c r="K319" s="52">
        <f t="shared" si="57"/>
        <v>1</v>
      </c>
      <c r="L319" s="961"/>
      <c r="M319" s="52">
        <f t="shared" si="58"/>
        <v>1</v>
      </c>
      <c r="N319" s="961"/>
      <c r="O319" s="52">
        <f t="shared" si="59"/>
        <v>1</v>
      </c>
      <c r="P319" s="961"/>
      <c r="Q319" s="52">
        <f t="shared" si="60"/>
        <v>1</v>
      </c>
      <c r="R319" s="489">
        <f t="shared" si="61"/>
        <v>0</v>
      </c>
      <c r="S319" s="798">
        <f t="shared" si="62"/>
        <v>0</v>
      </c>
    </row>
    <row r="320" spans="1:19">
      <c r="A320" s="963"/>
      <c r="B320" s="136"/>
      <c r="C320" s="52">
        <f t="shared" si="53"/>
        <v>1</v>
      </c>
      <c r="D320" s="961"/>
      <c r="E320" s="52">
        <f t="shared" si="54"/>
        <v>1</v>
      </c>
      <c r="F320" s="961"/>
      <c r="G320" s="52">
        <f t="shared" si="55"/>
        <v>1</v>
      </c>
      <c r="H320" s="961"/>
      <c r="I320" s="52">
        <f t="shared" si="56"/>
        <v>1</v>
      </c>
      <c r="J320" s="961"/>
      <c r="K320" s="52">
        <f t="shared" si="57"/>
        <v>1</v>
      </c>
      <c r="L320" s="961"/>
      <c r="M320" s="52">
        <f t="shared" si="58"/>
        <v>1</v>
      </c>
      <c r="N320" s="961"/>
      <c r="O320" s="52">
        <f t="shared" si="59"/>
        <v>1</v>
      </c>
      <c r="P320" s="961"/>
      <c r="Q320" s="52">
        <f t="shared" si="60"/>
        <v>1</v>
      </c>
      <c r="R320" s="489">
        <f t="shared" si="61"/>
        <v>0</v>
      </c>
      <c r="S320" s="798">
        <f t="shared" si="62"/>
        <v>0</v>
      </c>
    </row>
    <row r="321" spans="1:19">
      <c r="A321" s="963"/>
      <c r="B321" s="136"/>
      <c r="C321" s="52">
        <f t="shared" si="53"/>
        <v>1</v>
      </c>
      <c r="D321" s="961"/>
      <c r="E321" s="52">
        <f t="shared" si="54"/>
        <v>1</v>
      </c>
      <c r="F321" s="961"/>
      <c r="G321" s="52">
        <f t="shared" si="55"/>
        <v>1</v>
      </c>
      <c r="H321" s="961"/>
      <c r="I321" s="52">
        <f t="shared" si="56"/>
        <v>1</v>
      </c>
      <c r="J321" s="961"/>
      <c r="K321" s="52">
        <f t="shared" si="57"/>
        <v>1</v>
      </c>
      <c r="L321" s="961"/>
      <c r="M321" s="52">
        <f t="shared" si="58"/>
        <v>1</v>
      </c>
      <c r="N321" s="961"/>
      <c r="O321" s="52">
        <f t="shared" si="59"/>
        <v>1</v>
      </c>
      <c r="P321" s="961"/>
      <c r="Q321" s="52">
        <f t="shared" si="60"/>
        <v>1</v>
      </c>
      <c r="R321" s="489">
        <f t="shared" si="61"/>
        <v>0</v>
      </c>
      <c r="S321" s="798">
        <f t="shared" ref="S321:S384" si="63">ROUND(R321*B321/10000,0)</f>
        <v>0</v>
      </c>
    </row>
    <row r="322" spans="1:19">
      <c r="A322" s="963"/>
      <c r="B322" s="136"/>
      <c r="C322" s="52">
        <f t="shared" si="53"/>
        <v>1</v>
      </c>
      <c r="D322" s="961"/>
      <c r="E322" s="52">
        <f t="shared" si="54"/>
        <v>1</v>
      </c>
      <c r="F322" s="961"/>
      <c r="G322" s="52">
        <f t="shared" si="55"/>
        <v>1</v>
      </c>
      <c r="H322" s="961"/>
      <c r="I322" s="52">
        <f t="shared" si="56"/>
        <v>1</v>
      </c>
      <c r="J322" s="961"/>
      <c r="K322" s="52">
        <f t="shared" si="57"/>
        <v>1</v>
      </c>
      <c r="L322" s="961"/>
      <c r="M322" s="52">
        <f t="shared" si="58"/>
        <v>1</v>
      </c>
      <c r="N322" s="961"/>
      <c r="O322" s="52">
        <f t="shared" si="59"/>
        <v>1</v>
      </c>
      <c r="P322" s="961"/>
      <c r="Q322" s="52">
        <f t="shared" si="60"/>
        <v>1</v>
      </c>
      <c r="R322" s="489">
        <f t="shared" si="61"/>
        <v>0</v>
      </c>
      <c r="S322" s="798">
        <f t="shared" si="63"/>
        <v>0</v>
      </c>
    </row>
    <row r="323" spans="1:19">
      <c r="A323" s="963"/>
      <c r="B323" s="136"/>
      <c r="C323" s="52">
        <f t="shared" si="53"/>
        <v>1</v>
      </c>
      <c r="D323" s="961"/>
      <c r="E323" s="52">
        <f t="shared" si="54"/>
        <v>1</v>
      </c>
      <c r="F323" s="961"/>
      <c r="G323" s="52">
        <f t="shared" si="55"/>
        <v>1</v>
      </c>
      <c r="H323" s="961"/>
      <c r="I323" s="52">
        <f t="shared" si="56"/>
        <v>1</v>
      </c>
      <c r="J323" s="961"/>
      <c r="K323" s="52">
        <f t="shared" si="57"/>
        <v>1</v>
      </c>
      <c r="L323" s="961"/>
      <c r="M323" s="52">
        <f t="shared" si="58"/>
        <v>1</v>
      </c>
      <c r="N323" s="961"/>
      <c r="O323" s="52">
        <f t="shared" si="59"/>
        <v>1</v>
      </c>
      <c r="P323" s="961"/>
      <c r="Q323" s="52">
        <f t="shared" si="60"/>
        <v>1</v>
      </c>
      <c r="R323" s="489">
        <f t="shared" si="61"/>
        <v>0</v>
      </c>
      <c r="S323" s="798">
        <f t="shared" si="63"/>
        <v>0</v>
      </c>
    </row>
    <row r="324" spans="1:19">
      <c r="A324" s="963"/>
      <c r="B324" s="136"/>
      <c r="C324" s="52">
        <f t="shared" si="53"/>
        <v>1</v>
      </c>
      <c r="D324" s="961"/>
      <c r="E324" s="52">
        <f t="shared" si="54"/>
        <v>1</v>
      </c>
      <c r="F324" s="961"/>
      <c r="G324" s="52">
        <f t="shared" si="55"/>
        <v>1</v>
      </c>
      <c r="H324" s="961"/>
      <c r="I324" s="52">
        <f t="shared" si="56"/>
        <v>1</v>
      </c>
      <c r="J324" s="961"/>
      <c r="K324" s="52">
        <f t="shared" si="57"/>
        <v>1</v>
      </c>
      <c r="L324" s="961"/>
      <c r="M324" s="52">
        <f t="shared" si="58"/>
        <v>1</v>
      </c>
      <c r="N324" s="961"/>
      <c r="O324" s="52">
        <f t="shared" si="59"/>
        <v>1</v>
      </c>
      <c r="P324" s="961"/>
      <c r="Q324" s="52">
        <f t="shared" si="60"/>
        <v>1</v>
      </c>
      <c r="R324" s="489">
        <f t="shared" si="61"/>
        <v>0</v>
      </c>
      <c r="S324" s="798">
        <f t="shared" si="63"/>
        <v>0</v>
      </c>
    </row>
    <row r="325" spans="1:19">
      <c r="A325" s="963"/>
      <c r="B325" s="136"/>
      <c r="C325" s="52">
        <f t="shared" si="53"/>
        <v>1</v>
      </c>
      <c r="D325" s="961"/>
      <c r="E325" s="52">
        <f t="shared" si="54"/>
        <v>1</v>
      </c>
      <c r="F325" s="961"/>
      <c r="G325" s="52">
        <f t="shared" si="55"/>
        <v>1</v>
      </c>
      <c r="H325" s="961"/>
      <c r="I325" s="52">
        <f t="shared" si="56"/>
        <v>1</v>
      </c>
      <c r="J325" s="961"/>
      <c r="K325" s="52">
        <f t="shared" si="57"/>
        <v>1</v>
      </c>
      <c r="L325" s="961"/>
      <c r="M325" s="52">
        <f t="shared" si="58"/>
        <v>1</v>
      </c>
      <c r="N325" s="961"/>
      <c r="O325" s="52">
        <f t="shared" si="59"/>
        <v>1</v>
      </c>
      <c r="P325" s="961"/>
      <c r="Q325" s="52">
        <f t="shared" si="60"/>
        <v>1</v>
      </c>
      <c r="R325" s="489">
        <f t="shared" si="61"/>
        <v>0</v>
      </c>
      <c r="S325" s="798">
        <f t="shared" si="63"/>
        <v>0</v>
      </c>
    </row>
    <row r="326" spans="1:19">
      <c r="A326" s="963"/>
      <c r="B326" s="136"/>
      <c r="C326" s="52">
        <f t="shared" si="53"/>
        <v>1</v>
      </c>
      <c r="D326" s="961"/>
      <c r="E326" s="52">
        <f t="shared" si="54"/>
        <v>1</v>
      </c>
      <c r="F326" s="961"/>
      <c r="G326" s="52">
        <f t="shared" si="55"/>
        <v>1</v>
      </c>
      <c r="H326" s="961"/>
      <c r="I326" s="52">
        <f t="shared" si="56"/>
        <v>1</v>
      </c>
      <c r="J326" s="961"/>
      <c r="K326" s="52">
        <f t="shared" si="57"/>
        <v>1</v>
      </c>
      <c r="L326" s="961"/>
      <c r="M326" s="52">
        <f t="shared" si="58"/>
        <v>1</v>
      </c>
      <c r="N326" s="961"/>
      <c r="O326" s="52">
        <f t="shared" si="59"/>
        <v>1</v>
      </c>
      <c r="P326" s="961"/>
      <c r="Q326" s="52">
        <f t="shared" si="60"/>
        <v>1</v>
      </c>
      <c r="R326" s="489">
        <f t="shared" si="61"/>
        <v>0</v>
      </c>
      <c r="S326" s="798">
        <f t="shared" si="63"/>
        <v>0</v>
      </c>
    </row>
    <row r="327" spans="1:19">
      <c r="A327" s="963"/>
      <c r="B327" s="136"/>
      <c r="C327" s="52">
        <f t="shared" si="53"/>
        <v>1</v>
      </c>
      <c r="D327" s="961"/>
      <c r="E327" s="52">
        <f t="shared" si="54"/>
        <v>1</v>
      </c>
      <c r="F327" s="961"/>
      <c r="G327" s="52">
        <f t="shared" si="55"/>
        <v>1</v>
      </c>
      <c r="H327" s="961"/>
      <c r="I327" s="52">
        <f t="shared" si="56"/>
        <v>1</v>
      </c>
      <c r="J327" s="961"/>
      <c r="K327" s="52">
        <f t="shared" si="57"/>
        <v>1</v>
      </c>
      <c r="L327" s="961"/>
      <c r="M327" s="52">
        <f t="shared" si="58"/>
        <v>1</v>
      </c>
      <c r="N327" s="961"/>
      <c r="O327" s="52">
        <f t="shared" si="59"/>
        <v>1</v>
      </c>
      <c r="P327" s="961"/>
      <c r="Q327" s="52">
        <f t="shared" si="60"/>
        <v>1</v>
      </c>
      <c r="R327" s="489">
        <f t="shared" si="61"/>
        <v>0</v>
      </c>
      <c r="S327" s="798">
        <f t="shared" si="63"/>
        <v>0</v>
      </c>
    </row>
    <row r="328" spans="1:19">
      <c r="A328" s="963"/>
      <c r="B328" s="136"/>
      <c r="C328" s="52">
        <f t="shared" si="53"/>
        <v>1</v>
      </c>
      <c r="D328" s="961"/>
      <c r="E328" s="52">
        <f t="shared" si="54"/>
        <v>1</v>
      </c>
      <c r="F328" s="961"/>
      <c r="G328" s="52">
        <f t="shared" si="55"/>
        <v>1</v>
      </c>
      <c r="H328" s="961"/>
      <c r="I328" s="52">
        <f t="shared" si="56"/>
        <v>1</v>
      </c>
      <c r="J328" s="961"/>
      <c r="K328" s="52">
        <f t="shared" si="57"/>
        <v>1</v>
      </c>
      <c r="L328" s="961"/>
      <c r="M328" s="52">
        <f t="shared" si="58"/>
        <v>1</v>
      </c>
      <c r="N328" s="961"/>
      <c r="O328" s="52">
        <f t="shared" si="59"/>
        <v>1</v>
      </c>
      <c r="P328" s="961"/>
      <c r="Q328" s="52">
        <f t="shared" si="60"/>
        <v>1</v>
      </c>
      <c r="R328" s="489">
        <f t="shared" si="61"/>
        <v>0</v>
      </c>
      <c r="S328" s="798">
        <f t="shared" si="63"/>
        <v>0</v>
      </c>
    </row>
    <row r="329" spans="1:19">
      <c r="A329" s="963"/>
      <c r="B329" s="136"/>
      <c r="C329" s="52">
        <f t="shared" si="53"/>
        <v>1</v>
      </c>
      <c r="D329" s="961"/>
      <c r="E329" s="52">
        <f t="shared" si="54"/>
        <v>1</v>
      </c>
      <c r="F329" s="961"/>
      <c r="G329" s="52">
        <f t="shared" si="55"/>
        <v>1</v>
      </c>
      <c r="H329" s="961"/>
      <c r="I329" s="52">
        <f t="shared" si="56"/>
        <v>1</v>
      </c>
      <c r="J329" s="961"/>
      <c r="K329" s="52">
        <f t="shared" si="57"/>
        <v>1</v>
      </c>
      <c r="L329" s="961"/>
      <c r="M329" s="52">
        <f t="shared" si="58"/>
        <v>1</v>
      </c>
      <c r="N329" s="961"/>
      <c r="O329" s="52">
        <f t="shared" si="59"/>
        <v>1</v>
      </c>
      <c r="P329" s="961"/>
      <c r="Q329" s="52">
        <f t="shared" si="60"/>
        <v>1</v>
      </c>
      <c r="R329" s="489">
        <f t="shared" si="61"/>
        <v>0</v>
      </c>
      <c r="S329" s="798">
        <f t="shared" si="63"/>
        <v>0</v>
      </c>
    </row>
    <row r="330" spans="1:19">
      <c r="A330" s="963"/>
      <c r="B330" s="136"/>
      <c r="C330" s="52">
        <f t="shared" si="53"/>
        <v>1</v>
      </c>
      <c r="D330" s="961"/>
      <c r="E330" s="52">
        <f t="shared" si="54"/>
        <v>1</v>
      </c>
      <c r="F330" s="961"/>
      <c r="G330" s="52">
        <f t="shared" si="55"/>
        <v>1</v>
      </c>
      <c r="H330" s="961"/>
      <c r="I330" s="52">
        <f t="shared" si="56"/>
        <v>1</v>
      </c>
      <c r="J330" s="961"/>
      <c r="K330" s="52">
        <f t="shared" si="57"/>
        <v>1</v>
      </c>
      <c r="L330" s="961"/>
      <c r="M330" s="52">
        <f t="shared" si="58"/>
        <v>1</v>
      </c>
      <c r="N330" s="961"/>
      <c r="O330" s="52">
        <f t="shared" si="59"/>
        <v>1</v>
      </c>
      <c r="P330" s="961"/>
      <c r="Q330" s="52">
        <f t="shared" si="60"/>
        <v>1</v>
      </c>
      <c r="R330" s="489">
        <f t="shared" si="61"/>
        <v>0</v>
      </c>
      <c r="S330" s="798">
        <f t="shared" si="63"/>
        <v>0</v>
      </c>
    </row>
    <row r="331" spans="1:19">
      <c r="A331" s="963"/>
      <c r="B331" s="136"/>
      <c r="C331" s="52">
        <f t="shared" si="53"/>
        <v>1</v>
      </c>
      <c r="D331" s="961"/>
      <c r="E331" s="52">
        <f t="shared" si="54"/>
        <v>1</v>
      </c>
      <c r="F331" s="961"/>
      <c r="G331" s="52">
        <f t="shared" si="55"/>
        <v>1</v>
      </c>
      <c r="H331" s="961"/>
      <c r="I331" s="52">
        <f t="shared" si="56"/>
        <v>1</v>
      </c>
      <c r="J331" s="961"/>
      <c r="K331" s="52">
        <f t="shared" si="57"/>
        <v>1</v>
      </c>
      <c r="L331" s="961"/>
      <c r="M331" s="52">
        <f t="shared" si="58"/>
        <v>1</v>
      </c>
      <c r="N331" s="961"/>
      <c r="O331" s="52">
        <f t="shared" si="59"/>
        <v>1</v>
      </c>
      <c r="P331" s="961"/>
      <c r="Q331" s="52">
        <f t="shared" si="60"/>
        <v>1</v>
      </c>
      <c r="R331" s="489">
        <f t="shared" si="61"/>
        <v>0</v>
      </c>
      <c r="S331" s="798">
        <f t="shared" si="63"/>
        <v>0</v>
      </c>
    </row>
    <row r="332" spans="1:19">
      <c r="A332" s="963"/>
      <c r="B332" s="136"/>
      <c r="C332" s="52">
        <f t="shared" si="53"/>
        <v>1</v>
      </c>
      <c r="D332" s="961"/>
      <c r="E332" s="52">
        <f t="shared" si="54"/>
        <v>1</v>
      </c>
      <c r="F332" s="961"/>
      <c r="G332" s="52">
        <f t="shared" si="55"/>
        <v>1</v>
      </c>
      <c r="H332" s="961"/>
      <c r="I332" s="52">
        <f t="shared" si="56"/>
        <v>1</v>
      </c>
      <c r="J332" s="961"/>
      <c r="K332" s="52">
        <f t="shared" si="57"/>
        <v>1</v>
      </c>
      <c r="L332" s="961"/>
      <c r="M332" s="52">
        <f t="shared" si="58"/>
        <v>1</v>
      </c>
      <c r="N332" s="961"/>
      <c r="O332" s="52">
        <f t="shared" si="59"/>
        <v>1</v>
      </c>
      <c r="P332" s="961"/>
      <c r="Q332" s="52">
        <f t="shared" si="60"/>
        <v>1</v>
      </c>
      <c r="R332" s="489">
        <f t="shared" si="61"/>
        <v>0</v>
      </c>
      <c r="S332" s="798">
        <f t="shared" si="63"/>
        <v>0</v>
      </c>
    </row>
    <row r="333" spans="1:19">
      <c r="A333" s="963"/>
      <c r="B333" s="136"/>
      <c r="C333" s="52">
        <f t="shared" si="53"/>
        <v>1</v>
      </c>
      <c r="D333" s="961"/>
      <c r="E333" s="52">
        <f t="shared" si="54"/>
        <v>1</v>
      </c>
      <c r="F333" s="961"/>
      <c r="G333" s="52">
        <f t="shared" si="55"/>
        <v>1</v>
      </c>
      <c r="H333" s="961"/>
      <c r="I333" s="52">
        <f t="shared" si="56"/>
        <v>1</v>
      </c>
      <c r="J333" s="961"/>
      <c r="K333" s="52">
        <f t="shared" si="57"/>
        <v>1</v>
      </c>
      <c r="L333" s="961"/>
      <c r="M333" s="52">
        <f t="shared" si="58"/>
        <v>1</v>
      </c>
      <c r="N333" s="961"/>
      <c r="O333" s="52">
        <f t="shared" si="59"/>
        <v>1</v>
      </c>
      <c r="P333" s="961"/>
      <c r="Q333" s="52">
        <f t="shared" si="60"/>
        <v>1</v>
      </c>
      <c r="R333" s="489">
        <f t="shared" si="61"/>
        <v>0</v>
      </c>
      <c r="S333" s="798">
        <f t="shared" si="63"/>
        <v>0</v>
      </c>
    </row>
    <row r="334" spans="1:19">
      <c r="A334" s="963"/>
      <c r="B334" s="136"/>
      <c r="C334" s="52">
        <f t="shared" si="53"/>
        <v>1</v>
      </c>
      <c r="D334" s="961"/>
      <c r="E334" s="52">
        <f t="shared" si="54"/>
        <v>1</v>
      </c>
      <c r="F334" s="961"/>
      <c r="G334" s="52">
        <f t="shared" si="55"/>
        <v>1</v>
      </c>
      <c r="H334" s="961"/>
      <c r="I334" s="52">
        <f t="shared" si="56"/>
        <v>1</v>
      </c>
      <c r="J334" s="961"/>
      <c r="K334" s="52">
        <f t="shared" si="57"/>
        <v>1</v>
      </c>
      <c r="L334" s="961"/>
      <c r="M334" s="52">
        <f t="shared" si="58"/>
        <v>1</v>
      </c>
      <c r="N334" s="961"/>
      <c r="O334" s="52">
        <f t="shared" si="59"/>
        <v>1</v>
      </c>
      <c r="P334" s="961"/>
      <c r="Q334" s="52">
        <f t="shared" si="60"/>
        <v>1</v>
      </c>
      <c r="R334" s="489">
        <f t="shared" si="61"/>
        <v>0</v>
      </c>
      <c r="S334" s="798">
        <f t="shared" si="63"/>
        <v>0</v>
      </c>
    </row>
    <row r="335" spans="1:19">
      <c r="A335" s="963"/>
      <c r="B335" s="136"/>
      <c r="C335" s="52">
        <f t="shared" si="53"/>
        <v>1</v>
      </c>
      <c r="D335" s="961"/>
      <c r="E335" s="52">
        <f t="shared" si="54"/>
        <v>1</v>
      </c>
      <c r="F335" s="961"/>
      <c r="G335" s="52">
        <f t="shared" si="55"/>
        <v>1</v>
      </c>
      <c r="H335" s="961"/>
      <c r="I335" s="52">
        <f t="shared" si="56"/>
        <v>1</v>
      </c>
      <c r="J335" s="961"/>
      <c r="K335" s="52">
        <f t="shared" si="57"/>
        <v>1</v>
      </c>
      <c r="L335" s="961"/>
      <c r="M335" s="52">
        <f t="shared" si="58"/>
        <v>1</v>
      </c>
      <c r="N335" s="961"/>
      <c r="O335" s="52">
        <f t="shared" si="59"/>
        <v>1</v>
      </c>
      <c r="P335" s="961"/>
      <c r="Q335" s="52">
        <f t="shared" si="60"/>
        <v>1</v>
      </c>
      <c r="R335" s="489">
        <f t="shared" si="61"/>
        <v>0</v>
      </c>
      <c r="S335" s="798">
        <f t="shared" si="63"/>
        <v>0</v>
      </c>
    </row>
    <row r="336" spans="1:19">
      <c r="A336" s="963"/>
      <c r="B336" s="136"/>
      <c r="C336" s="52">
        <f t="shared" si="53"/>
        <v>1</v>
      </c>
      <c r="D336" s="961"/>
      <c r="E336" s="52">
        <f t="shared" si="54"/>
        <v>1</v>
      </c>
      <c r="F336" s="961"/>
      <c r="G336" s="52">
        <f t="shared" si="55"/>
        <v>1</v>
      </c>
      <c r="H336" s="961"/>
      <c r="I336" s="52">
        <f t="shared" si="56"/>
        <v>1</v>
      </c>
      <c r="J336" s="961"/>
      <c r="K336" s="52">
        <f t="shared" si="57"/>
        <v>1</v>
      </c>
      <c r="L336" s="961"/>
      <c r="M336" s="52">
        <f t="shared" si="58"/>
        <v>1</v>
      </c>
      <c r="N336" s="961"/>
      <c r="O336" s="52">
        <f t="shared" si="59"/>
        <v>1</v>
      </c>
      <c r="P336" s="961"/>
      <c r="Q336" s="52">
        <f t="shared" si="60"/>
        <v>1</v>
      </c>
      <c r="R336" s="489">
        <f t="shared" si="61"/>
        <v>0</v>
      </c>
      <c r="S336" s="798">
        <f t="shared" si="63"/>
        <v>0</v>
      </c>
    </row>
    <row r="337" spans="1:19">
      <c r="A337" s="963"/>
      <c r="B337" s="136"/>
      <c r="C337" s="52">
        <f t="shared" si="53"/>
        <v>1</v>
      </c>
      <c r="D337" s="961"/>
      <c r="E337" s="52">
        <f t="shared" si="54"/>
        <v>1</v>
      </c>
      <c r="F337" s="961"/>
      <c r="G337" s="52">
        <f t="shared" si="55"/>
        <v>1</v>
      </c>
      <c r="H337" s="961"/>
      <c r="I337" s="52">
        <f t="shared" si="56"/>
        <v>1</v>
      </c>
      <c r="J337" s="961"/>
      <c r="K337" s="52">
        <f t="shared" si="57"/>
        <v>1</v>
      </c>
      <c r="L337" s="961"/>
      <c r="M337" s="52">
        <f t="shared" si="58"/>
        <v>1</v>
      </c>
      <c r="N337" s="961"/>
      <c r="O337" s="52">
        <f t="shared" si="59"/>
        <v>1</v>
      </c>
      <c r="P337" s="961"/>
      <c r="Q337" s="52">
        <f t="shared" si="60"/>
        <v>1</v>
      </c>
      <c r="R337" s="489">
        <f t="shared" si="61"/>
        <v>0</v>
      </c>
      <c r="S337" s="798">
        <f t="shared" si="63"/>
        <v>0</v>
      </c>
    </row>
    <row r="338" spans="1:19">
      <c r="A338" s="963"/>
      <c r="B338" s="136"/>
      <c r="C338" s="52">
        <f t="shared" si="53"/>
        <v>1</v>
      </c>
      <c r="D338" s="961"/>
      <c r="E338" s="52">
        <f t="shared" si="54"/>
        <v>1</v>
      </c>
      <c r="F338" s="961"/>
      <c r="G338" s="52">
        <f t="shared" si="55"/>
        <v>1</v>
      </c>
      <c r="H338" s="961"/>
      <c r="I338" s="52">
        <f t="shared" si="56"/>
        <v>1</v>
      </c>
      <c r="J338" s="961"/>
      <c r="K338" s="52">
        <f t="shared" si="57"/>
        <v>1</v>
      </c>
      <c r="L338" s="961"/>
      <c r="M338" s="52">
        <f t="shared" si="58"/>
        <v>1</v>
      </c>
      <c r="N338" s="961"/>
      <c r="O338" s="52">
        <f t="shared" si="59"/>
        <v>1</v>
      </c>
      <c r="P338" s="961"/>
      <c r="Q338" s="52">
        <f t="shared" si="60"/>
        <v>1</v>
      </c>
      <c r="R338" s="489">
        <f t="shared" si="61"/>
        <v>0</v>
      </c>
      <c r="S338" s="798">
        <f t="shared" si="63"/>
        <v>0</v>
      </c>
    </row>
    <row r="339" spans="1:19">
      <c r="A339" s="963"/>
      <c r="B339" s="136"/>
      <c r="C339" s="52">
        <f t="shared" si="53"/>
        <v>1</v>
      </c>
      <c r="D339" s="961"/>
      <c r="E339" s="52">
        <f t="shared" si="54"/>
        <v>1</v>
      </c>
      <c r="F339" s="961"/>
      <c r="G339" s="52">
        <f t="shared" si="55"/>
        <v>1</v>
      </c>
      <c r="H339" s="961"/>
      <c r="I339" s="52">
        <f t="shared" si="56"/>
        <v>1</v>
      </c>
      <c r="J339" s="961"/>
      <c r="K339" s="52">
        <f t="shared" si="57"/>
        <v>1</v>
      </c>
      <c r="L339" s="961"/>
      <c r="M339" s="52">
        <f t="shared" si="58"/>
        <v>1</v>
      </c>
      <c r="N339" s="961"/>
      <c r="O339" s="52">
        <f t="shared" si="59"/>
        <v>1</v>
      </c>
      <c r="P339" s="961"/>
      <c r="Q339" s="52">
        <f t="shared" si="60"/>
        <v>1</v>
      </c>
      <c r="R339" s="489">
        <f t="shared" si="61"/>
        <v>0</v>
      </c>
      <c r="S339" s="798">
        <f t="shared" si="63"/>
        <v>0</v>
      </c>
    </row>
    <row r="340" spans="1:19">
      <c r="A340" s="963"/>
      <c r="B340" s="136"/>
      <c r="C340" s="52">
        <f t="shared" si="53"/>
        <v>1</v>
      </c>
      <c r="D340" s="961"/>
      <c r="E340" s="52">
        <f t="shared" si="54"/>
        <v>1</v>
      </c>
      <c r="F340" s="961"/>
      <c r="G340" s="52">
        <f t="shared" si="55"/>
        <v>1</v>
      </c>
      <c r="H340" s="961"/>
      <c r="I340" s="52">
        <f t="shared" si="56"/>
        <v>1</v>
      </c>
      <c r="J340" s="961"/>
      <c r="K340" s="52">
        <f t="shared" si="57"/>
        <v>1</v>
      </c>
      <c r="L340" s="961"/>
      <c r="M340" s="52">
        <f t="shared" si="58"/>
        <v>1</v>
      </c>
      <c r="N340" s="961"/>
      <c r="O340" s="52">
        <f t="shared" si="59"/>
        <v>1</v>
      </c>
      <c r="P340" s="961"/>
      <c r="Q340" s="52">
        <f t="shared" si="60"/>
        <v>1</v>
      </c>
      <c r="R340" s="489">
        <f t="shared" si="61"/>
        <v>0</v>
      </c>
      <c r="S340" s="798">
        <f t="shared" si="63"/>
        <v>0</v>
      </c>
    </row>
    <row r="341" spans="1:19">
      <c r="A341" s="963"/>
      <c r="B341" s="136"/>
      <c r="C341" s="52">
        <f t="shared" si="53"/>
        <v>1</v>
      </c>
      <c r="D341" s="961"/>
      <c r="E341" s="52">
        <f t="shared" si="54"/>
        <v>1</v>
      </c>
      <c r="F341" s="961"/>
      <c r="G341" s="52">
        <f t="shared" si="55"/>
        <v>1</v>
      </c>
      <c r="H341" s="961"/>
      <c r="I341" s="52">
        <f t="shared" si="56"/>
        <v>1</v>
      </c>
      <c r="J341" s="961"/>
      <c r="K341" s="52">
        <f t="shared" si="57"/>
        <v>1</v>
      </c>
      <c r="L341" s="961"/>
      <c r="M341" s="52">
        <f t="shared" si="58"/>
        <v>1</v>
      </c>
      <c r="N341" s="961"/>
      <c r="O341" s="52">
        <f t="shared" si="59"/>
        <v>1</v>
      </c>
      <c r="P341" s="961"/>
      <c r="Q341" s="52">
        <f t="shared" si="60"/>
        <v>1</v>
      </c>
      <c r="R341" s="489">
        <f t="shared" si="61"/>
        <v>0</v>
      </c>
      <c r="S341" s="798">
        <f t="shared" si="63"/>
        <v>0</v>
      </c>
    </row>
    <row r="342" spans="1:19">
      <c r="A342" s="963"/>
      <c r="B342" s="136"/>
      <c r="C342" s="52">
        <f t="shared" si="53"/>
        <v>1</v>
      </c>
      <c r="D342" s="961"/>
      <c r="E342" s="52">
        <f t="shared" si="54"/>
        <v>1</v>
      </c>
      <c r="F342" s="961"/>
      <c r="G342" s="52">
        <f t="shared" si="55"/>
        <v>1</v>
      </c>
      <c r="H342" s="961"/>
      <c r="I342" s="52">
        <f t="shared" si="56"/>
        <v>1</v>
      </c>
      <c r="J342" s="961"/>
      <c r="K342" s="52">
        <f t="shared" si="57"/>
        <v>1</v>
      </c>
      <c r="L342" s="961"/>
      <c r="M342" s="52">
        <f t="shared" si="58"/>
        <v>1</v>
      </c>
      <c r="N342" s="961"/>
      <c r="O342" s="52">
        <f t="shared" si="59"/>
        <v>1</v>
      </c>
      <c r="P342" s="961"/>
      <c r="Q342" s="52">
        <f t="shared" si="60"/>
        <v>1</v>
      </c>
      <c r="R342" s="489">
        <f t="shared" si="61"/>
        <v>0</v>
      </c>
      <c r="S342" s="798">
        <f t="shared" si="63"/>
        <v>0</v>
      </c>
    </row>
    <row r="343" spans="1:19">
      <c r="A343" s="963"/>
      <c r="B343" s="136"/>
      <c r="C343" s="52">
        <f t="shared" si="53"/>
        <v>1</v>
      </c>
      <c r="D343" s="961"/>
      <c r="E343" s="52">
        <f t="shared" si="54"/>
        <v>1</v>
      </c>
      <c r="F343" s="961"/>
      <c r="G343" s="52">
        <f t="shared" si="55"/>
        <v>1</v>
      </c>
      <c r="H343" s="961"/>
      <c r="I343" s="52">
        <f t="shared" si="56"/>
        <v>1</v>
      </c>
      <c r="J343" s="961"/>
      <c r="K343" s="52">
        <f t="shared" si="57"/>
        <v>1</v>
      </c>
      <c r="L343" s="961"/>
      <c r="M343" s="52">
        <f t="shared" si="58"/>
        <v>1</v>
      </c>
      <c r="N343" s="961"/>
      <c r="O343" s="52">
        <f t="shared" si="59"/>
        <v>1</v>
      </c>
      <c r="P343" s="961"/>
      <c r="Q343" s="52">
        <f t="shared" si="60"/>
        <v>1</v>
      </c>
      <c r="R343" s="489">
        <f t="shared" si="61"/>
        <v>0</v>
      </c>
      <c r="S343" s="798">
        <f t="shared" si="63"/>
        <v>0</v>
      </c>
    </row>
    <row r="344" spans="1:19">
      <c r="A344" s="963"/>
      <c r="B344" s="136"/>
      <c r="C344" s="52">
        <f t="shared" si="53"/>
        <v>1</v>
      </c>
      <c r="D344" s="961"/>
      <c r="E344" s="52">
        <f t="shared" si="54"/>
        <v>1</v>
      </c>
      <c r="F344" s="961"/>
      <c r="G344" s="52">
        <f t="shared" si="55"/>
        <v>1</v>
      </c>
      <c r="H344" s="961"/>
      <c r="I344" s="52">
        <f t="shared" si="56"/>
        <v>1</v>
      </c>
      <c r="J344" s="961"/>
      <c r="K344" s="52">
        <f t="shared" si="57"/>
        <v>1</v>
      </c>
      <c r="L344" s="961"/>
      <c r="M344" s="52">
        <f t="shared" si="58"/>
        <v>1</v>
      </c>
      <c r="N344" s="961"/>
      <c r="O344" s="52">
        <f t="shared" si="59"/>
        <v>1</v>
      </c>
      <c r="P344" s="961"/>
      <c r="Q344" s="52">
        <f t="shared" si="60"/>
        <v>1</v>
      </c>
      <c r="R344" s="489">
        <f t="shared" si="61"/>
        <v>0</v>
      </c>
      <c r="S344" s="798">
        <f t="shared" si="63"/>
        <v>0</v>
      </c>
    </row>
    <row r="345" spans="1:19">
      <c r="A345" s="963"/>
      <c r="B345" s="136"/>
      <c r="C345" s="52">
        <f t="shared" si="53"/>
        <v>1</v>
      </c>
      <c r="D345" s="961"/>
      <c r="E345" s="52">
        <f t="shared" si="54"/>
        <v>1</v>
      </c>
      <c r="F345" s="961"/>
      <c r="G345" s="52">
        <f t="shared" si="55"/>
        <v>1</v>
      </c>
      <c r="H345" s="961"/>
      <c r="I345" s="52">
        <f t="shared" si="56"/>
        <v>1</v>
      </c>
      <c r="J345" s="961"/>
      <c r="K345" s="52">
        <f t="shared" si="57"/>
        <v>1</v>
      </c>
      <c r="L345" s="961"/>
      <c r="M345" s="52">
        <f t="shared" si="58"/>
        <v>1</v>
      </c>
      <c r="N345" s="961"/>
      <c r="O345" s="52">
        <f t="shared" si="59"/>
        <v>1</v>
      </c>
      <c r="P345" s="961"/>
      <c r="Q345" s="52">
        <f t="shared" si="60"/>
        <v>1</v>
      </c>
      <c r="R345" s="489">
        <f t="shared" si="61"/>
        <v>0</v>
      </c>
      <c r="S345" s="798">
        <f t="shared" si="63"/>
        <v>0</v>
      </c>
    </row>
    <row r="346" spans="1:19">
      <c r="A346" s="963"/>
      <c r="B346" s="136"/>
      <c r="C346" s="52">
        <f t="shared" ref="C346:C409" si="64">IF(B346="",1,(LOOKUP(B346,$3:$3,$4:$4)-LOOKUP($B$24,$3:$3,$4:$4)+100)/100)</f>
        <v>1</v>
      </c>
      <c r="D346" s="961"/>
      <c r="E346" s="52">
        <f t="shared" ref="E346:E409" si="65">(SUMIF($5:$5,D346,$6:$6)-SUMIF($5:$5,$D$24,$6:$6)+100)/100</f>
        <v>1</v>
      </c>
      <c r="F346" s="961"/>
      <c r="G346" s="52">
        <f t="shared" ref="G346:G409" si="66">(SUMIF($7:$7,F346,$8:$8)-SUMIF($7:$7,$F$24,$8:$8)+100)/100</f>
        <v>1</v>
      </c>
      <c r="H346" s="961"/>
      <c r="I346" s="52">
        <f t="shared" ref="I346:I409" si="67">(SUMIF($9:$9,H346,$10:$10)-SUMIF($9:$9,$H$24,$10:$10)+100)/100</f>
        <v>1</v>
      </c>
      <c r="J346" s="961"/>
      <c r="K346" s="52">
        <f t="shared" ref="K346:K409" si="68">(SUMIF($11:$11,J346,$12:$12)-SUMIF($11:$11,$J$24,$12:$12)+100)/100</f>
        <v>1</v>
      </c>
      <c r="L346" s="961"/>
      <c r="M346" s="52">
        <f t="shared" ref="M346:M409" si="69">(SUMIF($13:$13,L346,$14:$14)-SUMIF($13:$13,$L$24,$14:$14)+100)/100</f>
        <v>1</v>
      </c>
      <c r="N346" s="961"/>
      <c r="O346" s="52">
        <f t="shared" ref="O346:O409" si="70">(SUMIF($15:$15,N346,$16:$16)-SUMIF($15:$15,$N$24,$16:$16)+100)/100</f>
        <v>1</v>
      </c>
      <c r="P346" s="961"/>
      <c r="Q346" s="52">
        <f t="shared" ref="Q346:Q409" si="71">(SUMIF($17:$17,P346,$18:$18)-SUMIF($17:$17,$P$24,$18:$18)+100)/100</f>
        <v>1</v>
      </c>
      <c r="R346" s="489">
        <f t="shared" ref="R346:R409" si="72">IF(B346="",0,ROUND($R$24*C346*E346*G346*I346*K346*M346*O346*Q346,0))</f>
        <v>0</v>
      </c>
      <c r="S346" s="798">
        <f t="shared" si="63"/>
        <v>0</v>
      </c>
    </row>
    <row r="347" spans="1:19">
      <c r="A347" s="963"/>
      <c r="B347" s="136"/>
      <c r="C347" s="52">
        <f t="shared" si="64"/>
        <v>1</v>
      </c>
      <c r="D347" s="961"/>
      <c r="E347" s="52">
        <f t="shared" si="65"/>
        <v>1</v>
      </c>
      <c r="F347" s="961"/>
      <c r="G347" s="52">
        <f t="shared" si="66"/>
        <v>1</v>
      </c>
      <c r="H347" s="961"/>
      <c r="I347" s="52">
        <f t="shared" si="67"/>
        <v>1</v>
      </c>
      <c r="J347" s="961"/>
      <c r="K347" s="52">
        <f t="shared" si="68"/>
        <v>1</v>
      </c>
      <c r="L347" s="961"/>
      <c r="M347" s="52">
        <f t="shared" si="69"/>
        <v>1</v>
      </c>
      <c r="N347" s="961"/>
      <c r="O347" s="52">
        <f t="shared" si="70"/>
        <v>1</v>
      </c>
      <c r="P347" s="961"/>
      <c r="Q347" s="52">
        <f t="shared" si="71"/>
        <v>1</v>
      </c>
      <c r="R347" s="489">
        <f t="shared" si="72"/>
        <v>0</v>
      </c>
      <c r="S347" s="798">
        <f t="shared" si="63"/>
        <v>0</v>
      </c>
    </row>
    <row r="348" spans="1:19">
      <c r="A348" s="963"/>
      <c r="B348" s="136"/>
      <c r="C348" s="52">
        <f t="shared" si="64"/>
        <v>1</v>
      </c>
      <c r="D348" s="961"/>
      <c r="E348" s="52">
        <f t="shared" si="65"/>
        <v>1</v>
      </c>
      <c r="F348" s="961"/>
      <c r="G348" s="52">
        <f t="shared" si="66"/>
        <v>1</v>
      </c>
      <c r="H348" s="961"/>
      <c r="I348" s="52">
        <f t="shared" si="67"/>
        <v>1</v>
      </c>
      <c r="J348" s="961"/>
      <c r="K348" s="52">
        <f t="shared" si="68"/>
        <v>1</v>
      </c>
      <c r="L348" s="961"/>
      <c r="M348" s="52">
        <f t="shared" si="69"/>
        <v>1</v>
      </c>
      <c r="N348" s="961"/>
      <c r="O348" s="52">
        <f t="shared" si="70"/>
        <v>1</v>
      </c>
      <c r="P348" s="961"/>
      <c r="Q348" s="52">
        <f t="shared" si="71"/>
        <v>1</v>
      </c>
      <c r="R348" s="489">
        <f t="shared" si="72"/>
        <v>0</v>
      </c>
      <c r="S348" s="798">
        <f t="shared" si="63"/>
        <v>0</v>
      </c>
    </row>
    <row r="349" spans="1:19">
      <c r="A349" s="963"/>
      <c r="B349" s="136"/>
      <c r="C349" s="52">
        <f t="shared" si="64"/>
        <v>1</v>
      </c>
      <c r="D349" s="961"/>
      <c r="E349" s="52">
        <f t="shared" si="65"/>
        <v>1</v>
      </c>
      <c r="F349" s="961"/>
      <c r="G349" s="52">
        <f t="shared" si="66"/>
        <v>1</v>
      </c>
      <c r="H349" s="961"/>
      <c r="I349" s="52">
        <f t="shared" si="67"/>
        <v>1</v>
      </c>
      <c r="J349" s="961"/>
      <c r="K349" s="52">
        <f t="shared" si="68"/>
        <v>1</v>
      </c>
      <c r="L349" s="961"/>
      <c r="M349" s="52">
        <f t="shared" si="69"/>
        <v>1</v>
      </c>
      <c r="N349" s="961"/>
      <c r="O349" s="52">
        <f t="shared" si="70"/>
        <v>1</v>
      </c>
      <c r="P349" s="961"/>
      <c r="Q349" s="52">
        <f t="shared" si="71"/>
        <v>1</v>
      </c>
      <c r="R349" s="489">
        <f t="shared" si="72"/>
        <v>0</v>
      </c>
      <c r="S349" s="798">
        <f t="shared" si="63"/>
        <v>0</v>
      </c>
    </row>
    <row r="350" spans="1:19">
      <c r="A350" s="963"/>
      <c r="B350" s="136"/>
      <c r="C350" s="52">
        <f t="shared" si="64"/>
        <v>1</v>
      </c>
      <c r="D350" s="961"/>
      <c r="E350" s="52">
        <f t="shared" si="65"/>
        <v>1</v>
      </c>
      <c r="F350" s="961"/>
      <c r="G350" s="52">
        <f t="shared" si="66"/>
        <v>1</v>
      </c>
      <c r="H350" s="961"/>
      <c r="I350" s="52">
        <f t="shared" si="67"/>
        <v>1</v>
      </c>
      <c r="J350" s="961"/>
      <c r="K350" s="52">
        <f t="shared" si="68"/>
        <v>1</v>
      </c>
      <c r="L350" s="961"/>
      <c r="M350" s="52">
        <f t="shared" si="69"/>
        <v>1</v>
      </c>
      <c r="N350" s="961"/>
      <c r="O350" s="52">
        <f t="shared" si="70"/>
        <v>1</v>
      </c>
      <c r="P350" s="961"/>
      <c r="Q350" s="52">
        <f t="shared" si="71"/>
        <v>1</v>
      </c>
      <c r="R350" s="489">
        <f t="shared" si="72"/>
        <v>0</v>
      </c>
      <c r="S350" s="798">
        <f t="shared" si="63"/>
        <v>0</v>
      </c>
    </row>
    <row r="351" spans="1:19">
      <c r="A351" s="963"/>
      <c r="B351" s="136"/>
      <c r="C351" s="52">
        <f t="shared" si="64"/>
        <v>1</v>
      </c>
      <c r="D351" s="961"/>
      <c r="E351" s="52">
        <f t="shared" si="65"/>
        <v>1</v>
      </c>
      <c r="F351" s="961"/>
      <c r="G351" s="52">
        <f t="shared" si="66"/>
        <v>1</v>
      </c>
      <c r="H351" s="961"/>
      <c r="I351" s="52">
        <f t="shared" si="67"/>
        <v>1</v>
      </c>
      <c r="J351" s="961"/>
      <c r="K351" s="52">
        <f t="shared" si="68"/>
        <v>1</v>
      </c>
      <c r="L351" s="961"/>
      <c r="M351" s="52">
        <f t="shared" si="69"/>
        <v>1</v>
      </c>
      <c r="N351" s="961"/>
      <c r="O351" s="52">
        <f t="shared" si="70"/>
        <v>1</v>
      </c>
      <c r="P351" s="961"/>
      <c r="Q351" s="52">
        <f t="shared" si="71"/>
        <v>1</v>
      </c>
      <c r="R351" s="489">
        <f t="shared" si="72"/>
        <v>0</v>
      </c>
      <c r="S351" s="798">
        <f t="shared" si="63"/>
        <v>0</v>
      </c>
    </row>
    <row r="352" spans="1:19">
      <c r="A352" s="963"/>
      <c r="B352" s="136"/>
      <c r="C352" s="52">
        <f t="shared" si="64"/>
        <v>1</v>
      </c>
      <c r="D352" s="961"/>
      <c r="E352" s="52">
        <f t="shared" si="65"/>
        <v>1</v>
      </c>
      <c r="F352" s="961"/>
      <c r="G352" s="52">
        <f t="shared" si="66"/>
        <v>1</v>
      </c>
      <c r="H352" s="961"/>
      <c r="I352" s="52">
        <f t="shared" si="67"/>
        <v>1</v>
      </c>
      <c r="J352" s="961"/>
      <c r="K352" s="52">
        <f t="shared" si="68"/>
        <v>1</v>
      </c>
      <c r="L352" s="961"/>
      <c r="M352" s="52">
        <f t="shared" si="69"/>
        <v>1</v>
      </c>
      <c r="N352" s="961"/>
      <c r="O352" s="52">
        <f t="shared" si="70"/>
        <v>1</v>
      </c>
      <c r="P352" s="961"/>
      <c r="Q352" s="52">
        <f t="shared" si="71"/>
        <v>1</v>
      </c>
      <c r="R352" s="489">
        <f t="shared" si="72"/>
        <v>0</v>
      </c>
      <c r="S352" s="798">
        <f t="shared" si="63"/>
        <v>0</v>
      </c>
    </row>
    <row r="353" spans="1:19">
      <c r="A353" s="963"/>
      <c r="B353" s="136"/>
      <c r="C353" s="52">
        <f t="shared" si="64"/>
        <v>1</v>
      </c>
      <c r="D353" s="961"/>
      <c r="E353" s="52">
        <f t="shared" si="65"/>
        <v>1</v>
      </c>
      <c r="F353" s="961"/>
      <c r="G353" s="52">
        <f t="shared" si="66"/>
        <v>1</v>
      </c>
      <c r="H353" s="961"/>
      <c r="I353" s="52">
        <f t="shared" si="67"/>
        <v>1</v>
      </c>
      <c r="J353" s="961"/>
      <c r="K353" s="52">
        <f t="shared" si="68"/>
        <v>1</v>
      </c>
      <c r="L353" s="961"/>
      <c r="M353" s="52">
        <f t="shared" si="69"/>
        <v>1</v>
      </c>
      <c r="N353" s="961"/>
      <c r="O353" s="52">
        <f t="shared" si="70"/>
        <v>1</v>
      </c>
      <c r="P353" s="961"/>
      <c r="Q353" s="52">
        <f t="shared" si="71"/>
        <v>1</v>
      </c>
      <c r="R353" s="489">
        <f t="shared" si="72"/>
        <v>0</v>
      </c>
      <c r="S353" s="798">
        <f t="shared" si="63"/>
        <v>0</v>
      </c>
    </row>
    <row r="354" spans="1:19">
      <c r="A354" s="963"/>
      <c r="B354" s="136"/>
      <c r="C354" s="52">
        <f t="shared" si="64"/>
        <v>1</v>
      </c>
      <c r="D354" s="961"/>
      <c r="E354" s="52">
        <f t="shared" si="65"/>
        <v>1</v>
      </c>
      <c r="F354" s="961"/>
      <c r="G354" s="52">
        <f t="shared" si="66"/>
        <v>1</v>
      </c>
      <c r="H354" s="961"/>
      <c r="I354" s="52">
        <f t="shared" si="67"/>
        <v>1</v>
      </c>
      <c r="J354" s="961"/>
      <c r="K354" s="52">
        <f t="shared" si="68"/>
        <v>1</v>
      </c>
      <c r="L354" s="961"/>
      <c r="M354" s="52">
        <f t="shared" si="69"/>
        <v>1</v>
      </c>
      <c r="N354" s="961"/>
      <c r="O354" s="52">
        <f t="shared" si="70"/>
        <v>1</v>
      </c>
      <c r="P354" s="961"/>
      <c r="Q354" s="52">
        <f t="shared" si="71"/>
        <v>1</v>
      </c>
      <c r="R354" s="489">
        <f t="shared" si="72"/>
        <v>0</v>
      </c>
      <c r="S354" s="798">
        <f t="shared" si="63"/>
        <v>0</v>
      </c>
    </row>
    <row r="355" spans="1:19">
      <c r="A355" s="963"/>
      <c r="B355" s="136"/>
      <c r="C355" s="52">
        <f t="shared" si="64"/>
        <v>1</v>
      </c>
      <c r="D355" s="961"/>
      <c r="E355" s="52">
        <f t="shared" si="65"/>
        <v>1</v>
      </c>
      <c r="F355" s="961"/>
      <c r="G355" s="52">
        <f t="shared" si="66"/>
        <v>1</v>
      </c>
      <c r="H355" s="961"/>
      <c r="I355" s="52">
        <f t="shared" si="67"/>
        <v>1</v>
      </c>
      <c r="J355" s="961"/>
      <c r="K355" s="52">
        <f t="shared" si="68"/>
        <v>1</v>
      </c>
      <c r="L355" s="961"/>
      <c r="M355" s="52">
        <f t="shared" si="69"/>
        <v>1</v>
      </c>
      <c r="N355" s="961"/>
      <c r="O355" s="52">
        <f t="shared" si="70"/>
        <v>1</v>
      </c>
      <c r="P355" s="961"/>
      <c r="Q355" s="52">
        <f t="shared" si="71"/>
        <v>1</v>
      </c>
      <c r="R355" s="489">
        <f t="shared" si="72"/>
        <v>0</v>
      </c>
      <c r="S355" s="798">
        <f t="shared" si="63"/>
        <v>0</v>
      </c>
    </row>
    <row r="356" spans="1:19">
      <c r="A356" s="963"/>
      <c r="B356" s="136"/>
      <c r="C356" s="52">
        <f t="shared" si="64"/>
        <v>1</v>
      </c>
      <c r="D356" s="961"/>
      <c r="E356" s="52">
        <f t="shared" si="65"/>
        <v>1</v>
      </c>
      <c r="F356" s="961"/>
      <c r="G356" s="52">
        <f t="shared" si="66"/>
        <v>1</v>
      </c>
      <c r="H356" s="961"/>
      <c r="I356" s="52">
        <f t="shared" si="67"/>
        <v>1</v>
      </c>
      <c r="J356" s="961"/>
      <c r="K356" s="52">
        <f t="shared" si="68"/>
        <v>1</v>
      </c>
      <c r="L356" s="961"/>
      <c r="M356" s="52">
        <f t="shared" si="69"/>
        <v>1</v>
      </c>
      <c r="N356" s="961"/>
      <c r="O356" s="52">
        <f t="shared" si="70"/>
        <v>1</v>
      </c>
      <c r="P356" s="961"/>
      <c r="Q356" s="52">
        <f t="shared" si="71"/>
        <v>1</v>
      </c>
      <c r="R356" s="489">
        <f t="shared" si="72"/>
        <v>0</v>
      </c>
      <c r="S356" s="798">
        <f t="shared" si="63"/>
        <v>0</v>
      </c>
    </row>
    <row r="357" spans="1:19">
      <c r="A357" s="963"/>
      <c r="B357" s="136"/>
      <c r="C357" s="52">
        <f t="shared" si="64"/>
        <v>1</v>
      </c>
      <c r="D357" s="961"/>
      <c r="E357" s="52">
        <f t="shared" si="65"/>
        <v>1</v>
      </c>
      <c r="F357" s="961"/>
      <c r="G357" s="52">
        <f t="shared" si="66"/>
        <v>1</v>
      </c>
      <c r="H357" s="961"/>
      <c r="I357" s="52">
        <f t="shared" si="67"/>
        <v>1</v>
      </c>
      <c r="J357" s="961"/>
      <c r="K357" s="52">
        <f t="shared" si="68"/>
        <v>1</v>
      </c>
      <c r="L357" s="961"/>
      <c r="M357" s="52">
        <f t="shared" si="69"/>
        <v>1</v>
      </c>
      <c r="N357" s="961"/>
      <c r="O357" s="52">
        <f t="shared" si="70"/>
        <v>1</v>
      </c>
      <c r="P357" s="961"/>
      <c r="Q357" s="52">
        <f t="shared" si="71"/>
        <v>1</v>
      </c>
      <c r="R357" s="489">
        <f t="shared" si="72"/>
        <v>0</v>
      </c>
      <c r="S357" s="798">
        <f t="shared" si="63"/>
        <v>0</v>
      </c>
    </row>
    <row r="358" spans="1:19">
      <c r="A358" s="963"/>
      <c r="B358" s="136"/>
      <c r="C358" s="52">
        <f t="shared" si="64"/>
        <v>1</v>
      </c>
      <c r="D358" s="961"/>
      <c r="E358" s="52">
        <f t="shared" si="65"/>
        <v>1</v>
      </c>
      <c r="F358" s="961"/>
      <c r="G358" s="52">
        <f t="shared" si="66"/>
        <v>1</v>
      </c>
      <c r="H358" s="961"/>
      <c r="I358" s="52">
        <f t="shared" si="67"/>
        <v>1</v>
      </c>
      <c r="J358" s="961"/>
      <c r="K358" s="52">
        <f t="shared" si="68"/>
        <v>1</v>
      </c>
      <c r="L358" s="961"/>
      <c r="M358" s="52">
        <f t="shared" si="69"/>
        <v>1</v>
      </c>
      <c r="N358" s="961"/>
      <c r="O358" s="52">
        <f t="shared" si="70"/>
        <v>1</v>
      </c>
      <c r="P358" s="961"/>
      <c r="Q358" s="52">
        <f t="shared" si="71"/>
        <v>1</v>
      </c>
      <c r="R358" s="489">
        <f t="shared" si="72"/>
        <v>0</v>
      </c>
      <c r="S358" s="798">
        <f t="shared" si="63"/>
        <v>0</v>
      </c>
    </row>
    <row r="359" spans="1:19">
      <c r="A359" s="963"/>
      <c r="B359" s="136"/>
      <c r="C359" s="52">
        <f t="shared" si="64"/>
        <v>1</v>
      </c>
      <c r="D359" s="961"/>
      <c r="E359" s="52">
        <f t="shared" si="65"/>
        <v>1</v>
      </c>
      <c r="F359" s="961"/>
      <c r="G359" s="52">
        <f t="shared" si="66"/>
        <v>1</v>
      </c>
      <c r="H359" s="961"/>
      <c r="I359" s="52">
        <f t="shared" si="67"/>
        <v>1</v>
      </c>
      <c r="J359" s="961"/>
      <c r="K359" s="52">
        <f t="shared" si="68"/>
        <v>1</v>
      </c>
      <c r="L359" s="961"/>
      <c r="M359" s="52">
        <f t="shared" si="69"/>
        <v>1</v>
      </c>
      <c r="N359" s="961"/>
      <c r="O359" s="52">
        <f t="shared" si="70"/>
        <v>1</v>
      </c>
      <c r="P359" s="961"/>
      <c r="Q359" s="52">
        <f t="shared" si="71"/>
        <v>1</v>
      </c>
      <c r="R359" s="489">
        <f t="shared" si="72"/>
        <v>0</v>
      </c>
      <c r="S359" s="798">
        <f t="shared" si="63"/>
        <v>0</v>
      </c>
    </row>
    <row r="360" spans="1:19">
      <c r="A360" s="963"/>
      <c r="B360" s="136"/>
      <c r="C360" s="52">
        <f t="shared" si="64"/>
        <v>1</v>
      </c>
      <c r="D360" s="961"/>
      <c r="E360" s="52">
        <f t="shared" si="65"/>
        <v>1</v>
      </c>
      <c r="F360" s="961"/>
      <c r="G360" s="52">
        <f t="shared" si="66"/>
        <v>1</v>
      </c>
      <c r="H360" s="961"/>
      <c r="I360" s="52">
        <f t="shared" si="67"/>
        <v>1</v>
      </c>
      <c r="J360" s="961"/>
      <c r="K360" s="52">
        <f t="shared" si="68"/>
        <v>1</v>
      </c>
      <c r="L360" s="961"/>
      <c r="M360" s="52">
        <f t="shared" si="69"/>
        <v>1</v>
      </c>
      <c r="N360" s="961"/>
      <c r="O360" s="52">
        <f t="shared" si="70"/>
        <v>1</v>
      </c>
      <c r="P360" s="961"/>
      <c r="Q360" s="52">
        <f t="shared" si="71"/>
        <v>1</v>
      </c>
      <c r="R360" s="489">
        <f t="shared" si="72"/>
        <v>0</v>
      </c>
      <c r="S360" s="798">
        <f t="shared" si="63"/>
        <v>0</v>
      </c>
    </row>
    <row r="361" spans="1:19">
      <c r="A361" s="963"/>
      <c r="B361" s="136"/>
      <c r="C361" s="52">
        <f t="shared" si="64"/>
        <v>1</v>
      </c>
      <c r="D361" s="961"/>
      <c r="E361" s="52">
        <f t="shared" si="65"/>
        <v>1</v>
      </c>
      <c r="F361" s="961"/>
      <c r="G361" s="52">
        <f t="shared" si="66"/>
        <v>1</v>
      </c>
      <c r="H361" s="961"/>
      <c r="I361" s="52">
        <f t="shared" si="67"/>
        <v>1</v>
      </c>
      <c r="J361" s="961"/>
      <c r="K361" s="52">
        <f t="shared" si="68"/>
        <v>1</v>
      </c>
      <c r="L361" s="961"/>
      <c r="M361" s="52">
        <f t="shared" si="69"/>
        <v>1</v>
      </c>
      <c r="N361" s="961"/>
      <c r="O361" s="52">
        <f t="shared" si="70"/>
        <v>1</v>
      </c>
      <c r="P361" s="961"/>
      <c r="Q361" s="52">
        <f t="shared" si="71"/>
        <v>1</v>
      </c>
      <c r="R361" s="489">
        <f t="shared" si="72"/>
        <v>0</v>
      </c>
      <c r="S361" s="798">
        <f t="shared" si="63"/>
        <v>0</v>
      </c>
    </row>
    <row r="362" spans="1:19">
      <c r="A362" s="963"/>
      <c r="B362" s="136"/>
      <c r="C362" s="52">
        <f t="shared" si="64"/>
        <v>1</v>
      </c>
      <c r="D362" s="961"/>
      <c r="E362" s="52">
        <f t="shared" si="65"/>
        <v>1</v>
      </c>
      <c r="F362" s="961"/>
      <c r="G362" s="52">
        <f t="shared" si="66"/>
        <v>1</v>
      </c>
      <c r="H362" s="961"/>
      <c r="I362" s="52">
        <f t="shared" si="67"/>
        <v>1</v>
      </c>
      <c r="J362" s="961"/>
      <c r="K362" s="52">
        <f t="shared" si="68"/>
        <v>1</v>
      </c>
      <c r="L362" s="961"/>
      <c r="M362" s="52">
        <f t="shared" si="69"/>
        <v>1</v>
      </c>
      <c r="N362" s="961"/>
      <c r="O362" s="52">
        <f t="shared" si="70"/>
        <v>1</v>
      </c>
      <c r="P362" s="961"/>
      <c r="Q362" s="52">
        <f t="shared" si="71"/>
        <v>1</v>
      </c>
      <c r="R362" s="489">
        <f t="shared" si="72"/>
        <v>0</v>
      </c>
      <c r="S362" s="798">
        <f t="shared" si="63"/>
        <v>0</v>
      </c>
    </row>
    <row r="363" spans="1:19">
      <c r="A363" s="963"/>
      <c r="B363" s="136"/>
      <c r="C363" s="52">
        <f t="shared" si="64"/>
        <v>1</v>
      </c>
      <c r="D363" s="961"/>
      <c r="E363" s="52">
        <f t="shared" si="65"/>
        <v>1</v>
      </c>
      <c r="F363" s="961"/>
      <c r="G363" s="52">
        <f t="shared" si="66"/>
        <v>1</v>
      </c>
      <c r="H363" s="961"/>
      <c r="I363" s="52">
        <f t="shared" si="67"/>
        <v>1</v>
      </c>
      <c r="J363" s="961"/>
      <c r="K363" s="52">
        <f t="shared" si="68"/>
        <v>1</v>
      </c>
      <c r="L363" s="961"/>
      <c r="M363" s="52">
        <f t="shared" si="69"/>
        <v>1</v>
      </c>
      <c r="N363" s="961"/>
      <c r="O363" s="52">
        <f t="shared" si="70"/>
        <v>1</v>
      </c>
      <c r="P363" s="961"/>
      <c r="Q363" s="52">
        <f t="shared" si="71"/>
        <v>1</v>
      </c>
      <c r="R363" s="489">
        <f t="shared" si="72"/>
        <v>0</v>
      </c>
      <c r="S363" s="798">
        <f t="shared" si="63"/>
        <v>0</v>
      </c>
    </row>
    <row r="364" spans="1:19">
      <c r="A364" s="963"/>
      <c r="B364" s="136"/>
      <c r="C364" s="52">
        <f t="shared" si="64"/>
        <v>1</v>
      </c>
      <c r="D364" s="961"/>
      <c r="E364" s="52">
        <f t="shared" si="65"/>
        <v>1</v>
      </c>
      <c r="F364" s="961"/>
      <c r="G364" s="52">
        <f t="shared" si="66"/>
        <v>1</v>
      </c>
      <c r="H364" s="961"/>
      <c r="I364" s="52">
        <f t="shared" si="67"/>
        <v>1</v>
      </c>
      <c r="J364" s="961"/>
      <c r="K364" s="52">
        <f t="shared" si="68"/>
        <v>1</v>
      </c>
      <c r="L364" s="961"/>
      <c r="M364" s="52">
        <f t="shared" si="69"/>
        <v>1</v>
      </c>
      <c r="N364" s="961"/>
      <c r="O364" s="52">
        <f t="shared" si="70"/>
        <v>1</v>
      </c>
      <c r="P364" s="961"/>
      <c r="Q364" s="52">
        <f t="shared" si="71"/>
        <v>1</v>
      </c>
      <c r="R364" s="489">
        <f t="shared" si="72"/>
        <v>0</v>
      </c>
      <c r="S364" s="798">
        <f t="shared" si="63"/>
        <v>0</v>
      </c>
    </row>
    <row r="365" spans="1:19">
      <c r="A365" s="963"/>
      <c r="B365" s="136"/>
      <c r="C365" s="52">
        <f t="shared" si="64"/>
        <v>1</v>
      </c>
      <c r="D365" s="961"/>
      <c r="E365" s="52">
        <f t="shared" si="65"/>
        <v>1</v>
      </c>
      <c r="F365" s="961"/>
      <c r="G365" s="52">
        <f t="shared" si="66"/>
        <v>1</v>
      </c>
      <c r="H365" s="961"/>
      <c r="I365" s="52">
        <f t="shared" si="67"/>
        <v>1</v>
      </c>
      <c r="J365" s="961"/>
      <c r="K365" s="52">
        <f t="shared" si="68"/>
        <v>1</v>
      </c>
      <c r="L365" s="961"/>
      <c r="M365" s="52">
        <f t="shared" si="69"/>
        <v>1</v>
      </c>
      <c r="N365" s="961"/>
      <c r="O365" s="52">
        <f t="shared" si="70"/>
        <v>1</v>
      </c>
      <c r="P365" s="961"/>
      <c r="Q365" s="52">
        <f t="shared" si="71"/>
        <v>1</v>
      </c>
      <c r="R365" s="489">
        <f t="shared" si="72"/>
        <v>0</v>
      </c>
      <c r="S365" s="798">
        <f t="shared" si="63"/>
        <v>0</v>
      </c>
    </row>
    <row r="366" spans="1:19">
      <c r="A366" s="963"/>
      <c r="B366" s="136"/>
      <c r="C366" s="52">
        <f t="shared" si="64"/>
        <v>1</v>
      </c>
      <c r="D366" s="961"/>
      <c r="E366" s="52">
        <f t="shared" si="65"/>
        <v>1</v>
      </c>
      <c r="F366" s="961"/>
      <c r="G366" s="52">
        <f t="shared" si="66"/>
        <v>1</v>
      </c>
      <c r="H366" s="961"/>
      <c r="I366" s="52">
        <f t="shared" si="67"/>
        <v>1</v>
      </c>
      <c r="J366" s="961"/>
      <c r="K366" s="52">
        <f t="shared" si="68"/>
        <v>1</v>
      </c>
      <c r="L366" s="961"/>
      <c r="M366" s="52">
        <f t="shared" si="69"/>
        <v>1</v>
      </c>
      <c r="N366" s="961"/>
      <c r="O366" s="52">
        <f t="shared" si="70"/>
        <v>1</v>
      </c>
      <c r="P366" s="961"/>
      <c r="Q366" s="52">
        <f t="shared" si="71"/>
        <v>1</v>
      </c>
      <c r="R366" s="489">
        <f t="shared" si="72"/>
        <v>0</v>
      </c>
      <c r="S366" s="798">
        <f t="shared" si="63"/>
        <v>0</v>
      </c>
    </row>
    <row r="367" spans="1:19">
      <c r="A367" s="963"/>
      <c r="B367" s="136"/>
      <c r="C367" s="52">
        <f t="shared" si="64"/>
        <v>1</v>
      </c>
      <c r="D367" s="961"/>
      <c r="E367" s="52">
        <f t="shared" si="65"/>
        <v>1</v>
      </c>
      <c r="F367" s="961"/>
      <c r="G367" s="52">
        <f t="shared" si="66"/>
        <v>1</v>
      </c>
      <c r="H367" s="961"/>
      <c r="I367" s="52">
        <f t="shared" si="67"/>
        <v>1</v>
      </c>
      <c r="J367" s="961"/>
      <c r="K367" s="52">
        <f t="shared" si="68"/>
        <v>1</v>
      </c>
      <c r="L367" s="961"/>
      <c r="M367" s="52">
        <f t="shared" si="69"/>
        <v>1</v>
      </c>
      <c r="N367" s="961"/>
      <c r="O367" s="52">
        <f t="shared" si="70"/>
        <v>1</v>
      </c>
      <c r="P367" s="961"/>
      <c r="Q367" s="52">
        <f t="shared" si="71"/>
        <v>1</v>
      </c>
      <c r="R367" s="489">
        <f t="shared" si="72"/>
        <v>0</v>
      </c>
      <c r="S367" s="798">
        <f t="shared" si="63"/>
        <v>0</v>
      </c>
    </row>
    <row r="368" spans="1:19">
      <c r="A368" s="963"/>
      <c r="B368" s="136"/>
      <c r="C368" s="52">
        <f t="shared" si="64"/>
        <v>1</v>
      </c>
      <c r="D368" s="961"/>
      <c r="E368" s="52">
        <f t="shared" si="65"/>
        <v>1</v>
      </c>
      <c r="F368" s="961"/>
      <c r="G368" s="52">
        <f t="shared" si="66"/>
        <v>1</v>
      </c>
      <c r="H368" s="961"/>
      <c r="I368" s="52">
        <f t="shared" si="67"/>
        <v>1</v>
      </c>
      <c r="J368" s="961"/>
      <c r="K368" s="52">
        <f t="shared" si="68"/>
        <v>1</v>
      </c>
      <c r="L368" s="961"/>
      <c r="M368" s="52">
        <f t="shared" si="69"/>
        <v>1</v>
      </c>
      <c r="N368" s="961"/>
      <c r="O368" s="52">
        <f t="shared" si="70"/>
        <v>1</v>
      </c>
      <c r="P368" s="961"/>
      <c r="Q368" s="52">
        <f t="shared" si="71"/>
        <v>1</v>
      </c>
      <c r="R368" s="489">
        <f t="shared" si="72"/>
        <v>0</v>
      </c>
      <c r="S368" s="798">
        <f t="shared" si="63"/>
        <v>0</v>
      </c>
    </row>
    <row r="369" spans="1:19">
      <c r="A369" s="963"/>
      <c r="B369" s="136"/>
      <c r="C369" s="52">
        <f t="shared" si="64"/>
        <v>1</v>
      </c>
      <c r="D369" s="961"/>
      <c r="E369" s="52">
        <f t="shared" si="65"/>
        <v>1</v>
      </c>
      <c r="F369" s="961"/>
      <c r="G369" s="52">
        <f t="shared" si="66"/>
        <v>1</v>
      </c>
      <c r="H369" s="961"/>
      <c r="I369" s="52">
        <f t="shared" si="67"/>
        <v>1</v>
      </c>
      <c r="J369" s="961"/>
      <c r="K369" s="52">
        <f t="shared" si="68"/>
        <v>1</v>
      </c>
      <c r="L369" s="961"/>
      <c r="M369" s="52">
        <f t="shared" si="69"/>
        <v>1</v>
      </c>
      <c r="N369" s="961"/>
      <c r="O369" s="52">
        <f t="shared" si="70"/>
        <v>1</v>
      </c>
      <c r="P369" s="961"/>
      <c r="Q369" s="52">
        <f t="shared" si="71"/>
        <v>1</v>
      </c>
      <c r="R369" s="489">
        <f t="shared" si="72"/>
        <v>0</v>
      </c>
      <c r="S369" s="798">
        <f t="shared" si="63"/>
        <v>0</v>
      </c>
    </row>
    <row r="370" spans="1:19">
      <c r="A370" s="963"/>
      <c r="B370" s="136"/>
      <c r="C370" s="52">
        <f t="shared" si="64"/>
        <v>1</v>
      </c>
      <c r="D370" s="961"/>
      <c r="E370" s="52">
        <f t="shared" si="65"/>
        <v>1</v>
      </c>
      <c r="F370" s="961"/>
      <c r="G370" s="52">
        <f t="shared" si="66"/>
        <v>1</v>
      </c>
      <c r="H370" s="961"/>
      <c r="I370" s="52">
        <f t="shared" si="67"/>
        <v>1</v>
      </c>
      <c r="J370" s="961"/>
      <c r="K370" s="52">
        <f t="shared" si="68"/>
        <v>1</v>
      </c>
      <c r="L370" s="961"/>
      <c r="M370" s="52">
        <f t="shared" si="69"/>
        <v>1</v>
      </c>
      <c r="N370" s="961"/>
      <c r="O370" s="52">
        <f t="shared" si="70"/>
        <v>1</v>
      </c>
      <c r="P370" s="961"/>
      <c r="Q370" s="52">
        <f t="shared" si="71"/>
        <v>1</v>
      </c>
      <c r="R370" s="489">
        <f t="shared" si="72"/>
        <v>0</v>
      </c>
      <c r="S370" s="798">
        <f t="shared" si="63"/>
        <v>0</v>
      </c>
    </row>
    <row r="371" spans="1:19">
      <c r="A371" s="963"/>
      <c r="B371" s="136"/>
      <c r="C371" s="52">
        <f t="shared" si="64"/>
        <v>1</v>
      </c>
      <c r="D371" s="961"/>
      <c r="E371" s="52">
        <f t="shared" si="65"/>
        <v>1</v>
      </c>
      <c r="F371" s="961"/>
      <c r="G371" s="52">
        <f t="shared" si="66"/>
        <v>1</v>
      </c>
      <c r="H371" s="961"/>
      <c r="I371" s="52">
        <f t="shared" si="67"/>
        <v>1</v>
      </c>
      <c r="J371" s="961"/>
      <c r="K371" s="52">
        <f t="shared" si="68"/>
        <v>1</v>
      </c>
      <c r="L371" s="961"/>
      <c r="M371" s="52">
        <f t="shared" si="69"/>
        <v>1</v>
      </c>
      <c r="N371" s="961"/>
      <c r="O371" s="52">
        <f t="shared" si="70"/>
        <v>1</v>
      </c>
      <c r="P371" s="961"/>
      <c r="Q371" s="52">
        <f t="shared" si="71"/>
        <v>1</v>
      </c>
      <c r="R371" s="489">
        <f t="shared" si="72"/>
        <v>0</v>
      </c>
      <c r="S371" s="798">
        <f t="shared" si="63"/>
        <v>0</v>
      </c>
    </row>
    <row r="372" spans="1:19">
      <c r="A372" s="963"/>
      <c r="B372" s="136"/>
      <c r="C372" s="52">
        <f t="shared" si="64"/>
        <v>1</v>
      </c>
      <c r="D372" s="961"/>
      <c r="E372" s="52">
        <f t="shared" si="65"/>
        <v>1</v>
      </c>
      <c r="F372" s="961"/>
      <c r="G372" s="52">
        <f t="shared" si="66"/>
        <v>1</v>
      </c>
      <c r="H372" s="961"/>
      <c r="I372" s="52">
        <f t="shared" si="67"/>
        <v>1</v>
      </c>
      <c r="J372" s="961"/>
      <c r="K372" s="52">
        <f t="shared" si="68"/>
        <v>1</v>
      </c>
      <c r="L372" s="961"/>
      <c r="M372" s="52">
        <f t="shared" si="69"/>
        <v>1</v>
      </c>
      <c r="N372" s="961"/>
      <c r="O372" s="52">
        <f t="shared" si="70"/>
        <v>1</v>
      </c>
      <c r="P372" s="961"/>
      <c r="Q372" s="52">
        <f t="shared" si="71"/>
        <v>1</v>
      </c>
      <c r="R372" s="489">
        <f t="shared" si="72"/>
        <v>0</v>
      </c>
      <c r="S372" s="798">
        <f t="shared" si="63"/>
        <v>0</v>
      </c>
    </row>
    <row r="373" spans="1:19">
      <c r="A373" s="963"/>
      <c r="B373" s="136"/>
      <c r="C373" s="52">
        <f t="shared" si="64"/>
        <v>1</v>
      </c>
      <c r="D373" s="961"/>
      <c r="E373" s="52">
        <f t="shared" si="65"/>
        <v>1</v>
      </c>
      <c r="F373" s="961"/>
      <c r="G373" s="52">
        <f t="shared" si="66"/>
        <v>1</v>
      </c>
      <c r="H373" s="961"/>
      <c r="I373" s="52">
        <f t="shared" si="67"/>
        <v>1</v>
      </c>
      <c r="J373" s="961"/>
      <c r="K373" s="52">
        <f t="shared" si="68"/>
        <v>1</v>
      </c>
      <c r="L373" s="961"/>
      <c r="M373" s="52">
        <f t="shared" si="69"/>
        <v>1</v>
      </c>
      <c r="N373" s="961"/>
      <c r="O373" s="52">
        <f t="shared" si="70"/>
        <v>1</v>
      </c>
      <c r="P373" s="961"/>
      <c r="Q373" s="52">
        <f t="shared" si="71"/>
        <v>1</v>
      </c>
      <c r="R373" s="489">
        <f t="shared" si="72"/>
        <v>0</v>
      </c>
      <c r="S373" s="798">
        <f t="shared" si="63"/>
        <v>0</v>
      </c>
    </row>
    <row r="374" spans="1:19">
      <c r="A374" s="963"/>
      <c r="B374" s="136"/>
      <c r="C374" s="52">
        <f t="shared" si="64"/>
        <v>1</v>
      </c>
      <c r="D374" s="961"/>
      <c r="E374" s="52">
        <f t="shared" si="65"/>
        <v>1</v>
      </c>
      <c r="F374" s="961"/>
      <c r="G374" s="52">
        <f t="shared" si="66"/>
        <v>1</v>
      </c>
      <c r="H374" s="961"/>
      <c r="I374" s="52">
        <f t="shared" si="67"/>
        <v>1</v>
      </c>
      <c r="J374" s="961"/>
      <c r="K374" s="52">
        <f t="shared" si="68"/>
        <v>1</v>
      </c>
      <c r="L374" s="961"/>
      <c r="M374" s="52">
        <f t="shared" si="69"/>
        <v>1</v>
      </c>
      <c r="N374" s="961"/>
      <c r="O374" s="52">
        <f t="shared" si="70"/>
        <v>1</v>
      </c>
      <c r="P374" s="961"/>
      <c r="Q374" s="52">
        <f t="shared" si="71"/>
        <v>1</v>
      </c>
      <c r="R374" s="489">
        <f t="shared" si="72"/>
        <v>0</v>
      </c>
      <c r="S374" s="798">
        <f t="shared" si="63"/>
        <v>0</v>
      </c>
    </row>
    <row r="375" spans="1:19">
      <c r="A375" s="963"/>
      <c r="B375" s="136"/>
      <c r="C375" s="52">
        <f t="shared" si="64"/>
        <v>1</v>
      </c>
      <c r="D375" s="961"/>
      <c r="E375" s="52">
        <f t="shared" si="65"/>
        <v>1</v>
      </c>
      <c r="F375" s="961"/>
      <c r="G375" s="52">
        <f t="shared" si="66"/>
        <v>1</v>
      </c>
      <c r="H375" s="961"/>
      <c r="I375" s="52">
        <f t="shared" si="67"/>
        <v>1</v>
      </c>
      <c r="J375" s="961"/>
      <c r="K375" s="52">
        <f t="shared" si="68"/>
        <v>1</v>
      </c>
      <c r="L375" s="961"/>
      <c r="M375" s="52">
        <f t="shared" si="69"/>
        <v>1</v>
      </c>
      <c r="N375" s="961"/>
      <c r="O375" s="52">
        <f t="shared" si="70"/>
        <v>1</v>
      </c>
      <c r="P375" s="961"/>
      <c r="Q375" s="52">
        <f t="shared" si="71"/>
        <v>1</v>
      </c>
      <c r="R375" s="489">
        <f t="shared" si="72"/>
        <v>0</v>
      </c>
      <c r="S375" s="798">
        <f t="shared" si="63"/>
        <v>0</v>
      </c>
    </row>
    <row r="376" spans="1:19">
      <c r="A376" s="963"/>
      <c r="B376" s="136"/>
      <c r="C376" s="52">
        <f t="shared" si="64"/>
        <v>1</v>
      </c>
      <c r="D376" s="961"/>
      <c r="E376" s="52">
        <f t="shared" si="65"/>
        <v>1</v>
      </c>
      <c r="F376" s="961"/>
      <c r="G376" s="52">
        <f t="shared" si="66"/>
        <v>1</v>
      </c>
      <c r="H376" s="961"/>
      <c r="I376" s="52">
        <f t="shared" si="67"/>
        <v>1</v>
      </c>
      <c r="J376" s="961"/>
      <c r="K376" s="52">
        <f t="shared" si="68"/>
        <v>1</v>
      </c>
      <c r="L376" s="961"/>
      <c r="M376" s="52">
        <f t="shared" si="69"/>
        <v>1</v>
      </c>
      <c r="N376" s="961"/>
      <c r="O376" s="52">
        <f t="shared" si="70"/>
        <v>1</v>
      </c>
      <c r="P376" s="961"/>
      <c r="Q376" s="52">
        <f t="shared" si="71"/>
        <v>1</v>
      </c>
      <c r="R376" s="489">
        <f t="shared" si="72"/>
        <v>0</v>
      </c>
      <c r="S376" s="798">
        <f t="shared" si="63"/>
        <v>0</v>
      </c>
    </row>
    <row r="377" spans="1:19">
      <c r="A377" s="963"/>
      <c r="B377" s="136"/>
      <c r="C377" s="52">
        <f t="shared" si="64"/>
        <v>1</v>
      </c>
      <c r="D377" s="961"/>
      <c r="E377" s="52">
        <f t="shared" si="65"/>
        <v>1</v>
      </c>
      <c r="F377" s="961"/>
      <c r="G377" s="52">
        <f t="shared" si="66"/>
        <v>1</v>
      </c>
      <c r="H377" s="961"/>
      <c r="I377" s="52">
        <f t="shared" si="67"/>
        <v>1</v>
      </c>
      <c r="J377" s="961"/>
      <c r="K377" s="52">
        <f t="shared" si="68"/>
        <v>1</v>
      </c>
      <c r="L377" s="961"/>
      <c r="M377" s="52">
        <f t="shared" si="69"/>
        <v>1</v>
      </c>
      <c r="N377" s="961"/>
      <c r="O377" s="52">
        <f t="shared" si="70"/>
        <v>1</v>
      </c>
      <c r="P377" s="961"/>
      <c r="Q377" s="52">
        <f t="shared" si="71"/>
        <v>1</v>
      </c>
      <c r="R377" s="489">
        <f t="shared" si="72"/>
        <v>0</v>
      </c>
      <c r="S377" s="798">
        <f t="shared" si="63"/>
        <v>0</v>
      </c>
    </row>
    <row r="378" spans="1:19">
      <c r="A378" s="963"/>
      <c r="B378" s="136"/>
      <c r="C378" s="52">
        <f t="shared" si="64"/>
        <v>1</v>
      </c>
      <c r="D378" s="961"/>
      <c r="E378" s="52">
        <f t="shared" si="65"/>
        <v>1</v>
      </c>
      <c r="F378" s="961"/>
      <c r="G378" s="52">
        <f t="shared" si="66"/>
        <v>1</v>
      </c>
      <c r="H378" s="961"/>
      <c r="I378" s="52">
        <f t="shared" si="67"/>
        <v>1</v>
      </c>
      <c r="J378" s="961"/>
      <c r="K378" s="52">
        <f t="shared" si="68"/>
        <v>1</v>
      </c>
      <c r="L378" s="961"/>
      <c r="M378" s="52">
        <f t="shared" si="69"/>
        <v>1</v>
      </c>
      <c r="N378" s="961"/>
      <c r="O378" s="52">
        <f t="shared" si="70"/>
        <v>1</v>
      </c>
      <c r="P378" s="961"/>
      <c r="Q378" s="52">
        <f t="shared" si="71"/>
        <v>1</v>
      </c>
      <c r="R378" s="489">
        <f t="shared" si="72"/>
        <v>0</v>
      </c>
      <c r="S378" s="798">
        <f t="shared" si="63"/>
        <v>0</v>
      </c>
    </row>
    <row r="379" spans="1:19">
      <c r="A379" s="963"/>
      <c r="B379" s="136"/>
      <c r="C379" s="52">
        <f t="shared" si="64"/>
        <v>1</v>
      </c>
      <c r="D379" s="961"/>
      <c r="E379" s="52">
        <f t="shared" si="65"/>
        <v>1</v>
      </c>
      <c r="F379" s="961"/>
      <c r="G379" s="52">
        <f t="shared" si="66"/>
        <v>1</v>
      </c>
      <c r="H379" s="961"/>
      <c r="I379" s="52">
        <f t="shared" si="67"/>
        <v>1</v>
      </c>
      <c r="J379" s="961"/>
      <c r="K379" s="52">
        <f t="shared" si="68"/>
        <v>1</v>
      </c>
      <c r="L379" s="961"/>
      <c r="M379" s="52">
        <f t="shared" si="69"/>
        <v>1</v>
      </c>
      <c r="N379" s="961"/>
      <c r="O379" s="52">
        <f t="shared" si="70"/>
        <v>1</v>
      </c>
      <c r="P379" s="961"/>
      <c r="Q379" s="52">
        <f t="shared" si="71"/>
        <v>1</v>
      </c>
      <c r="R379" s="489">
        <f t="shared" si="72"/>
        <v>0</v>
      </c>
      <c r="S379" s="798">
        <f t="shared" si="63"/>
        <v>0</v>
      </c>
    </row>
    <row r="380" spans="1:19">
      <c r="A380" s="963"/>
      <c r="B380" s="136"/>
      <c r="C380" s="52">
        <f t="shared" si="64"/>
        <v>1</v>
      </c>
      <c r="D380" s="961"/>
      <c r="E380" s="52">
        <f t="shared" si="65"/>
        <v>1</v>
      </c>
      <c r="F380" s="961"/>
      <c r="G380" s="52">
        <f t="shared" si="66"/>
        <v>1</v>
      </c>
      <c r="H380" s="961"/>
      <c r="I380" s="52">
        <f t="shared" si="67"/>
        <v>1</v>
      </c>
      <c r="J380" s="961"/>
      <c r="K380" s="52">
        <f t="shared" si="68"/>
        <v>1</v>
      </c>
      <c r="L380" s="961"/>
      <c r="M380" s="52">
        <f t="shared" si="69"/>
        <v>1</v>
      </c>
      <c r="N380" s="961"/>
      <c r="O380" s="52">
        <f t="shared" si="70"/>
        <v>1</v>
      </c>
      <c r="P380" s="961"/>
      <c r="Q380" s="52">
        <f t="shared" si="71"/>
        <v>1</v>
      </c>
      <c r="R380" s="489">
        <f t="shared" si="72"/>
        <v>0</v>
      </c>
      <c r="S380" s="798">
        <f t="shared" si="63"/>
        <v>0</v>
      </c>
    </row>
    <row r="381" spans="1:19">
      <c r="A381" s="963"/>
      <c r="B381" s="136"/>
      <c r="C381" s="52">
        <f t="shared" si="64"/>
        <v>1</v>
      </c>
      <c r="D381" s="961"/>
      <c r="E381" s="52">
        <f t="shared" si="65"/>
        <v>1</v>
      </c>
      <c r="F381" s="961"/>
      <c r="G381" s="52">
        <f t="shared" si="66"/>
        <v>1</v>
      </c>
      <c r="H381" s="961"/>
      <c r="I381" s="52">
        <f t="shared" si="67"/>
        <v>1</v>
      </c>
      <c r="J381" s="961"/>
      <c r="K381" s="52">
        <f t="shared" si="68"/>
        <v>1</v>
      </c>
      <c r="L381" s="961"/>
      <c r="M381" s="52">
        <f t="shared" si="69"/>
        <v>1</v>
      </c>
      <c r="N381" s="961"/>
      <c r="O381" s="52">
        <f t="shared" si="70"/>
        <v>1</v>
      </c>
      <c r="P381" s="961"/>
      <c r="Q381" s="52">
        <f t="shared" si="71"/>
        <v>1</v>
      </c>
      <c r="R381" s="489">
        <f t="shared" si="72"/>
        <v>0</v>
      </c>
      <c r="S381" s="798">
        <f t="shared" si="63"/>
        <v>0</v>
      </c>
    </row>
    <row r="382" spans="1:19">
      <c r="A382" s="963"/>
      <c r="B382" s="136"/>
      <c r="C382" s="52">
        <f t="shared" si="64"/>
        <v>1</v>
      </c>
      <c r="D382" s="961"/>
      <c r="E382" s="52">
        <f t="shared" si="65"/>
        <v>1</v>
      </c>
      <c r="F382" s="961"/>
      <c r="G382" s="52">
        <f t="shared" si="66"/>
        <v>1</v>
      </c>
      <c r="H382" s="961"/>
      <c r="I382" s="52">
        <f t="shared" si="67"/>
        <v>1</v>
      </c>
      <c r="J382" s="961"/>
      <c r="K382" s="52">
        <f t="shared" si="68"/>
        <v>1</v>
      </c>
      <c r="L382" s="961"/>
      <c r="M382" s="52">
        <f t="shared" si="69"/>
        <v>1</v>
      </c>
      <c r="N382" s="961"/>
      <c r="O382" s="52">
        <f t="shared" si="70"/>
        <v>1</v>
      </c>
      <c r="P382" s="961"/>
      <c r="Q382" s="52">
        <f t="shared" si="71"/>
        <v>1</v>
      </c>
      <c r="R382" s="489">
        <f t="shared" si="72"/>
        <v>0</v>
      </c>
      <c r="S382" s="798">
        <f t="shared" si="63"/>
        <v>0</v>
      </c>
    </row>
    <row r="383" spans="1:19">
      <c r="A383" s="963"/>
      <c r="B383" s="136"/>
      <c r="C383" s="52">
        <f t="shared" si="64"/>
        <v>1</v>
      </c>
      <c r="D383" s="961"/>
      <c r="E383" s="52">
        <f t="shared" si="65"/>
        <v>1</v>
      </c>
      <c r="F383" s="961"/>
      <c r="G383" s="52">
        <f t="shared" si="66"/>
        <v>1</v>
      </c>
      <c r="H383" s="961"/>
      <c r="I383" s="52">
        <f t="shared" si="67"/>
        <v>1</v>
      </c>
      <c r="J383" s="961"/>
      <c r="K383" s="52">
        <f t="shared" si="68"/>
        <v>1</v>
      </c>
      <c r="L383" s="961"/>
      <c r="M383" s="52">
        <f t="shared" si="69"/>
        <v>1</v>
      </c>
      <c r="N383" s="961"/>
      <c r="O383" s="52">
        <f t="shared" si="70"/>
        <v>1</v>
      </c>
      <c r="P383" s="961"/>
      <c r="Q383" s="52">
        <f t="shared" si="71"/>
        <v>1</v>
      </c>
      <c r="R383" s="489">
        <f t="shared" si="72"/>
        <v>0</v>
      </c>
      <c r="S383" s="798">
        <f t="shared" si="63"/>
        <v>0</v>
      </c>
    </row>
    <row r="384" spans="1:19">
      <c r="A384" s="963"/>
      <c r="B384" s="136"/>
      <c r="C384" s="52">
        <f t="shared" si="64"/>
        <v>1</v>
      </c>
      <c r="D384" s="961"/>
      <c r="E384" s="52">
        <f t="shared" si="65"/>
        <v>1</v>
      </c>
      <c r="F384" s="961"/>
      <c r="G384" s="52">
        <f t="shared" si="66"/>
        <v>1</v>
      </c>
      <c r="H384" s="961"/>
      <c r="I384" s="52">
        <f t="shared" si="67"/>
        <v>1</v>
      </c>
      <c r="J384" s="961"/>
      <c r="K384" s="52">
        <f t="shared" si="68"/>
        <v>1</v>
      </c>
      <c r="L384" s="961"/>
      <c r="M384" s="52">
        <f t="shared" si="69"/>
        <v>1</v>
      </c>
      <c r="N384" s="961"/>
      <c r="O384" s="52">
        <f t="shared" si="70"/>
        <v>1</v>
      </c>
      <c r="P384" s="961"/>
      <c r="Q384" s="52">
        <f t="shared" si="71"/>
        <v>1</v>
      </c>
      <c r="R384" s="489">
        <f t="shared" si="72"/>
        <v>0</v>
      </c>
      <c r="S384" s="798">
        <f t="shared" si="63"/>
        <v>0</v>
      </c>
    </row>
    <row r="385" spans="1:19">
      <c r="A385" s="963"/>
      <c r="B385" s="136"/>
      <c r="C385" s="52">
        <f t="shared" si="64"/>
        <v>1</v>
      </c>
      <c r="D385" s="961"/>
      <c r="E385" s="52">
        <f t="shared" si="65"/>
        <v>1</v>
      </c>
      <c r="F385" s="961"/>
      <c r="G385" s="52">
        <f t="shared" si="66"/>
        <v>1</v>
      </c>
      <c r="H385" s="961"/>
      <c r="I385" s="52">
        <f t="shared" si="67"/>
        <v>1</v>
      </c>
      <c r="J385" s="961"/>
      <c r="K385" s="52">
        <f t="shared" si="68"/>
        <v>1</v>
      </c>
      <c r="L385" s="961"/>
      <c r="M385" s="52">
        <f t="shared" si="69"/>
        <v>1</v>
      </c>
      <c r="N385" s="961"/>
      <c r="O385" s="52">
        <f t="shared" si="70"/>
        <v>1</v>
      </c>
      <c r="P385" s="961"/>
      <c r="Q385" s="52">
        <f t="shared" si="71"/>
        <v>1</v>
      </c>
      <c r="R385" s="489">
        <f t="shared" si="72"/>
        <v>0</v>
      </c>
      <c r="S385" s="798">
        <f t="shared" ref="S385:S422" si="73">ROUND(R385*B385/10000,0)</f>
        <v>0</v>
      </c>
    </row>
    <row r="386" spans="1:19">
      <c r="A386" s="963"/>
      <c r="B386" s="136"/>
      <c r="C386" s="52">
        <f t="shared" si="64"/>
        <v>1</v>
      </c>
      <c r="D386" s="961"/>
      <c r="E386" s="52">
        <f t="shared" si="65"/>
        <v>1</v>
      </c>
      <c r="F386" s="961"/>
      <c r="G386" s="52">
        <f t="shared" si="66"/>
        <v>1</v>
      </c>
      <c r="H386" s="961"/>
      <c r="I386" s="52">
        <f t="shared" si="67"/>
        <v>1</v>
      </c>
      <c r="J386" s="961"/>
      <c r="K386" s="52">
        <f t="shared" si="68"/>
        <v>1</v>
      </c>
      <c r="L386" s="961"/>
      <c r="M386" s="52">
        <f t="shared" si="69"/>
        <v>1</v>
      </c>
      <c r="N386" s="961"/>
      <c r="O386" s="52">
        <f t="shared" si="70"/>
        <v>1</v>
      </c>
      <c r="P386" s="961"/>
      <c r="Q386" s="52">
        <f t="shared" si="71"/>
        <v>1</v>
      </c>
      <c r="R386" s="489">
        <f t="shared" si="72"/>
        <v>0</v>
      </c>
      <c r="S386" s="798">
        <f t="shared" si="73"/>
        <v>0</v>
      </c>
    </row>
    <row r="387" spans="1:19">
      <c r="A387" s="963"/>
      <c r="B387" s="136"/>
      <c r="C387" s="52">
        <f t="shared" si="64"/>
        <v>1</v>
      </c>
      <c r="D387" s="961"/>
      <c r="E387" s="52">
        <f t="shared" si="65"/>
        <v>1</v>
      </c>
      <c r="F387" s="961"/>
      <c r="G387" s="52">
        <f t="shared" si="66"/>
        <v>1</v>
      </c>
      <c r="H387" s="961"/>
      <c r="I387" s="52">
        <f t="shared" si="67"/>
        <v>1</v>
      </c>
      <c r="J387" s="961"/>
      <c r="K387" s="52">
        <f t="shared" si="68"/>
        <v>1</v>
      </c>
      <c r="L387" s="961"/>
      <c r="M387" s="52">
        <f t="shared" si="69"/>
        <v>1</v>
      </c>
      <c r="N387" s="961"/>
      <c r="O387" s="52">
        <f t="shared" si="70"/>
        <v>1</v>
      </c>
      <c r="P387" s="961"/>
      <c r="Q387" s="52">
        <f t="shared" si="71"/>
        <v>1</v>
      </c>
      <c r="R387" s="489">
        <f t="shared" si="72"/>
        <v>0</v>
      </c>
      <c r="S387" s="798">
        <f t="shared" si="73"/>
        <v>0</v>
      </c>
    </row>
    <row r="388" spans="1:19">
      <c r="A388" s="963"/>
      <c r="B388" s="136"/>
      <c r="C388" s="52">
        <f t="shared" si="64"/>
        <v>1</v>
      </c>
      <c r="D388" s="961"/>
      <c r="E388" s="52">
        <f t="shared" si="65"/>
        <v>1</v>
      </c>
      <c r="F388" s="961"/>
      <c r="G388" s="52">
        <f t="shared" si="66"/>
        <v>1</v>
      </c>
      <c r="H388" s="961"/>
      <c r="I388" s="52">
        <f t="shared" si="67"/>
        <v>1</v>
      </c>
      <c r="J388" s="961"/>
      <c r="K388" s="52">
        <f t="shared" si="68"/>
        <v>1</v>
      </c>
      <c r="L388" s="961"/>
      <c r="M388" s="52">
        <f t="shared" si="69"/>
        <v>1</v>
      </c>
      <c r="N388" s="961"/>
      <c r="O388" s="52">
        <f t="shared" si="70"/>
        <v>1</v>
      </c>
      <c r="P388" s="961"/>
      <c r="Q388" s="52">
        <f t="shared" si="71"/>
        <v>1</v>
      </c>
      <c r="R388" s="489">
        <f t="shared" si="72"/>
        <v>0</v>
      </c>
      <c r="S388" s="798">
        <f t="shared" si="73"/>
        <v>0</v>
      </c>
    </row>
    <row r="389" spans="1:19">
      <c r="A389" s="963"/>
      <c r="B389" s="136"/>
      <c r="C389" s="52">
        <f t="shared" si="64"/>
        <v>1</v>
      </c>
      <c r="D389" s="961"/>
      <c r="E389" s="52">
        <f t="shared" si="65"/>
        <v>1</v>
      </c>
      <c r="F389" s="961"/>
      <c r="G389" s="52">
        <f t="shared" si="66"/>
        <v>1</v>
      </c>
      <c r="H389" s="961"/>
      <c r="I389" s="52">
        <f t="shared" si="67"/>
        <v>1</v>
      </c>
      <c r="J389" s="961"/>
      <c r="K389" s="52">
        <f t="shared" si="68"/>
        <v>1</v>
      </c>
      <c r="L389" s="961"/>
      <c r="M389" s="52">
        <f t="shared" si="69"/>
        <v>1</v>
      </c>
      <c r="N389" s="961"/>
      <c r="O389" s="52">
        <f t="shared" si="70"/>
        <v>1</v>
      </c>
      <c r="P389" s="961"/>
      <c r="Q389" s="52">
        <f t="shared" si="71"/>
        <v>1</v>
      </c>
      <c r="R389" s="489">
        <f t="shared" si="72"/>
        <v>0</v>
      </c>
      <c r="S389" s="798">
        <f t="shared" si="73"/>
        <v>0</v>
      </c>
    </row>
    <row r="390" spans="1:19">
      <c r="A390" s="963"/>
      <c r="B390" s="136"/>
      <c r="C390" s="52">
        <f t="shared" si="64"/>
        <v>1</v>
      </c>
      <c r="D390" s="961"/>
      <c r="E390" s="52">
        <f t="shared" si="65"/>
        <v>1</v>
      </c>
      <c r="F390" s="961"/>
      <c r="G390" s="52">
        <f t="shared" si="66"/>
        <v>1</v>
      </c>
      <c r="H390" s="961"/>
      <c r="I390" s="52">
        <f t="shared" si="67"/>
        <v>1</v>
      </c>
      <c r="J390" s="961"/>
      <c r="K390" s="52">
        <f t="shared" si="68"/>
        <v>1</v>
      </c>
      <c r="L390" s="961"/>
      <c r="M390" s="52">
        <f t="shared" si="69"/>
        <v>1</v>
      </c>
      <c r="N390" s="961"/>
      <c r="O390" s="52">
        <f t="shared" si="70"/>
        <v>1</v>
      </c>
      <c r="P390" s="961"/>
      <c r="Q390" s="52">
        <f t="shared" si="71"/>
        <v>1</v>
      </c>
      <c r="R390" s="489">
        <f t="shared" si="72"/>
        <v>0</v>
      </c>
      <c r="S390" s="798">
        <f t="shared" si="73"/>
        <v>0</v>
      </c>
    </row>
    <row r="391" spans="1:19">
      <c r="A391" s="963"/>
      <c r="B391" s="136"/>
      <c r="C391" s="52">
        <f t="shared" si="64"/>
        <v>1</v>
      </c>
      <c r="D391" s="961"/>
      <c r="E391" s="52">
        <f t="shared" si="65"/>
        <v>1</v>
      </c>
      <c r="F391" s="961"/>
      <c r="G391" s="52">
        <f t="shared" si="66"/>
        <v>1</v>
      </c>
      <c r="H391" s="961"/>
      <c r="I391" s="52">
        <f t="shared" si="67"/>
        <v>1</v>
      </c>
      <c r="J391" s="961"/>
      <c r="K391" s="52">
        <f t="shared" si="68"/>
        <v>1</v>
      </c>
      <c r="L391" s="961"/>
      <c r="M391" s="52">
        <f t="shared" si="69"/>
        <v>1</v>
      </c>
      <c r="N391" s="961"/>
      <c r="O391" s="52">
        <f t="shared" si="70"/>
        <v>1</v>
      </c>
      <c r="P391" s="961"/>
      <c r="Q391" s="52">
        <f t="shared" si="71"/>
        <v>1</v>
      </c>
      <c r="R391" s="489">
        <f t="shared" si="72"/>
        <v>0</v>
      </c>
      <c r="S391" s="798">
        <f t="shared" si="73"/>
        <v>0</v>
      </c>
    </row>
    <row r="392" spans="1:19">
      <c r="A392" s="963"/>
      <c r="B392" s="136"/>
      <c r="C392" s="52">
        <f t="shared" si="64"/>
        <v>1</v>
      </c>
      <c r="D392" s="961"/>
      <c r="E392" s="52">
        <f t="shared" si="65"/>
        <v>1</v>
      </c>
      <c r="F392" s="961"/>
      <c r="G392" s="52">
        <f t="shared" si="66"/>
        <v>1</v>
      </c>
      <c r="H392" s="961"/>
      <c r="I392" s="52">
        <f t="shared" si="67"/>
        <v>1</v>
      </c>
      <c r="J392" s="961"/>
      <c r="K392" s="52">
        <f t="shared" si="68"/>
        <v>1</v>
      </c>
      <c r="L392" s="961"/>
      <c r="M392" s="52">
        <f t="shared" si="69"/>
        <v>1</v>
      </c>
      <c r="N392" s="961"/>
      <c r="O392" s="52">
        <f t="shared" si="70"/>
        <v>1</v>
      </c>
      <c r="P392" s="961"/>
      <c r="Q392" s="52">
        <f t="shared" si="71"/>
        <v>1</v>
      </c>
      <c r="R392" s="489">
        <f t="shared" si="72"/>
        <v>0</v>
      </c>
      <c r="S392" s="798">
        <f t="shared" si="73"/>
        <v>0</v>
      </c>
    </row>
    <row r="393" spans="1:19">
      <c r="A393" s="963"/>
      <c r="B393" s="136"/>
      <c r="C393" s="52">
        <f t="shared" si="64"/>
        <v>1</v>
      </c>
      <c r="D393" s="961"/>
      <c r="E393" s="52">
        <f t="shared" si="65"/>
        <v>1</v>
      </c>
      <c r="F393" s="961"/>
      <c r="G393" s="52">
        <f t="shared" si="66"/>
        <v>1</v>
      </c>
      <c r="H393" s="961"/>
      <c r="I393" s="52">
        <f t="shared" si="67"/>
        <v>1</v>
      </c>
      <c r="J393" s="961"/>
      <c r="K393" s="52">
        <f t="shared" si="68"/>
        <v>1</v>
      </c>
      <c r="L393" s="961"/>
      <c r="M393" s="52">
        <f t="shared" si="69"/>
        <v>1</v>
      </c>
      <c r="N393" s="961"/>
      <c r="O393" s="52">
        <f t="shared" si="70"/>
        <v>1</v>
      </c>
      <c r="P393" s="961"/>
      <c r="Q393" s="52">
        <f t="shared" si="71"/>
        <v>1</v>
      </c>
      <c r="R393" s="489">
        <f t="shared" si="72"/>
        <v>0</v>
      </c>
      <c r="S393" s="798">
        <f t="shared" si="73"/>
        <v>0</v>
      </c>
    </row>
    <row r="394" spans="1:19">
      <c r="A394" s="963"/>
      <c r="B394" s="136"/>
      <c r="C394" s="52">
        <f t="shared" si="64"/>
        <v>1</v>
      </c>
      <c r="D394" s="961"/>
      <c r="E394" s="52">
        <f t="shared" si="65"/>
        <v>1</v>
      </c>
      <c r="F394" s="961"/>
      <c r="G394" s="52">
        <f t="shared" si="66"/>
        <v>1</v>
      </c>
      <c r="H394" s="961"/>
      <c r="I394" s="52">
        <f t="shared" si="67"/>
        <v>1</v>
      </c>
      <c r="J394" s="961"/>
      <c r="K394" s="52">
        <f t="shared" si="68"/>
        <v>1</v>
      </c>
      <c r="L394" s="961"/>
      <c r="M394" s="52">
        <f t="shared" si="69"/>
        <v>1</v>
      </c>
      <c r="N394" s="961"/>
      <c r="O394" s="52">
        <f t="shared" si="70"/>
        <v>1</v>
      </c>
      <c r="P394" s="961"/>
      <c r="Q394" s="52">
        <f t="shared" si="71"/>
        <v>1</v>
      </c>
      <c r="R394" s="489">
        <f t="shared" si="72"/>
        <v>0</v>
      </c>
      <c r="S394" s="798">
        <f t="shared" si="73"/>
        <v>0</v>
      </c>
    </row>
    <row r="395" spans="1:19">
      <c r="A395" s="963"/>
      <c r="B395" s="136"/>
      <c r="C395" s="52">
        <f t="shared" si="64"/>
        <v>1</v>
      </c>
      <c r="D395" s="961"/>
      <c r="E395" s="52">
        <f t="shared" si="65"/>
        <v>1</v>
      </c>
      <c r="F395" s="961"/>
      <c r="G395" s="52">
        <f t="shared" si="66"/>
        <v>1</v>
      </c>
      <c r="H395" s="961"/>
      <c r="I395" s="52">
        <f t="shared" si="67"/>
        <v>1</v>
      </c>
      <c r="J395" s="961"/>
      <c r="K395" s="52">
        <f t="shared" si="68"/>
        <v>1</v>
      </c>
      <c r="L395" s="961"/>
      <c r="M395" s="52">
        <f t="shared" si="69"/>
        <v>1</v>
      </c>
      <c r="N395" s="961"/>
      <c r="O395" s="52">
        <f t="shared" si="70"/>
        <v>1</v>
      </c>
      <c r="P395" s="961"/>
      <c r="Q395" s="52">
        <f t="shared" si="71"/>
        <v>1</v>
      </c>
      <c r="R395" s="489">
        <f t="shared" si="72"/>
        <v>0</v>
      </c>
      <c r="S395" s="798">
        <f t="shared" si="73"/>
        <v>0</v>
      </c>
    </row>
    <row r="396" spans="1:19">
      <c r="A396" s="963"/>
      <c r="B396" s="136"/>
      <c r="C396" s="52">
        <f t="shared" si="64"/>
        <v>1</v>
      </c>
      <c r="D396" s="961"/>
      <c r="E396" s="52">
        <f t="shared" si="65"/>
        <v>1</v>
      </c>
      <c r="F396" s="961"/>
      <c r="G396" s="52">
        <f t="shared" si="66"/>
        <v>1</v>
      </c>
      <c r="H396" s="961"/>
      <c r="I396" s="52">
        <f t="shared" si="67"/>
        <v>1</v>
      </c>
      <c r="J396" s="961"/>
      <c r="K396" s="52">
        <f t="shared" si="68"/>
        <v>1</v>
      </c>
      <c r="L396" s="961"/>
      <c r="M396" s="52">
        <f t="shared" si="69"/>
        <v>1</v>
      </c>
      <c r="N396" s="961"/>
      <c r="O396" s="52">
        <f t="shared" si="70"/>
        <v>1</v>
      </c>
      <c r="P396" s="961"/>
      <c r="Q396" s="52">
        <f t="shared" si="71"/>
        <v>1</v>
      </c>
      <c r="R396" s="489">
        <f t="shared" si="72"/>
        <v>0</v>
      </c>
      <c r="S396" s="798">
        <f t="shared" si="73"/>
        <v>0</v>
      </c>
    </row>
    <row r="397" spans="1:19">
      <c r="A397" s="963"/>
      <c r="B397" s="136"/>
      <c r="C397" s="52">
        <f t="shared" si="64"/>
        <v>1</v>
      </c>
      <c r="D397" s="961"/>
      <c r="E397" s="52">
        <f t="shared" si="65"/>
        <v>1</v>
      </c>
      <c r="F397" s="961"/>
      <c r="G397" s="52">
        <f t="shared" si="66"/>
        <v>1</v>
      </c>
      <c r="H397" s="961"/>
      <c r="I397" s="52">
        <f t="shared" si="67"/>
        <v>1</v>
      </c>
      <c r="J397" s="961"/>
      <c r="K397" s="52">
        <f t="shared" si="68"/>
        <v>1</v>
      </c>
      <c r="L397" s="961"/>
      <c r="M397" s="52">
        <f t="shared" si="69"/>
        <v>1</v>
      </c>
      <c r="N397" s="961"/>
      <c r="O397" s="52">
        <f t="shared" si="70"/>
        <v>1</v>
      </c>
      <c r="P397" s="961"/>
      <c r="Q397" s="52">
        <f t="shared" si="71"/>
        <v>1</v>
      </c>
      <c r="R397" s="489">
        <f t="shared" si="72"/>
        <v>0</v>
      </c>
      <c r="S397" s="798">
        <f t="shared" si="73"/>
        <v>0</v>
      </c>
    </row>
    <row r="398" spans="1:19">
      <c r="A398" s="963"/>
      <c r="B398" s="136"/>
      <c r="C398" s="52">
        <f t="shared" si="64"/>
        <v>1</v>
      </c>
      <c r="D398" s="961"/>
      <c r="E398" s="52">
        <f t="shared" si="65"/>
        <v>1</v>
      </c>
      <c r="F398" s="961"/>
      <c r="G398" s="52">
        <f t="shared" si="66"/>
        <v>1</v>
      </c>
      <c r="H398" s="961"/>
      <c r="I398" s="52">
        <f t="shared" si="67"/>
        <v>1</v>
      </c>
      <c r="J398" s="961"/>
      <c r="K398" s="52">
        <f t="shared" si="68"/>
        <v>1</v>
      </c>
      <c r="L398" s="961"/>
      <c r="M398" s="52">
        <f t="shared" si="69"/>
        <v>1</v>
      </c>
      <c r="N398" s="961"/>
      <c r="O398" s="52">
        <f t="shared" si="70"/>
        <v>1</v>
      </c>
      <c r="P398" s="961"/>
      <c r="Q398" s="52">
        <f t="shared" si="71"/>
        <v>1</v>
      </c>
      <c r="R398" s="489">
        <f t="shared" si="72"/>
        <v>0</v>
      </c>
      <c r="S398" s="798">
        <f t="shared" si="73"/>
        <v>0</v>
      </c>
    </row>
    <row r="399" spans="1:19">
      <c r="A399" s="963"/>
      <c r="B399" s="136"/>
      <c r="C399" s="52">
        <f t="shared" si="64"/>
        <v>1</v>
      </c>
      <c r="D399" s="961"/>
      <c r="E399" s="52">
        <f t="shared" si="65"/>
        <v>1</v>
      </c>
      <c r="F399" s="961"/>
      <c r="G399" s="52">
        <f t="shared" si="66"/>
        <v>1</v>
      </c>
      <c r="H399" s="961"/>
      <c r="I399" s="52">
        <f t="shared" si="67"/>
        <v>1</v>
      </c>
      <c r="J399" s="961"/>
      <c r="K399" s="52">
        <f t="shared" si="68"/>
        <v>1</v>
      </c>
      <c r="L399" s="961"/>
      <c r="M399" s="52">
        <f t="shared" si="69"/>
        <v>1</v>
      </c>
      <c r="N399" s="961"/>
      <c r="O399" s="52">
        <f t="shared" si="70"/>
        <v>1</v>
      </c>
      <c r="P399" s="961"/>
      <c r="Q399" s="52">
        <f t="shared" si="71"/>
        <v>1</v>
      </c>
      <c r="R399" s="489">
        <f t="shared" si="72"/>
        <v>0</v>
      </c>
      <c r="S399" s="798">
        <f t="shared" si="73"/>
        <v>0</v>
      </c>
    </row>
    <row r="400" spans="1:19">
      <c r="A400" s="963"/>
      <c r="B400" s="136"/>
      <c r="C400" s="52">
        <f t="shared" si="64"/>
        <v>1</v>
      </c>
      <c r="D400" s="961"/>
      <c r="E400" s="52">
        <f t="shared" si="65"/>
        <v>1</v>
      </c>
      <c r="F400" s="961"/>
      <c r="G400" s="52">
        <f t="shared" si="66"/>
        <v>1</v>
      </c>
      <c r="H400" s="961"/>
      <c r="I400" s="52">
        <f t="shared" si="67"/>
        <v>1</v>
      </c>
      <c r="J400" s="961"/>
      <c r="K400" s="52">
        <f t="shared" si="68"/>
        <v>1</v>
      </c>
      <c r="L400" s="961"/>
      <c r="M400" s="52">
        <f t="shared" si="69"/>
        <v>1</v>
      </c>
      <c r="N400" s="961"/>
      <c r="O400" s="52">
        <f t="shared" si="70"/>
        <v>1</v>
      </c>
      <c r="P400" s="961"/>
      <c r="Q400" s="52">
        <f t="shared" si="71"/>
        <v>1</v>
      </c>
      <c r="R400" s="489">
        <f t="shared" si="72"/>
        <v>0</v>
      </c>
      <c r="S400" s="798">
        <f t="shared" si="73"/>
        <v>0</v>
      </c>
    </row>
    <row r="401" spans="1:19">
      <c r="A401" s="963"/>
      <c r="B401" s="136"/>
      <c r="C401" s="52">
        <f t="shared" si="64"/>
        <v>1</v>
      </c>
      <c r="D401" s="961"/>
      <c r="E401" s="52">
        <f t="shared" si="65"/>
        <v>1</v>
      </c>
      <c r="F401" s="961"/>
      <c r="G401" s="52">
        <f t="shared" si="66"/>
        <v>1</v>
      </c>
      <c r="H401" s="961"/>
      <c r="I401" s="52">
        <f t="shared" si="67"/>
        <v>1</v>
      </c>
      <c r="J401" s="961"/>
      <c r="K401" s="52">
        <f t="shared" si="68"/>
        <v>1</v>
      </c>
      <c r="L401" s="961"/>
      <c r="M401" s="52">
        <f t="shared" si="69"/>
        <v>1</v>
      </c>
      <c r="N401" s="961"/>
      <c r="O401" s="52">
        <f t="shared" si="70"/>
        <v>1</v>
      </c>
      <c r="P401" s="961"/>
      <c r="Q401" s="52">
        <f t="shared" si="71"/>
        <v>1</v>
      </c>
      <c r="R401" s="489">
        <f t="shared" si="72"/>
        <v>0</v>
      </c>
      <c r="S401" s="798">
        <f t="shared" si="73"/>
        <v>0</v>
      </c>
    </row>
    <row r="402" spans="1:19">
      <c r="A402" s="963"/>
      <c r="B402" s="136"/>
      <c r="C402" s="52">
        <f t="shared" si="64"/>
        <v>1</v>
      </c>
      <c r="D402" s="961"/>
      <c r="E402" s="52">
        <f t="shared" si="65"/>
        <v>1</v>
      </c>
      <c r="F402" s="961"/>
      <c r="G402" s="52">
        <f t="shared" si="66"/>
        <v>1</v>
      </c>
      <c r="H402" s="961"/>
      <c r="I402" s="52">
        <f t="shared" si="67"/>
        <v>1</v>
      </c>
      <c r="J402" s="961"/>
      <c r="K402" s="52">
        <f t="shared" si="68"/>
        <v>1</v>
      </c>
      <c r="L402" s="961"/>
      <c r="M402" s="52">
        <f t="shared" si="69"/>
        <v>1</v>
      </c>
      <c r="N402" s="961"/>
      <c r="O402" s="52">
        <f t="shared" si="70"/>
        <v>1</v>
      </c>
      <c r="P402" s="961"/>
      <c r="Q402" s="52">
        <f t="shared" si="71"/>
        <v>1</v>
      </c>
      <c r="R402" s="489">
        <f t="shared" si="72"/>
        <v>0</v>
      </c>
      <c r="S402" s="798">
        <f t="shared" si="73"/>
        <v>0</v>
      </c>
    </row>
    <row r="403" spans="1:19">
      <c r="A403" s="963"/>
      <c r="B403" s="136"/>
      <c r="C403" s="52">
        <f t="shared" si="64"/>
        <v>1</v>
      </c>
      <c r="D403" s="961"/>
      <c r="E403" s="52">
        <f t="shared" si="65"/>
        <v>1</v>
      </c>
      <c r="F403" s="961"/>
      <c r="G403" s="52">
        <f t="shared" si="66"/>
        <v>1</v>
      </c>
      <c r="H403" s="961"/>
      <c r="I403" s="52">
        <f t="shared" si="67"/>
        <v>1</v>
      </c>
      <c r="J403" s="961"/>
      <c r="K403" s="52">
        <f t="shared" si="68"/>
        <v>1</v>
      </c>
      <c r="L403" s="961"/>
      <c r="M403" s="52">
        <f t="shared" si="69"/>
        <v>1</v>
      </c>
      <c r="N403" s="961"/>
      <c r="O403" s="52">
        <f t="shared" si="70"/>
        <v>1</v>
      </c>
      <c r="P403" s="961"/>
      <c r="Q403" s="52">
        <f t="shared" si="71"/>
        <v>1</v>
      </c>
      <c r="R403" s="489">
        <f t="shared" si="72"/>
        <v>0</v>
      </c>
      <c r="S403" s="798">
        <f t="shared" si="73"/>
        <v>0</v>
      </c>
    </row>
    <row r="404" spans="1:19">
      <c r="A404" s="963"/>
      <c r="B404" s="136"/>
      <c r="C404" s="52">
        <f t="shared" si="64"/>
        <v>1</v>
      </c>
      <c r="D404" s="961"/>
      <c r="E404" s="52">
        <f t="shared" si="65"/>
        <v>1</v>
      </c>
      <c r="F404" s="961"/>
      <c r="G404" s="52">
        <f t="shared" si="66"/>
        <v>1</v>
      </c>
      <c r="H404" s="961"/>
      <c r="I404" s="52">
        <f t="shared" si="67"/>
        <v>1</v>
      </c>
      <c r="J404" s="961"/>
      <c r="K404" s="52">
        <f t="shared" si="68"/>
        <v>1</v>
      </c>
      <c r="L404" s="961"/>
      <c r="M404" s="52">
        <f t="shared" si="69"/>
        <v>1</v>
      </c>
      <c r="N404" s="961"/>
      <c r="O404" s="52">
        <f t="shared" si="70"/>
        <v>1</v>
      </c>
      <c r="P404" s="961"/>
      <c r="Q404" s="52">
        <f t="shared" si="71"/>
        <v>1</v>
      </c>
      <c r="R404" s="489">
        <f t="shared" si="72"/>
        <v>0</v>
      </c>
      <c r="S404" s="798">
        <f t="shared" si="73"/>
        <v>0</v>
      </c>
    </row>
    <row r="405" spans="1:19">
      <c r="A405" s="963"/>
      <c r="B405" s="136"/>
      <c r="C405" s="52">
        <f t="shared" si="64"/>
        <v>1</v>
      </c>
      <c r="D405" s="961"/>
      <c r="E405" s="52">
        <f t="shared" si="65"/>
        <v>1</v>
      </c>
      <c r="F405" s="961"/>
      <c r="G405" s="52">
        <f t="shared" si="66"/>
        <v>1</v>
      </c>
      <c r="H405" s="961"/>
      <c r="I405" s="52">
        <f t="shared" si="67"/>
        <v>1</v>
      </c>
      <c r="J405" s="961"/>
      <c r="K405" s="52">
        <f t="shared" si="68"/>
        <v>1</v>
      </c>
      <c r="L405" s="961"/>
      <c r="M405" s="52">
        <f t="shared" si="69"/>
        <v>1</v>
      </c>
      <c r="N405" s="961"/>
      <c r="O405" s="52">
        <f t="shared" si="70"/>
        <v>1</v>
      </c>
      <c r="P405" s="961"/>
      <c r="Q405" s="52">
        <f t="shared" si="71"/>
        <v>1</v>
      </c>
      <c r="R405" s="489">
        <f t="shared" si="72"/>
        <v>0</v>
      </c>
      <c r="S405" s="798">
        <f t="shared" si="73"/>
        <v>0</v>
      </c>
    </row>
    <row r="406" spans="1:19">
      <c r="A406" s="963"/>
      <c r="B406" s="136"/>
      <c r="C406" s="52">
        <f t="shared" si="64"/>
        <v>1</v>
      </c>
      <c r="D406" s="961"/>
      <c r="E406" s="52">
        <f t="shared" si="65"/>
        <v>1</v>
      </c>
      <c r="F406" s="961"/>
      <c r="G406" s="52">
        <f t="shared" si="66"/>
        <v>1</v>
      </c>
      <c r="H406" s="961"/>
      <c r="I406" s="52">
        <f t="shared" si="67"/>
        <v>1</v>
      </c>
      <c r="J406" s="961"/>
      <c r="K406" s="52">
        <f t="shared" si="68"/>
        <v>1</v>
      </c>
      <c r="L406" s="961"/>
      <c r="M406" s="52">
        <f t="shared" si="69"/>
        <v>1</v>
      </c>
      <c r="N406" s="961"/>
      <c r="O406" s="52">
        <f t="shared" si="70"/>
        <v>1</v>
      </c>
      <c r="P406" s="961"/>
      <c r="Q406" s="52">
        <f t="shared" si="71"/>
        <v>1</v>
      </c>
      <c r="R406" s="489">
        <f t="shared" si="72"/>
        <v>0</v>
      </c>
      <c r="S406" s="798">
        <f t="shared" si="73"/>
        <v>0</v>
      </c>
    </row>
    <row r="407" spans="1:19">
      <c r="A407" s="963"/>
      <c r="B407" s="136"/>
      <c r="C407" s="52">
        <f t="shared" si="64"/>
        <v>1</v>
      </c>
      <c r="D407" s="961"/>
      <c r="E407" s="52">
        <f t="shared" si="65"/>
        <v>1</v>
      </c>
      <c r="F407" s="961"/>
      <c r="G407" s="52">
        <f t="shared" si="66"/>
        <v>1</v>
      </c>
      <c r="H407" s="961"/>
      <c r="I407" s="52">
        <f t="shared" si="67"/>
        <v>1</v>
      </c>
      <c r="J407" s="961"/>
      <c r="K407" s="52">
        <f t="shared" si="68"/>
        <v>1</v>
      </c>
      <c r="L407" s="961"/>
      <c r="M407" s="52">
        <f t="shared" si="69"/>
        <v>1</v>
      </c>
      <c r="N407" s="961"/>
      <c r="O407" s="52">
        <f t="shared" si="70"/>
        <v>1</v>
      </c>
      <c r="P407" s="961"/>
      <c r="Q407" s="52">
        <f t="shared" si="71"/>
        <v>1</v>
      </c>
      <c r="R407" s="489">
        <f t="shared" si="72"/>
        <v>0</v>
      </c>
      <c r="S407" s="798">
        <f t="shared" si="73"/>
        <v>0</v>
      </c>
    </row>
    <row r="408" spans="1:19">
      <c r="A408" s="963"/>
      <c r="B408" s="136"/>
      <c r="C408" s="52">
        <f t="shared" si="64"/>
        <v>1</v>
      </c>
      <c r="D408" s="961"/>
      <c r="E408" s="52">
        <f t="shared" si="65"/>
        <v>1</v>
      </c>
      <c r="F408" s="961"/>
      <c r="G408" s="52">
        <f t="shared" si="66"/>
        <v>1</v>
      </c>
      <c r="H408" s="961"/>
      <c r="I408" s="52">
        <f t="shared" si="67"/>
        <v>1</v>
      </c>
      <c r="J408" s="961"/>
      <c r="K408" s="52">
        <f t="shared" si="68"/>
        <v>1</v>
      </c>
      <c r="L408" s="961"/>
      <c r="M408" s="52">
        <f t="shared" si="69"/>
        <v>1</v>
      </c>
      <c r="N408" s="961"/>
      <c r="O408" s="52">
        <f t="shared" si="70"/>
        <v>1</v>
      </c>
      <c r="P408" s="961"/>
      <c r="Q408" s="52">
        <f t="shared" si="71"/>
        <v>1</v>
      </c>
      <c r="R408" s="489">
        <f t="shared" si="72"/>
        <v>0</v>
      </c>
      <c r="S408" s="798">
        <f t="shared" si="73"/>
        <v>0</v>
      </c>
    </row>
    <row r="409" spans="1:19">
      <c r="A409" s="963"/>
      <c r="B409" s="136"/>
      <c r="C409" s="52">
        <f t="shared" si="64"/>
        <v>1</v>
      </c>
      <c r="D409" s="961"/>
      <c r="E409" s="52">
        <f t="shared" si="65"/>
        <v>1</v>
      </c>
      <c r="F409" s="961"/>
      <c r="G409" s="52">
        <f t="shared" si="66"/>
        <v>1</v>
      </c>
      <c r="H409" s="961"/>
      <c r="I409" s="52">
        <f t="shared" si="67"/>
        <v>1</v>
      </c>
      <c r="J409" s="961"/>
      <c r="K409" s="52">
        <f t="shared" si="68"/>
        <v>1</v>
      </c>
      <c r="L409" s="961"/>
      <c r="M409" s="52">
        <f t="shared" si="69"/>
        <v>1</v>
      </c>
      <c r="N409" s="961"/>
      <c r="O409" s="52">
        <f t="shared" si="70"/>
        <v>1</v>
      </c>
      <c r="P409" s="961"/>
      <c r="Q409" s="52">
        <f t="shared" si="71"/>
        <v>1</v>
      </c>
      <c r="R409" s="489">
        <f t="shared" si="72"/>
        <v>0</v>
      </c>
      <c r="S409" s="798">
        <f t="shared" si="73"/>
        <v>0</v>
      </c>
    </row>
    <row r="410" spans="1:19">
      <c r="A410" s="963"/>
      <c r="B410" s="136"/>
      <c r="C410" s="52">
        <f t="shared" ref="C410:C473" si="74">IF(B410="",1,(LOOKUP(B410,$3:$3,$4:$4)-LOOKUP($B$24,$3:$3,$4:$4)+100)/100)</f>
        <v>1</v>
      </c>
      <c r="D410" s="961"/>
      <c r="E410" s="52">
        <f t="shared" ref="E410:E473" si="75">(SUMIF($5:$5,D410,$6:$6)-SUMIF($5:$5,$D$24,$6:$6)+100)/100</f>
        <v>1</v>
      </c>
      <c r="F410" s="961"/>
      <c r="G410" s="52">
        <f t="shared" ref="G410:G473" si="76">(SUMIF($7:$7,F410,$8:$8)-SUMIF($7:$7,$F$24,$8:$8)+100)/100</f>
        <v>1</v>
      </c>
      <c r="H410" s="961"/>
      <c r="I410" s="52">
        <f t="shared" ref="I410:I473" si="77">(SUMIF($9:$9,H410,$10:$10)-SUMIF($9:$9,$H$24,$10:$10)+100)/100</f>
        <v>1</v>
      </c>
      <c r="J410" s="961"/>
      <c r="K410" s="52">
        <f t="shared" ref="K410:K473" si="78">(SUMIF($11:$11,J410,$12:$12)-SUMIF($11:$11,$J$24,$12:$12)+100)/100</f>
        <v>1</v>
      </c>
      <c r="L410" s="961"/>
      <c r="M410" s="52">
        <f t="shared" ref="M410:M473" si="79">(SUMIF($13:$13,L410,$14:$14)-SUMIF($13:$13,$L$24,$14:$14)+100)/100</f>
        <v>1</v>
      </c>
      <c r="N410" s="961"/>
      <c r="O410" s="52">
        <f t="shared" ref="O410:O473" si="80">(SUMIF($15:$15,N410,$16:$16)-SUMIF($15:$15,$N$24,$16:$16)+100)/100</f>
        <v>1</v>
      </c>
      <c r="P410" s="961"/>
      <c r="Q410" s="52">
        <f t="shared" ref="Q410:Q473" si="81">(SUMIF($17:$17,P410,$18:$18)-SUMIF($17:$17,$P$24,$18:$18)+100)/100</f>
        <v>1</v>
      </c>
      <c r="R410" s="489">
        <f t="shared" ref="R410:R473" si="82">IF(B410="",0,ROUND($R$24*C410*E410*G410*I410*K410*M410*O410*Q410,0))</f>
        <v>0</v>
      </c>
      <c r="S410" s="798">
        <f t="shared" si="73"/>
        <v>0</v>
      </c>
    </row>
    <row r="411" spans="1:19">
      <c r="A411" s="963"/>
      <c r="B411" s="136"/>
      <c r="C411" s="52">
        <f t="shared" si="74"/>
        <v>1</v>
      </c>
      <c r="D411" s="961"/>
      <c r="E411" s="52">
        <f t="shared" si="75"/>
        <v>1</v>
      </c>
      <c r="F411" s="961"/>
      <c r="G411" s="52">
        <f t="shared" si="76"/>
        <v>1</v>
      </c>
      <c r="H411" s="961"/>
      <c r="I411" s="52">
        <f t="shared" si="77"/>
        <v>1</v>
      </c>
      <c r="J411" s="961"/>
      <c r="K411" s="52">
        <f t="shared" si="78"/>
        <v>1</v>
      </c>
      <c r="L411" s="961"/>
      <c r="M411" s="52">
        <f t="shared" si="79"/>
        <v>1</v>
      </c>
      <c r="N411" s="961"/>
      <c r="O411" s="52">
        <f t="shared" si="80"/>
        <v>1</v>
      </c>
      <c r="P411" s="961"/>
      <c r="Q411" s="52">
        <f t="shared" si="81"/>
        <v>1</v>
      </c>
      <c r="R411" s="489">
        <f t="shared" si="82"/>
        <v>0</v>
      </c>
      <c r="S411" s="798">
        <f t="shared" si="73"/>
        <v>0</v>
      </c>
    </row>
    <row r="412" spans="1:19">
      <c r="A412" s="963"/>
      <c r="B412" s="136"/>
      <c r="C412" s="52">
        <f t="shared" si="74"/>
        <v>1</v>
      </c>
      <c r="D412" s="961"/>
      <c r="E412" s="52">
        <f t="shared" si="75"/>
        <v>1</v>
      </c>
      <c r="F412" s="961"/>
      <c r="G412" s="52">
        <f t="shared" si="76"/>
        <v>1</v>
      </c>
      <c r="H412" s="961"/>
      <c r="I412" s="52">
        <f t="shared" si="77"/>
        <v>1</v>
      </c>
      <c r="J412" s="961"/>
      <c r="K412" s="52">
        <f t="shared" si="78"/>
        <v>1</v>
      </c>
      <c r="L412" s="961"/>
      <c r="M412" s="52">
        <f t="shared" si="79"/>
        <v>1</v>
      </c>
      <c r="N412" s="961"/>
      <c r="O412" s="52">
        <f t="shared" si="80"/>
        <v>1</v>
      </c>
      <c r="P412" s="961"/>
      <c r="Q412" s="52">
        <f t="shared" si="81"/>
        <v>1</v>
      </c>
      <c r="R412" s="489">
        <f t="shared" si="82"/>
        <v>0</v>
      </c>
      <c r="S412" s="798">
        <f t="shared" si="73"/>
        <v>0</v>
      </c>
    </row>
    <row r="413" spans="1:19">
      <c r="A413" s="963"/>
      <c r="B413" s="136"/>
      <c r="C413" s="52">
        <f t="shared" si="74"/>
        <v>1</v>
      </c>
      <c r="D413" s="961"/>
      <c r="E413" s="52">
        <f t="shared" si="75"/>
        <v>1</v>
      </c>
      <c r="F413" s="961"/>
      <c r="G413" s="52">
        <f t="shared" si="76"/>
        <v>1</v>
      </c>
      <c r="H413" s="961"/>
      <c r="I413" s="52">
        <f t="shared" si="77"/>
        <v>1</v>
      </c>
      <c r="J413" s="961"/>
      <c r="K413" s="52">
        <f t="shared" si="78"/>
        <v>1</v>
      </c>
      <c r="L413" s="961"/>
      <c r="M413" s="52">
        <f t="shared" si="79"/>
        <v>1</v>
      </c>
      <c r="N413" s="961"/>
      <c r="O413" s="52">
        <f t="shared" si="80"/>
        <v>1</v>
      </c>
      <c r="P413" s="961"/>
      <c r="Q413" s="52">
        <f t="shared" si="81"/>
        <v>1</v>
      </c>
      <c r="R413" s="489">
        <f t="shared" si="82"/>
        <v>0</v>
      </c>
      <c r="S413" s="798">
        <f t="shared" si="73"/>
        <v>0</v>
      </c>
    </row>
    <row r="414" spans="1:19">
      <c r="A414" s="963"/>
      <c r="B414" s="136"/>
      <c r="C414" s="52">
        <f t="shared" si="74"/>
        <v>1</v>
      </c>
      <c r="D414" s="961"/>
      <c r="E414" s="52">
        <f t="shared" si="75"/>
        <v>1</v>
      </c>
      <c r="F414" s="961"/>
      <c r="G414" s="52">
        <f t="shared" si="76"/>
        <v>1</v>
      </c>
      <c r="H414" s="961"/>
      <c r="I414" s="52">
        <f t="shared" si="77"/>
        <v>1</v>
      </c>
      <c r="J414" s="961"/>
      <c r="K414" s="52">
        <f t="shared" si="78"/>
        <v>1</v>
      </c>
      <c r="L414" s="961"/>
      <c r="M414" s="52">
        <f t="shared" si="79"/>
        <v>1</v>
      </c>
      <c r="N414" s="961"/>
      <c r="O414" s="52">
        <f t="shared" si="80"/>
        <v>1</v>
      </c>
      <c r="P414" s="961"/>
      <c r="Q414" s="52">
        <f t="shared" si="81"/>
        <v>1</v>
      </c>
      <c r="R414" s="489">
        <f t="shared" si="82"/>
        <v>0</v>
      </c>
      <c r="S414" s="798">
        <f t="shared" si="73"/>
        <v>0</v>
      </c>
    </row>
    <row r="415" spans="1:19">
      <c r="A415" s="963"/>
      <c r="B415" s="136"/>
      <c r="C415" s="52">
        <f t="shared" si="74"/>
        <v>1</v>
      </c>
      <c r="D415" s="961"/>
      <c r="E415" s="52">
        <f t="shared" si="75"/>
        <v>1</v>
      </c>
      <c r="F415" s="961"/>
      <c r="G415" s="52">
        <f t="shared" si="76"/>
        <v>1</v>
      </c>
      <c r="H415" s="961"/>
      <c r="I415" s="52">
        <f t="shared" si="77"/>
        <v>1</v>
      </c>
      <c r="J415" s="961"/>
      <c r="K415" s="52">
        <f t="shared" si="78"/>
        <v>1</v>
      </c>
      <c r="L415" s="961"/>
      <c r="M415" s="52">
        <f t="shared" si="79"/>
        <v>1</v>
      </c>
      <c r="N415" s="961"/>
      <c r="O415" s="52">
        <f t="shared" si="80"/>
        <v>1</v>
      </c>
      <c r="P415" s="961"/>
      <c r="Q415" s="52">
        <f t="shared" si="81"/>
        <v>1</v>
      </c>
      <c r="R415" s="489">
        <f t="shared" si="82"/>
        <v>0</v>
      </c>
      <c r="S415" s="798">
        <f t="shared" si="73"/>
        <v>0</v>
      </c>
    </row>
    <row r="416" spans="1:19">
      <c r="A416" s="963"/>
      <c r="B416" s="136"/>
      <c r="C416" s="52">
        <f t="shared" si="74"/>
        <v>1</v>
      </c>
      <c r="D416" s="961"/>
      <c r="E416" s="52">
        <f t="shared" si="75"/>
        <v>1</v>
      </c>
      <c r="F416" s="961"/>
      <c r="G416" s="52">
        <f t="shared" si="76"/>
        <v>1</v>
      </c>
      <c r="H416" s="961"/>
      <c r="I416" s="52">
        <f t="shared" si="77"/>
        <v>1</v>
      </c>
      <c r="J416" s="961"/>
      <c r="K416" s="52">
        <f t="shared" si="78"/>
        <v>1</v>
      </c>
      <c r="L416" s="961"/>
      <c r="M416" s="52">
        <f t="shared" si="79"/>
        <v>1</v>
      </c>
      <c r="N416" s="961"/>
      <c r="O416" s="52">
        <f t="shared" si="80"/>
        <v>1</v>
      </c>
      <c r="P416" s="961"/>
      <c r="Q416" s="52">
        <f t="shared" si="81"/>
        <v>1</v>
      </c>
      <c r="R416" s="489">
        <f t="shared" si="82"/>
        <v>0</v>
      </c>
      <c r="S416" s="798">
        <f t="shared" si="73"/>
        <v>0</v>
      </c>
    </row>
    <row r="417" spans="1:19">
      <c r="A417" s="963"/>
      <c r="B417" s="136"/>
      <c r="C417" s="52">
        <f t="shared" si="74"/>
        <v>1</v>
      </c>
      <c r="D417" s="961"/>
      <c r="E417" s="52">
        <f t="shared" si="75"/>
        <v>1</v>
      </c>
      <c r="F417" s="961"/>
      <c r="G417" s="52">
        <f t="shared" si="76"/>
        <v>1</v>
      </c>
      <c r="H417" s="961"/>
      <c r="I417" s="52">
        <f t="shared" si="77"/>
        <v>1</v>
      </c>
      <c r="J417" s="961"/>
      <c r="K417" s="52">
        <f t="shared" si="78"/>
        <v>1</v>
      </c>
      <c r="L417" s="961"/>
      <c r="M417" s="52">
        <f t="shared" si="79"/>
        <v>1</v>
      </c>
      <c r="N417" s="961"/>
      <c r="O417" s="52">
        <f t="shared" si="80"/>
        <v>1</v>
      </c>
      <c r="P417" s="961"/>
      <c r="Q417" s="52">
        <f t="shared" si="81"/>
        <v>1</v>
      </c>
      <c r="R417" s="489">
        <f t="shared" si="82"/>
        <v>0</v>
      </c>
      <c r="S417" s="798">
        <f t="shared" si="73"/>
        <v>0</v>
      </c>
    </row>
    <row r="418" spans="1:19">
      <c r="A418" s="963"/>
      <c r="B418" s="136"/>
      <c r="C418" s="52">
        <f t="shared" si="74"/>
        <v>1</v>
      </c>
      <c r="D418" s="961"/>
      <c r="E418" s="52">
        <f t="shared" si="75"/>
        <v>1</v>
      </c>
      <c r="F418" s="961"/>
      <c r="G418" s="52">
        <f t="shared" si="76"/>
        <v>1</v>
      </c>
      <c r="H418" s="961"/>
      <c r="I418" s="52">
        <f t="shared" si="77"/>
        <v>1</v>
      </c>
      <c r="J418" s="961"/>
      <c r="K418" s="52">
        <f t="shared" si="78"/>
        <v>1</v>
      </c>
      <c r="L418" s="961"/>
      <c r="M418" s="52">
        <f t="shared" si="79"/>
        <v>1</v>
      </c>
      <c r="N418" s="961"/>
      <c r="O418" s="52">
        <f t="shared" si="80"/>
        <v>1</v>
      </c>
      <c r="P418" s="961"/>
      <c r="Q418" s="52">
        <f t="shared" si="81"/>
        <v>1</v>
      </c>
      <c r="R418" s="489">
        <f t="shared" si="82"/>
        <v>0</v>
      </c>
      <c r="S418" s="798">
        <f t="shared" si="73"/>
        <v>0</v>
      </c>
    </row>
    <row r="419" spans="1:19">
      <c r="A419" s="963"/>
      <c r="B419" s="136"/>
      <c r="C419" s="52">
        <f t="shared" si="74"/>
        <v>1</v>
      </c>
      <c r="D419" s="961"/>
      <c r="E419" s="52">
        <f t="shared" si="75"/>
        <v>1</v>
      </c>
      <c r="F419" s="961"/>
      <c r="G419" s="52">
        <f t="shared" si="76"/>
        <v>1</v>
      </c>
      <c r="H419" s="961"/>
      <c r="I419" s="52">
        <f t="shared" si="77"/>
        <v>1</v>
      </c>
      <c r="J419" s="961"/>
      <c r="K419" s="52">
        <f t="shared" si="78"/>
        <v>1</v>
      </c>
      <c r="L419" s="961"/>
      <c r="M419" s="52">
        <f t="shared" si="79"/>
        <v>1</v>
      </c>
      <c r="N419" s="961"/>
      <c r="O419" s="52">
        <f t="shared" si="80"/>
        <v>1</v>
      </c>
      <c r="P419" s="961"/>
      <c r="Q419" s="52">
        <f t="shared" si="81"/>
        <v>1</v>
      </c>
      <c r="R419" s="489">
        <f t="shared" si="82"/>
        <v>0</v>
      </c>
      <c r="S419" s="798">
        <f t="shared" si="73"/>
        <v>0</v>
      </c>
    </row>
    <row r="420" spans="1:19">
      <c r="A420" s="963"/>
      <c r="B420" s="136"/>
      <c r="C420" s="52">
        <f t="shared" si="74"/>
        <v>1</v>
      </c>
      <c r="D420" s="961"/>
      <c r="E420" s="52">
        <f t="shared" si="75"/>
        <v>1</v>
      </c>
      <c r="F420" s="961"/>
      <c r="G420" s="52">
        <f t="shared" si="76"/>
        <v>1</v>
      </c>
      <c r="H420" s="961"/>
      <c r="I420" s="52">
        <f t="shared" si="77"/>
        <v>1</v>
      </c>
      <c r="J420" s="961"/>
      <c r="K420" s="52">
        <f t="shared" si="78"/>
        <v>1</v>
      </c>
      <c r="L420" s="961"/>
      <c r="M420" s="52">
        <f t="shared" si="79"/>
        <v>1</v>
      </c>
      <c r="N420" s="961"/>
      <c r="O420" s="52">
        <f t="shared" si="80"/>
        <v>1</v>
      </c>
      <c r="P420" s="961"/>
      <c r="Q420" s="52">
        <f t="shared" si="81"/>
        <v>1</v>
      </c>
      <c r="R420" s="489">
        <f t="shared" si="82"/>
        <v>0</v>
      </c>
      <c r="S420" s="798">
        <f t="shared" si="73"/>
        <v>0</v>
      </c>
    </row>
    <row r="421" spans="1:19">
      <c r="A421" s="963"/>
      <c r="B421" s="136"/>
      <c r="C421" s="52">
        <f t="shared" si="74"/>
        <v>1</v>
      </c>
      <c r="D421" s="961"/>
      <c r="E421" s="52">
        <f t="shared" si="75"/>
        <v>1</v>
      </c>
      <c r="F421" s="961"/>
      <c r="G421" s="52">
        <f t="shared" si="76"/>
        <v>1</v>
      </c>
      <c r="H421" s="961"/>
      <c r="I421" s="52">
        <f t="shared" si="77"/>
        <v>1</v>
      </c>
      <c r="J421" s="961"/>
      <c r="K421" s="52">
        <f t="shared" si="78"/>
        <v>1</v>
      </c>
      <c r="L421" s="961"/>
      <c r="M421" s="52">
        <f t="shared" si="79"/>
        <v>1</v>
      </c>
      <c r="N421" s="961"/>
      <c r="O421" s="52">
        <f t="shared" si="80"/>
        <v>1</v>
      </c>
      <c r="P421" s="961"/>
      <c r="Q421" s="52">
        <f t="shared" si="81"/>
        <v>1</v>
      </c>
      <c r="R421" s="489">
        <f t="shared" si="82"/>
        <v>0</v>
      </c>
      <c r="S421" s="798">
        <f t="shared" si="73"/>
        <v>0</v>
      </c>
    </row>
    <row r="422" spans="1:19">
      <c r="A422" s="963"/>
      <c r="B422" s="136"/>
      <c r="C422" s="52">
        <f t="shared" si="74"/>
        <v>1</v>
      </c>
      <c r="D422" s="961"/>
      <c r="E422" s="52">
        <f t="shared" si="75"/>
        <v>1</v>
      </c>
      <c r="F422" s="961"/>
      <c r="G422" s="52">
        <f t="shared" si="76"/>
        <v>1</v>
      </c>
      <c r="H422" s="961"/>
      <c r="I422" s="52">
        <f t="shared" si="77"/>
        <v>1</v>
      </c>
      <c r="J422" s="961"/>
      <c r="K422" s="52">
        <f t="shared" si="78"/>
        <v>1</v>
      </c>
      <c r="L422" s="961"/>
      <c r="M422" s="52">
        <f t="shared" si="79"/>
        <v>1</v>
      </c>
      <c r="N422" s="961"/>
      <c r="O422" s="52">
        <f t="shared" si="80"/>
        <v>1</v>
      </c>
      <c r="P422" s="961"/>
      <c r="Q422" s="52">
        <f t="shared" si="81"/>
        <v>1</v>
      </c>
      <c r="R422" s="489">
        <f t="shared" si="82"/>
        <v>0</v>
      </c>
      <c r="S422" s="798">
        <f t="shared" si="73"/>
        <v>0</v>
      </c>
    </row>
    <row r="423" spans="1:19">
      <c r="A423" s="963"/>
      <c r="B423" s="136"/>
      <c r="C423" s="52">
        <f t="shared" si="74"/>
        <v>1</v>
      </c>
      <c r="D423" s="961"/>
      <c r="E423" s="52">
        <f t="shared" si="75"/>
        <v>1</v>
      </c>
      <c r="F423" s="961"/>
      <c r="G423" s="52">
        <f t="shared" si="76"/>
        <v>1</v>
      </c>
      <c r="H423" s="961"/>
      <c r="I423" s="52">
        <f t="shared" si="77"/>
        <v>1</v>
      </c>
      <c r="J423" s="961"/>
      <c r="K423" s="52">
        <f t="shared" si="78"/>
        <v>1</v>
      </c>
      <c r="L423" s="961"/>
      <c r="M423" s="52">
        <f t="shared" si="79"/>
        <v>1</v>
      </c>
      <c r="N423" s="961"/>
      <c r="O423" s="52">
        <f t="shared" si="80"/>
        <v>1</v>
      </c>
      <c r="P423" s="961"/>
      <c r="Q423" s="52">
        <f t="shared" si="81"/>
        <v>1</v>
      </c>
      <c r="R423" s="489">
        <f t="shared" si="82"/>
        <v>0</v>
      </c>
      <c r="S423" s="798">
        <f t="shared" ref="S423:S467" si="83">ROUND(R423*B423/10000,0)</f>
        <v>0</v>
      </c>
    </row>
    <row r="424" spans="1:19">
      <c r="A424" s="963"/>
      <c r="B424" s="136"/>
      <c r="C424" s="52">
        <f t="shared" si="74"/>
        <v>1</v>
      </c>
      <c r="D424" s="961"/>
      <c r="E424" s="52">
        <f t="shared" si="75"/>
        <v>1</v>
      </c>
      <c r="F424" s="961"/>
      <c r="G424" s="52">
        <f t="shared" si="76"/>
        <v>1</v>
      </c>
      <c r="H424" s="961"/>
      <c r="I424" s="52">
        <f t="shared" si="77"/>
        <v>1</v>
      </c>
      <c r="J424" s="961"/>
      <c r="K424" s="52">
        <f t="shared" si="78"/>
        <v>1</v>
      </c>
      <c r="L424" s="961"/>
      <c r="M424" s="52">
        <f t="shared" si="79"/>
        <v>1</v>
      </c>
      <c r="N424" s="961"/>
      <c r="O424" s="52">
        <f t="shared" si="80"/>
        <v>1</v>
      </c>
      <c r="P424" s="961"/>
      <c r="Q424" s="52">
        <f t="shared" si="81"/>
        <v>1</v>
      </c>
      <c r="R424" s="489">
        <f t="shared" si="82"/>
        <v>0</v>
      </c>
      <c r="S424" s="798">
        <f t="shared" si="83"/>
        <v>0</v>
      </c>
    </row>
    <row r="425" spans="1:19">
      <c r="A425" s="963"/>
      <c r="B425" s="136"/>
      <c r="C425" s="52">
        <f t="shared" si="74"/>
        <v>1</v>
      </c>
      <c r="D425" s="961"/>
      <c r="E425" s="52">
        <f t="shared" si="75"/>
        <v>1</v>
      </c>
      <c r="F425" s="961"/>
      <c r="G425" s="52">
        <f t="shared" si="76"/>
        <v>1</v>
      </c>
      <c r="H425" s="961"/>
      <c r="I425" s="52">
        <f t="shared" si="77"/>
        <v>1</v>
      </c>
      <c r="J425" s="961"/>
      <c r="K425" s="52">
        <f t="shared" si="78"/>
        <v>1</v>
      </c>
      <c r="L425" s="961"/>
      <c r="M425" s="52">
        <f t="shared" si="79"/>
        <v>1</v>
      </c>
      <c r="N425" s="961"/>
      <c r="O425" s="52">
        <f t="shared" si="80"/>
        <v>1</v>
      </c>
      <c r="P425" s="961"/>
      <c r="Q425" s="52">
        <f t="shared" si="81"/>
        <v>1</v>
      </c>
      <c r="R425" s="489">
        <f t="shared" si="82"/>
        <v>0</v>
      </c>
      <c r="S425" s="798">
        <f t="shared" si="83"/>
        <v>0</v>
      </c>
    </row>
    <row r="426" spans="1:19">
      <c r="A426" s="963"/>
      <c r="B426" s="136"/>
      <c r="C426" s="52">
        <f t="shared" si="74"/>
        <v>1</v>
      </c>
      <c r="D426" s="961"/>
      <c r="E426" s="52">
        <f t="shared" si="75"/>
        <v>1</v>
      </c>
      <c r="F426" s="961"/>
      <c r="G426" s="52">
        <f t="shared" si="76"/>
        <v>1</v>
      </c>
      <c r="H426" s="961"/>
      <c r="I426" s="52">
        <f t="shared" si="77"/>
        <v>1</v>
      </c>
      <c r="J426" s="961"/>
      <c r="K426" s="52">
        <f t="shared" si="78"/>
        <v>1</v>
      </c>
      <c r="L426" s="961"/>
      <c r="M426" s="52">
        <f t="shared" si="79"/>
        <v>1</v>
      </c>
      <c r="N426" s="961"/>
      <c r="O426" s="52">
        <f t="shared" si="80"/>
        <v>1</v>
      </c>
      <c r="P426" s="961"/>
      <c r="Q426" s="52">
        <f t="shared" si="81"/>
        <v>1</v>
      </c>
      <c r="R426" s="489">
        <f t="shared" si="82"/>
        <v>0</v>
      </c>
      <c r="S426" s="798">
        <f t="shared" si="83"/>
        <v>0</v>
      </c>
    </row>
    <row r="427" spans="1:19">
      <c r="A427" s="963"/>
      <c r="B427" s="136"/>
      <c r="C427" s="52">
        <f t="shared" si="74"/>
        <v>1</v>
      </c>
      <c r="D427" s="961"/>
      <c r="E427" s="52">
        <f t="shared" si="75"/>
        <v>1</v>
      </c>
      <c r="F427" s="961"/>
      <c r="G427" s="52">
        <f t="shared" si="76"/>
        <v>1</v>
      </c>
      <c r="H427" s="961"/>
      <c r="I427" s="52">
        <f t="shared" si="77"/>
        <v>1</v>
      </c>
      <c r="J427" s="961"/>
      <c r="K427" s="52">
        <f t="shared" si="78"/>
        <v>1</v>
      </c>
      <c r="L427" s="961"/>
      <c r="M427" s="52">
        <f t="shared" si="79"/>
        <v>1</v>
      </c>
      <c r="N427" s="961"/>
      <c r="O427" s="52">
        <f t="shared" si="80"/>
        <v>1</v>
      </c>
      <c r="P427" s="961"/>
      <c r="Q427" s="52">
        <f t="shared" si="81"/>
        <v>1</v>
      </c>
      <c r="R427" s="489">
        <f t="shared" si="82"/>
        <v>0</v>
      </c>
      <c r="S427" s="798">
        <f t="shared" si="83"/>
        <v>0</v>
      </c>
    </row>
    <row r="428" spans="1:19">
      <c r="A428" s="963"/>
      <c r="B428" s="136"/>
      <c r="C428" s="52">
        <f t="shared" si="74"/>
        <v>1</v>
      </c>
      <c r="D428" s="961"/>
      <c r="E428" s="52">
        <f t="shared" si="75"/>
        <v>1</v>
      </c>
      <c r="F428" s="961"/>
      <c r="G428" s="52">
        <f t="shared" si="76"/>
        <v>1</v>
      </c>
      <c r="H428" s="961"/>
      <c r="I428" s="52">
        <f t="shared" si="77"/>
        <v>1</v>
      </c>
      <c r="J428" s="961"/>
      <c r="K428" s="52">
        <f t="shared" si="78"/>
        <v>1</v>
      </c>
      <c r="L428" s="961"/>
      <c r="M428" s="52">
        <f t="shared" si="79"/>
        <v>1</v>
      </c>
      <c r="N428" s="961"/>
      <c r="O428" s="52">
        <f t="shared" si="80"/>
        <v>1</v>
      </c>
      <c r="P428" s="961"/>
      <c r="Q428" s="52">
        <f t="shared" si="81"/>
        <v>1</v>
      </c>
      <c r="R428" s="489">
        <f t="shared" si="82"/>
        <v>0</v>
      </c>
      <c r="S428" s="798">
        <f t="shared" si="83"/>
        <v>0</v>
      </c>
    </row>
    <row r="429" spans="1:19">
      <c r="A429" s="963"/>
      <c r="B429" s="136"/>
      <c r="C429" s="52">
        <f t="shared" si="74"/>
        <v>1</v>
      </c>
      <c r="D429" s="961"/>
      <c r="E429" s="52">
        <f t="shared" si="75"/>
        <v>1</v>
      </c>
      <c r="F429" s="961"/>
      <c r="G429" s="52">
        <f t="shared" si="76"/>
        <v>1</v>
      </c>
      <c r="H429" s="961"/>
      <c r="I429" s="52">
        <f t="shared" si="77"/>
        <v>1</v>
      </c>
      <c r="J429" s="961"/>
      <c r="K429" s="52">
        <f t="shared" si="78"/>
        <v>1</v>
      </c>
      <c r="L429" s="961"/>
      <c r="M429" s="52">
        <f t="shared" si="79"/>
        <v>1</v>
      </c>
      <c r="N429" s="961"/>
      <c r="O429" s="52">
        <f t="shared" si="80"/>
        <v>1</v>
      </c>
      <c r="P429" s="961"/>
      <c r="Q429" s="52">
        <f t="shared" si="81"/>
        <v>1</v>
      </c>
      <c r="R429" s="489">
        <f t="shared" si="82"/>
        <v>0</v>
      </c>
      <c r="S429" s="798">
        <f t="shared" si="83"/>
        <v>0</v>
      </c>
    </row>
    <row r="430" spans="1:19">
      <c r="A430" s="963"/>
      <c r="B430" s="136"/>
      <c r="C430" s="52">
        <f t="shared" si="74"/>
        <v>1</v>
      </c>
      <c r="D430" s="961"/>
      <c r="E430" s="52">
        <f t="shared" si="75"/>
        <v>1</v>
      </c>
      <c r="F430" s="961"/>
      <c r="G430" s="52">
        <f t="shared" si="76"/>
        <v>1</v>
      </c>
      <c r="H430" s="961"/>
      <c r="I430" s="52">
        <f t="shared" si="77"/>
        <v>1</v>
      </c>
      <c r="J430" s="961"/>
      <c r="K430" s="52">
        <f t="shared" si="78"/>
        <v>1</v>
      </c>
      <c r="L430" s="961"/>
      <c r="M430" s="52">
        <f t="shared" si="79"/>
        <v>1</v>
      </c>
      <c r="N430" s="961"/>
      <c r="O430" s="52">
        <f t="shared" si="80"/>
        <v>1</v>
      </c>
      <c r="P430" s="961"/>
      <c r="Q430" s="52">
        <f t="shared" si="81"/>
        <v>1</v>
      </c>
      <c r="R430" s="489">
        <f t="shared" si="82"/>
        <v>0</v>
      </c>
      <c r="S430" s="798">
        <f t="shared" si="83"/>
        <v>0</v>
      </c>
    </row>
    <row r="431" spans="1:19">
      <c r="A431" s="963"/>
      <c r="B431" s="136"/>
      <c r="C431" s="52">
        <f t="shared" si="74"/>
        <v>1</v>
      </c>
      <c r="D431" s="961"/>
      <c r="E431" s="52">
        <f t="shared" si="75"/>
        <v>1</v>
      </c>
      <c r="F431" s="961"/>
      <c r="G431" s="52">
        <f t="shared" si="76"/>
        <v>1</v>
      </c>
      <c r="H431" s="961"/>
      <c r="I431" s="52">
        <f t="shared" si="77"/>
        <v>1</v>
      </c>
      <c r="J431" s="961"/>
      <c r="K431" s="52">
        <f t="shared" si="78"/>
        <v>1</v>
      </c>
      <c r="L431" s="961"/>
      <c r="M431" s="52">
        <f t="shared" si="79"/>
        <v>1</v>
      </c>
      <c r="N431" s="961"/>
      <c r="O431" s="52">
        <f t="shared" si="80"/>
        <v>1</v>
      </c>
      <c r="P431" s="961"/>
      <c r="Q431" s="52">
        <f t="shared" si="81"/>
        <v>1</v>
      </c>
      <c r="R431" s="489">
        <f t="shared" si="82"/>
        <v>0</v>
      </c>
      <c r="S431" s="798">
        <f t="shared" si="83"/>
        <v>0</v>
      </c>
    </row>
    <row r="432" spans="1:19">
      <c r="A432" s="963"/>
      <c r="B432" s="136"/>
      <c r="C432" s="52">
        <f t="shared" si="74"/>
        <v>1</v>
      </c>
      <c r="D432" s="961"/>
      <c r="E432" s="52">
        <f t="shared" si="75"/>
        <v>1</v>
      </c>
      <c r="F432" s="961"/>
      <c r="G432" s="52">
        <f t="shared" si="76"/>
        <v>1</v>
      </c>
      <c r="H432" s="961"/>
      <c r="I432" s="52">
        <f t="shared" si="77"/>
        <v>1</v>
      </c>
      <c r="J432" s="961"/>
      <c r="K432" s="52">
        <f t="shared" si="78"/>
        <v>1</v>
      </c>
      <c r="L432" s="961"/>
      <c r="M432" s="52">
        <f t="shared" si="79"/>
        <v>1</v>
      </c>
      <c r="N432" s="961"/>
      <c r="O432" s="52">
        <f t="shared" si="80"/>
        <v>1</v>
      </c>
      <c r="P432" s="961"/>
      <c r="Q432" s="52">
        <f t="shared" si="81"/>
        <v>1</v>
      </c>
      <c r="R432" s="489">
        <f t="shared" si="82"/>
        <v>0</v>
      </c>
      <c r="S432" s="798">
        <f t="shared" si="83"/>
        <v>0</v>
      </c>
    </row>
    <row r="433" spans="1:19">
      <c r="A433" s="963"/>
      <c r="B433" s="136"/>
      <c r="C433" s="52">
        <f t="shared" si="74"/>
        <v>1</v>
      </c>
      <c r="D433" s="961"/>
      <c r="E433" s="52">
        <f t="shared" si="75"/>
        <v>1</v>
      </c>
      <c r="F433" s="961"/>
      <c r="G433" s="52">
        <f t="shared" si="76"/>
        <v>1</v>
      </c>
      <c r="H433" s="961"/>
      <c r="I433" s="52">
        <f t="shared" si="77"/>
        <v>1</v>
      </c>
      <c r="J433" s="961"/>
      <c r="K433" s="52">
        <f t="shared" si="78"/>
        <v>1</v>
      </c>
      <c r="L433" s="961"/>
      <c r="M433" s="52">
        <f t="shared" si="79"/>
        <v>1</v>
      </c>
      <c r="N433" s="961"/>
      <c r="O433" s="52">
        <f t="shared" si="80"/>
        <v>1</v>
      </c>
      <c r="P433" s="961"/>
      <c r="Q433" s="52">
        <f t="shared" si="81"/>
        <v>1</v>
      </c>
      <c r="R433" s="489">
        <f t="shared" si="82"/>
        <v>0</v>
      </c>
      <c r="S433" s="798">
        <f t="shared" si="83"/>
        <v>0</v>
      </c>
    </row>
    <row r="434" spans="1:19">
      <c r="A434" s="963"/>
      <c r="B434" s="136"/>
      <c r="C434" s="52">
        <f t="shared" si="74"/>
        <v>1</v>
      </c>
      <c r="D434" s="961"/>
      <c r="E434" s="52">
        <f t="shared" si="75"/>
        <v>1</v>
      </c>
      <c r="F434" s="961"/>
      <c r="G434" s="52">
        <f t="shared" si="76"/>
        <v>1</v>
      </c>
      <c r="H434" s="961"/>
      <c r="I434" s="52">
        <f t="shared" si="77"/>
        <v>1</v>
      </c>
      <c r="J434" s="961"/>
      <c r="K434" s="52">
        <f t="shared" si="78"/>
        <v>1</v>
      </c>
      <c r="L434" s="961"/>
      <c r="M434" s="52">
        <f t="shared" si="79"/>
        <v>1</v>
      </c>
      <c r="N434" s="961"/>
      <c r="O434" s="52">
        <f t="shared" si="80"/>
        <v>1</v>
      </c>
      <c r="P434" s="961"/>
      <c r="Q434" s="52">
        <f t="shared" si="81"/>
        <v>1</v>
      </c>
      <c r="R434" s="489">
        <f t="shared" si="82"/>
        <v>0</v>
      </c>
      <c r="S434" s="798">
        <f t="shared" si="83"/>
        <v>0</v>
      </c>
    </row>
    <row r="435" spans="1:19">
      <c r="A435" s="963"/>
      <c r="B435" s="136"/>
      <c r="C435" s="52">
        <f t="shared" si="74"/>
        <v>1</v>
      </c>
      <c r="D435" s="961"/>
      <c r="E435" s="52">
        <f t="shared" si="75"/>
        <v>1</v>
      </c>
      <c r="F435" s="961"/>
      <c r="G435" s="52">
        <f t="shared" si="76"/>
        <v>1</v>
      </c>
      <c r="H435" s="961"/>
      <c r="I435" s="52">
        <f t="shared" si="77"/>
        <v>1</v>
      </c>
      <c r="J435" s="961"/>
      <c r="K435" s="52">
        <f t="shared" si="78"/>
        <v>1</v>
      </c>
      <c r="L435" s="961"/>
      <c r="M435" s="52">
        <f t="shared" si="79"/>
        <v>1</v>
      </c>
      <c r="N435" s="961"/>
      <c r="O435" s="52">
        <f t="shared" si="80"/>
        <v>1</v>
      </c>
      <c r="P435" s="961"/>
      <c r="Q435" s="52">
        <f t="shared" si="81"/>
        <v>1</v>
      </c>
      <c r="R435" s="489">
        <f t="shared" si="82"/>
        <v>0</v>
      </c>
      <c r="S435" s="798">
        <f t="shared" si="83"/>
        <v>0</v>
      </c>
    </row>
    <row r="436" spans="1:19">
      <c r="A436" s="963"/>
      <c r="B436" s="136"/>
      <c r="C436" s="52">
        <f t="shared" si="74"/>
        <v>1</v>
      </c>
      <c r="D436" s="961"/>
      <c r="E436" s="52">
        <f t="shared" si="75"/>
        <v>1</v>
      </c>
      <c r="F436" s="961"/>
      <c r="G436" s="52">
        <f t="shared" si="76"/>
        <v>1</v>
      </c>
      <c r="H436" s="961"/>
      <c r="I436" s="52">
        <f t="shared" si="77"/>
        <v>1</v>
      </c>
      <c r="J436" s="961"/>
      <c r="K436" s="52">
        <f t="shared" si="78"/>
        <v>1</v>
      </c>
      <c r="L436" s="961"/>
      <c r="M436" s="52">
        <f t="shared" si="79"/>
        <v>1</v>
      </c>
      <c r="N436" s="961"/>
      <c r="O436" s="52">
        <f t="shared" si="80"/>
        <v>1</v>
      </c>
      <c r="P436" s="961"/>
      <c r="Q436" s="52">
        <f t="shared" si="81"/>
        <v>1</v>
      </c>
      <c r="R436" s="489">
        <f t="shared" si="82"/>
        <v>0</v>
      </c>
      <c r="S436" s="798">
        <f t="shared" si="83"/>
        <v>0</v>
      </c>
    </row>
    <row r="437" spans="1:19">
      <c r="A437" s="963"/>
      <c r="B437" s="136"/>
      <c r="C437" s="52">
        <f t="shared" si="74"/>
        <v>1</v>
      </c>
      <c r="D437" s="961"/>
      <c r="E437" s="52">
        <f t="shared" si="75"/>
        <v>1</v>
      </c>
      <c r="F437" s="961"/>
      <c r="G437" s="52">
        <f t="shared" si="76"/>
        <v>1</v>
      </c>
      <c r="H437" s="961"/>
      <c r="I437" s="52">
        <f t="shared" si="77"/>
        <v>1</v>
      </c>
      <c r="J437" s="961"/>
      <c r="K437" s="52">
        <f t="shared" si="78"/>
        <v>1</v>
      </c>
      <c r="L437" s="961"/>
      <c r="M437" s="52">
        <f t="shared" si="79"/>
        <v>1</v>
      </c>
      <c r="N437" s="961"/>
      <c r="O437" s="52">
        <f t="shared" si="80"/>
        <v>1</v>
      </c>
      <c r="P437" s="961"/>
      <c r="Q437" s="52">
        <f t="shared" si="81"/>
        <v>1</v>
      </c>
      <c r="R437" s="489">
        <f t="shared" si="82"/>
        <v>0</v>
      </c>
      <c r="S437" s="798">
        <f t="shared" si="83"/>
        <v>0</v>
      </c>
    </row>
    <row r="438" spans="1:19">
      <c r="A438" s="963"/>
      <c r="B438" s="136"/>
      <c r="C438" s="52">
        <f t="shared" si="74"/>
        <v>1</v>
      </c>
      <c r="D438" s="961"/>
      <c r="E438" s="52">
        <f t="shared" si="75"/>
        <v>1</v>
      </c>
      <c r="F438" s="961"/>
      <c r="G438" s="52">
        <f t="shared" si="76"/>
        <v>1</v>
      </c>
      <c r="H438" s="961"/>
      <c r="I438" s="52">
        <f t="shared" si="77"/>
        <v>1</v>
      </c>
      <c r="J438" s="961"/>
      <c r="K438" s="52">
        <f t="shared" si="78"/>
        <v>1</v>
      </c>
      <c r="L438" s="961"/>
      <c r="M438" s="52">
        <f t="shared" si="79"/>
        <v>1</v>
      </c>
      <c r="N438" s="961"/>
      <c r="O438" s="52">
        <f t="shared" si="80"/>
        <v>1</v>
      </c>
      <c r="P438" s="961"/>
      <c r="Q438" s="52">
        <f t="shared" si="81"/>
        <v>1</v>
      </c>
      <c r="R438" s="489">
        <f t="shared" si="82"/>
        <v>0</v>
      </c>
      <c r="S438" s="798">
        <f t="shared" si="83"/>
        <v>0</v>
      </c>
    </row>
    <row r="439" spans="1:19">
      <c r="A439" s="963"/>
      <c r="B439" s="136"/>
      <c r="C439" s="52">
        <f t="shared" si="74"/>
        <v>1</v>
      </c>
      <c r="D439" s="961"/>
      <c r="E439" s="52">
        <f t="shared" si="75"/>
        <v>1</v>
      </c>
      <c r="F439" s="961"/>
      <c r="G439" s="52">
        <f t="shared" si="76"/>
        <v>1</v>
      </c>
      <c r="H439" s="961"/>
      <c r="I439" s="52">
        <f t="shared" si="77"/>
        <v>1</v>
      </c>
      <c r="J439" s="961"/>
      <c r="K439" s="52">
        <f t="shared" si="78"/>
        <v>1</v>
      </c>
      <c r="L439" s="961"/>
      <c r="M439" s="52">
        <f t="shared" si="79"/>
        <v>1</v>
      </c>
      <c r="N439" s="961"/>
      <c r="O439" s="52">
        <f t="shared" si="80"/>
        <v>1</v>
      </c>
      <c r="P439" s="961"/>
      <c r="Q439" s="52">
        <f t="shared" si="81"/>
        <v>1</v>
      </c>
      <c r="R439" s="489">
        <f t="shared" si="82"/>
        <v>0</v>
      </c>
      <c r="S439" s="798">
        <f t="shared" si="83"/>
        <v>0</v>
      </c>
    </row>
    <row r="440" spans="1:19">
      <c r="A440" s="963"/>
      <c r="B440" s="136"/>
      <c r="C440" s="52">
        <f t="shared" si="74"/>
        <v>1</v>
      </c>
      <c r="D440" s="961"/>
      <c r="E440" s="52">
        <f t="shared" si="75"/>
        <v>1</v>
      </c>
      <c r="F440" s="961"/>
      <c r="G440" s="52">
        <f t="shared" si="76"/>
        <v>1</v>
      </c>
      <c r="H440" s="961"/>
      <c r="I440" s="52">
        <f t="shared" si="77"/>
        <v>1</v>
      </c>
      <c r="J440" s="961"/>
      <c r="K440" s="52">
        <f t="shared" si="78"/>
        <v>1</v>
      </c>
      <c r="L440" s="961"/>
      <c r="M440" s="52">
        <f t="shared" si="79"/>
        <v>1</v>
      </c>
      <c r="N440" s="961"/>
      <c r="O440" s="52">
        <f t="shared" si="80"/>
        <v>1</v>
      </c>
      <c r="P440" s="961"/>
      <c r="Q440" s="52">
        <f t="shared" si="81"/>
        <v>1</v>
      </c>
      <c r="R440" s="489">
        <f t="shared" si="82"/>
        <v>0</v>
      </c>
      <c r="S440" s="798">
        <f t="shared" si="83"/>
        <v>0</v>
      </c>
    </row>
    <row r="441" spans="1:19">
      <c r="A441" s="963"/>
      <c r="B441" s="136"/>
      <c r="C441" s="52">
        <f t="shared" si="74"/>
        <v>1</v>
      </c>
      <c r="D441" s="961"/>
      <c r="E441" s="52">
        <f t="shared" si="75"/>
        <v>1</v>
      </c>
      <c r="F441" s="961"/>
      <c r="G441" s="52">
        <f t="shared" si="76"/>
        <v>1</v>
      </c>
      <c r="H441" s="961"/>
      <c r="I441" s="52">
        <f t="shared" si="77"/>
        <v>1</v>
      </c>
      <c r="J441" s="961"/>
      <c r="K441" s="52">
        <f t="shared" si="78"/>
        <v>1</v>
      </c>
      <c r="L441" s="961"/>
      <c r="M441" s="52">
        <f t="shared" si="79"/>
        <v>1</v>
      </c>
      <c r="N441" s="961"/>
      <c r="O441" s="52">
        <f t="shared" si="80"/>
        <v>1</v>
      </c>
      <c r="P441" s="961"/>
      <c r="Q441" s="52">
        <f t="shared" si="81"/>
        <v>1</v>
      </c>
      <c r="R441" s="489">
        <f t="shared" si="82"/>
        <v>0</v>
      </c>
      <c r="S441" s="798">
        <f t="shared" si="83"/>
        <v>0</v>
      </c>
    </row>
    <row r="442" spans="1:19">
      <c r="A442" s="963"/>
      <c r="B442" s="136"/>
      <c r="C442" s="52">
        <f t="shared" si="74"/>
        <v>1</v>
      </c>
      <c r="D442" s="961"/>
      <c r="E442" s="52">
        <f t="shared" si="75"/>
        <v>1</v>
      </c>
      <c r="F442" s="961"/>
      <c r="G442" s="52">
        <f t="shared" si="76"/>
        <v>1</v>
      </c>
      <c r="H442" s="961"/>
      <c r="I442" s="52">
        <f t="shared" si="77"/>
        <v>1</v>
      </c>
      <c r="J442" s="961"/>
      <c r="K442" s="52">
        <f t="shared" si="78"/>
        <v>1</v>
      </c>
      <c r="L442" s="961"/>
      <c r="M442" s="52">
        <f t="shared" si="79"/>
        <v>1</v>
      </c>
      <c r="N442" s="961"/>
      <c r="O442" s="52">
        <f t="shared" si="80"/>
        <v>1</v>
      </c>
      <c r="P442" s="961"/>
      <c r="Q442" s="52">
        <f t="shared" si="81"/>
        <v>1</v>
      </c>
      <c r="R442" s="489">
        <f t="shared" si="82"/>
        <v>0</v>
      </c>
      <c r="S442" s="798">
        <f t="shared" si="83"/>
        <v>0</v>
      </c>
    </row>
    <row r="443" spans="1:19">
      <c r="A443" s="963"/>
      <c r="B443" s="136"/>
      <c r="C443" s="52">
        <f t="shared" si="74"/>
        <v>1</v>
      </c>
      <c r="D443" s="961"/>
      <c r="E443" s="52">
        <f t="shared" si="75"/>
        <v>1</v>
      </c>
      <c r="F443" s="961"/>
      <c r="G443" s="52">
        <f t="shared" si="76"/>
        <v>1</v>
      </c>
      <c r="H443" s="961"/>
      <c r="I443" s="52">
        <f t="shared" si="77"/>
        <v>1</v>
      </c>
      <c r="J443" s="961"/>
      <c r="K443" s="52">
        <f t="shared" si="78"/>
        <v>1</v>
      </c>
      <c r="L443" s="961"/>
      <c r="M443" s="52">
        <f t="shared" si="79"/>
        <v>1</v>
      </c>
      <c r="N443" s="961"/>
      <c r="O443" s="52">
        <f t="shared" si="80"/>
        <v>1</v>
      </c>
      <c r="P443" s="961"/>
      <c r="Q443" s="52">
        <f t="shared" si="81"/>
        <v>1</v>
      </c>
      <c r="R443" s="489">
        <f t="shared" si="82"/>
        <v>0</v>
      </c>
      <c r="S443" s="798">
        <f t="shared" si="83"/>
        <v>0</v>
      </c>
    </row>
    <row r="444" spans="1:19">
      <c r="A444" s="963"/>
      <c r="B444" s="136"/>
      <c r="C444" s="52">
        <f t="shared" si="74"/>
        <v>1</v>
      </c>
      <c r="D444" s="961"/>
      <c r="E444" s="52">
        <f t="shared" si="75"/>
        <v>1</v>
      </c>
      <c r="F444" s="961"/>
      <c r="G444" s="52">
        <f t="shared" si="76"/>
        <v>1</v>
      </c>
      <c r="H444" s="961"/>
      <c r="I444" s="52">
        <f t="shared" si="77"/>
        <v>1</v>
      </c>
      <c r="J444" s="961"/>
      <c r="K444" s="52">
        <f t="shared" si="78"/>
        <v>1</v>
      </c>
      <c r="L444" s="961"/>
      <c r="M444" s="52">
        <f t="shared" si="79"/>
        <v>1</v>
      </c>
      <c r="N444" s="961"/>
      <c r="O444" s="52">
        <f t="shared" si="80"/>
        <v>1</v>
      </c>
      <c r="P444" s="961"/>
      <c r="Q444" s="52">
        <f t="shared" si="81"/>
        <v>1</v>
      </c>
      <c r="R444" s="489">
        <f t="shared" si="82"/>
        <v>0</v>
      </c>
      <c r="S444" s="798">
        <f t="shared" si="83"/>
        <v>0</v>
      </c>
    </row>
    <row r="445" spans="1:19">
      <c r="A445" s="963"/>
      <c r="B445" s="136"/>
      <c r="C445" s="52">
        <f t="shared" si="74"/>
        <v>1</v>
      </c>
      <c r="D445" s="961"/>
      <c r="E445" s="52">
        <f t="shared" si="75"/>
        <v>1</v>
      </c>
      <c r="F445" s="961"/>
      <c r="G445" s="52">
        <f t="shared" si="76"/>
        <v>1</v>
      </c>
      <c r="H445" s="961"/>
      <c r="I445" s="52">
        <f t="shared" si="77"/>
        <v>1</v>
      </c>
      <c r="J445" s="961"/>
      <c r="K445" s="52">
        <f t="shared" si="78"/>
        <v>1</v>
      </c>
      <c r="L445" s="961"/>
      <c r="M445" s="52">
        <f t="shared" si="79"/>
        <v>1</v>
      </c>
      <c r="N445" s="961"/>
      <c r="O445" s="52">
        <f t="shared" si="80"/>
        <v>1</v>
      </c>
      <c r="P445" s="961"/>
      <c r="Q445" s="52">
        <f t="shared" si="81"/>
        <v>1</v>
      </c>
      <c r="R445" s="489">
        <f t="shared" si="82"/>
        <v>0</v>
      </c>
      <c r="S445" s="798">
        <f t="shared" si="83"/>
        <v>0</v>
      </c>
    </row>
    <row r="446" spans="1:19">
      <c r="A446" s="963"/>
      <c r="B446" s="136"/>
      <c r="C446" s="52">
        <f t="shared" si="74"/>
        <v>1</v>
      </c>
      <c r="D446" s="961"/>
      <c r="E446" s="52">
        <f t="shared" si="75"/>
        <v>1</v>
      </c>
      <c r="F446" s="961"/>
      <c r="G446" s="52">
        <f t="shared" si="76"/>
        <v>1</v>
      </c>
      <c r="H446" s="961"/>
      <c r="I446" s="52">
        <f t="shared" si="77"/>
        <v>1</v>
      </c>
      <c r="J446" s="961"/>
      <c r="K446" s="52">
        <f t="shared" si="78"/>
        <v>1</v>
      </c>
      <c r="L446" s="961"/>
      <c r="M446" s="52">
        <f t="shared" si="79"/>
        <v>1</v>
      </c>
      <c r="N446" s="961"/>
      <c r="O446" s="52">
        <f t="shared" si="80"/>
        <v>1</v>
      </c>
      <c r="P446" s="961"/>
      <c r="Q446" s="52">
        <f t="shared" si="81"/>
        <v>1</v>
      </c>
      <c r="R446" s="489">
        <f t="shared" si="82"/>
        <v>0</v>
      </c>
      <c r="S446" s="798">
        <f t="shared" si="83"/>
        <v>0</v>
      </c>
    </row>
    <row r="447" spans="1:19">
      <c r="A447" s="963"/>
      <c r="B447" s="136"/>
      <c r="C447" s="52">
        <f t="shared" si="74"/>
        <v>1</v>
      </c>
      <c r="D447" s="961"/>
      <c r="E447" s="52">
        <f t="shared" si="75"/>
        <v>1</v>
      </c>
      <c r="F447" s="961"/>
      <c r="G447" s="52">
        <f t="shared" si="76"/>
        <v>1</v>
      </c>
      <c r="H447" s="961"/>
      <c r="I447" s="52">
        <f t="shared" si="77"/>
        <v>1</v>
      </c>
      <c r="J447" s="961"/>
      <c r="K447" s="52">
        <f t="shared" si="78"/>
        <v>1</v>
      </c>
      <c r="L447" s="961"/>
      <c r="M447" s="52">
        <f t="shared" si="79"/>
        <v>1</v>
      </c>
      <c r="N447" s="961"/>
      <c r="O447" s="52">
        <f t="shared" si="80"/>
        <v>1</v>
      </c>
      <c r="P447" s="961"/>
      <c r="Q447" s="52">
        <f t="shared" si="81"/>
        <v>1</v>
      </c>
      <c r="R447" s="489">
        <f t="shared" si="82"/>
        <v>0</v>
      </c>
      <c r="S447" s="798">
        <f t="shared" si="83"/>
        <v>0</v>
      </c>
    </row>
    <row r="448" spans="1:19">
      <c r="A448" s="963"/>
      <c r="B448" s="136"/>
      <c r="C448" s="52">
        <f t="shared" si="74"/>
        <v>1</v>
      </c>
      <c r="D448" s="961"/>
      <c r="E448" s="52">
        <f t="shared" si="75"/>
        <v>1</v>
      </c>
      <c r="F448" s="961"/>
      <c r="G448" s="52">
        <f t="shared" si="76"/>
        <v>1</v>
      </c>
      <c r="H448" s="961"/>
      <c r="I448" s="52">
        <f t="shared" si="77"/>
        <v>1</v>
      </c>
      <c r="J448" s="961"/>
      <c r="K448" s="52">
        <f t="shared" si="78"/>
        <v>1</v>
      </c>
      <c r="L448" s="961"/>
      <c r="M448" s="52">
        <f t="shared" si="79"/>
        <v>1</v>
      </c>
      <c r="N448" s="961"/>
      <c r="O448" s="52">
        <f t="shared" si="80"/>
        <v>1</v>
      </c>
      <c r="P448" s="961"/>
      <c r="Q448" s="52">
        <f t="shared" si="81"/>
        <v>1</v>
      </c>
      <c r="R448" s="489">
        <f t="shared" si="82"/>
        <v>0</v>
      </c>
      <c r="S448" s="798">
        <f t="shared" si="83"/>
        <v>0</v>
      </c>
    </row>
    <row r="449" spans="1:19">
      <c r="A449" s="963"/>
      <c r="B449" s="136"/>
      <c r="C449" s="52">
        <f t="shared" si="74"/>
        <v>1</v>
      </c>
      <c r="D449" s="961"/>
      <c r="E449" s="52">
        <f t="shared" si="75"/>
        <v>1</v>
      </c>
      <c r="F449" s="961"/>
      <c r="G449" s="52">
        <f t="shared" si="76"/>
        <v>1</v>
      </c>
      <c r="H449" s="961"/>
      <c r="I449" s="52">
        <f t="shared" si="77"/>
        <v>1</v>
      </c>
      <c r="J449" s="961"/>
      <c r="K449" s="52">
        <f t="shared" si="78"/>
        <v>1</v>
      </c>
      <c r="L449" s="961"/>
      <c r="M449" s="52">
        <f t="shared" si="79"/>
        <v>1</v>
      </c>
      <c r="N449" s="961"/>
      <c r="O449" s="52">
        <f t="shared" si="80"/>
        <v>1</v>
      </c>
      <c r="P449" s="961"/>
      <c r="Q449" s="52">
        <f t="shared" si="81"/>
        <v>1</v>
      </c>
      <c r="R449" s="489">
        <f t="shared" si="82"/>
        <v>0</v>
      </c>
      <c r="S449" s="798">
        <f t="shared" si="83"/>
        <v>0</v>
      </c>
    </row>
    <row r="450" spans="1:19">
      <c r="A450" s="963"/>
      <c r="B450" s="136"/>
      <c r="C450" s="52">
        <f t="shared" si="74"/>
        <v>1</v>
      </c>
      <c r="D450" s="961"/>
      <c r="E450" s="52">
        <f t="shared" si="75"/>
        <v>1</v>
      </c>
      <c r="F450" s="961"/>
      <c r="G450" s="52">
        <f t="shared" si="76"/>
        <v>1</v>
      </c>
      <c r="H450" s="961"/>
      <c r="I450" s="52">
        <f t="shared" si="77"/>
        <v>1</v>
      </c>
      <c r="J450" s="961"/>
      <c r="K450" s="52">
        <f t="shared" si="78"/>
        <v>1</v>
      </c>
      <c r="L450" s="961"/>
      <c r="M450" s="52">
        <f t="shared" si="79"/>
        <v>1</v>
      </c>
      <c r="N450" s="961"/>
      <c r="O450" s="52">
        <f t="shared" si="80"/>
        <v>1</v>
      </c>
      <c r="P450" s="961"/>
      <c r="Q450" s="52">
        <f t="shared" si="81"/>
        <v>1</v>
      </c>
      <c r="R450" s="489">
        <f t="shared" si="82"/>
        <v>0</v>
      </c>
      <c r="S450" s="798">
        <f t="shared" si="83"/>
        <v>0</v>
      </c>
    </row>
    <row r="451" spans="1:19">
      <c r="A451" s="963"/>
      <c r="B451" s="136"/>
      <c r="C451" s="52">
        <f t="shared" si="74"/>
        <v>1</v>
      </c>
      <c r="D451" s="961"/>
      <c r="E451" s="52">
        <f t="shared" si="75"/>
        <v>1</v>
      </c>
      <c r="F451" s="961"/>
      <c r="G451" s="52">
        <f t="shared" si="76"/>
        <v>1</v>
      </c>
      <c r="H451" s="961"/>
      <c r="I451" s="52">
        <f t="shared" si="77"/>
        <v>1</v>
      </c>
      <c r="J451" s="961"/>
      <c r="K451" s="52">
        <f t="shared" si="78"/>
        <v>1</v>
      </c>
      <c r="L451" s="961"/>
      <c r="M451" s="52">
        <f t="shared" si="79"/>
        <v>1</v>
      </c>
      <c r="N451" s="961"/>
      <c r="O451" s="52">
        <f t="shared" si="80"/>
        <v>1</v>
      </c>
      <c r="P451" s="961"/>
      <c r="Q451" s="52">
        <f t="shared" si="81"/>
        <v>1</v>
      </c>
      <c r="R451" s="489">
        <f t="shared" si="82"/>
        <v>0</v>
      </c>
      <c r="S451" s="798">
        <f t="shared" si="83"/>
        <v>0</v>
      </c>
    </row>
    <row r="452" spans="1:19">
      <c r="A452" s="963"/>
      <c r="B452" s="136"/>
      <c r="C452" s="52">
        <f t="shared" si="74"/>
        <v>1</v>
      </c>
      <c r="D452" s="961"/>
      <c r="E452" s="52">
        <f t="shared" si="75"/>
        <v>1</v>
      </c>
      <c r="F452" s="961"/>
      <c r="G452" s="52">
        <f t="shared" si="76"/>
        <v>1</v>
      </c>
      <c r="H452" s="961"/>
      <c r="I452" s="52">
        <f t="shared" si="77"/>
        <v>1</v>
      </c>
      <c r="J452" s="961"/>
      <c r="K452" s="52">
        <f t="shared" si="78"/>
        <v>1</v>
      </c>
      <c r="L452" s="961"/>
      <c r="M452" s="52">
        <f t="shared" si="79"/>
        <v>1</v>
      </c>
      <c r="N452" s="961"/>
      <c r="O452" s="52">
        <f t="shared" si="80"/>
        <v>1</v>
      </c>
      <c r="P452" s="961"/>
      <c r="Q452" s="52">
        <f t="shared" si="81"/>
        <v>1</v>
      </c>
      <c r="R452" s="489">
        <f t="shared" si="82"/>
        <v>0</v>
      </c>
      <c r="S452" s="798">
        <f t="shared" si="83"/>
        <v>0</v>
      </c>
    </row>
    <row r="453" spans="1:19">
      <c r="A453" s="963"/>
      <c r="B453" s="136"/>
      <c r="C453" s="52">
        <f t="shared" si="74"/>
        <v>1</v>
      </c>
      <c r="D453" s="961"/>
      <c r="E453" s="52">
        <f t="shared" si="75"/>
        <v>1</v>
      </c>
      <c r="F453" s="961"/>
      <c r="G453" s="52">
        <f t="shared" si="76"/>
        <v>1</v>
      </c>
      <c r="H453" s="961"/>
      <c r="I453" s="52">
        <f t="shared" si="77"/>
        <v>1</v>
      </c>
      <c r="J453" s="961"/>
      <c r="K453" s="52">
        <f t="shared" si="78"/>
        <v>1</v>
      </c>
      <c r="L453" s="961"/>
      <c r="M453" s="52">
        <f t="shared" si="79"/>
        <v>1</v>
      </c>
      <c r="N453" s="961"/>
      <c r="O453" s="52">
        <f t="shared" si="80"/>
        <v>1</v>
      </c>
      <c r="P453" s="961"/>
      <c r="Q453" s="52">
        <f t="shared" si="81"/>
        <v>1</v>
      </c>
      <c r="R453" s="489">
        <f t="shared" si="82"/>
        <v>0</v>
      </c>
      <c r="S453" s="798">
        <f t="shared" si="83"/>
        <v>0</v>
      </c>
    </row>
    <row r="454" spans="1:19">
      <c r="A454" s="963"/>
      <c r="B454" s="136"/>
      <c r="C454" s="52">
        <f t="shared" si="74"/>
        <v>1</v>
      </c>
      <c r="D454" s="961"/>
      <c r="E454" s="52">
        <f t="shared" si="75"/>
        <v>1</v>
      </c>
      <c r="F454" s="961"/>
      <c r="G454" s="52">
        <f t="shared" si="76"/>
        <v>1</v>
      </c>
      <c r="H454" s="961"/>
      <c r="I454" s="52">
        <f t="shared" si="77"/>
        <v>1</v>
      </c>
      <c r="J454" s="961"/>
      <c r="K454" s="52">
        <f t="shared" si="78"/>
        <v>1</v>
      </c>
      <c r="L454" s="961"/>
      <c r="M454" s="52">
        <f t="shared" si="79"/>
        <v>1</v>
      </c>
      <c r="N454" s="961"/>
      <c r="O454" s="52">
        <f t="shared" si="80"/>
        <v>1</v>
      </c>
      <c r="P454" s="961"/>
      <c r="Q454" s="52">
        <f t="shared" si="81"/>
        <v>1</v>
      </c>
      <c r="R454" s="489">
        <f t="shared" si="82"/>
        <v>0</v>
      </c>
      <c r="S454" s="798">
        <f t="shared" si="83"/>
        <v>0</v>
      </c>
    </row>
    <row r="455" spans="1:19">
      <c r="A455" s="963"/>
      <c r="B455" s="136"/>
      <c r="C455" s="52">
        <f t="shared" si="74"/>
        <v>1</v>
      </c>
      <c r="D455" s="961"/>
      <c r="E455" s="52">
        <f t="shared" si="75"/>
        <v>1</v>
      </c>
      <c r="F455" s="961"/>
      <c r="G455" s="52">
        <f t="shared" si="76"/>
        <v>1</v>
      </c>
      <c r="H455" s="961"/>
      <c r="I455" s="52">
        <f t="shared" si="77"/>
        <v>1</v>
      </c>
      <c r="J455" s="961"/>
      <c r="K455" s="52">
        <f t="shared" si="78"/>
        <v>1</v>
      </c>
      <c r="L455" s="961"/>
      <c r="M455" s="52">
        <f t="shared" si="79"/>
        <v>1</v>
      </c>
      <c r="N455" s="961"/>
      <c r="O455" s="52">
        <f t="shared" si="80"/>
        <v>1</v>
      </c>
      <c r="P455" s="961"/>
      <c r="Q455" s="52">
        <f t="shared" si="81"/>
        <v>1</v>
      </c>
      <c r="R455" s="489">
        <f t="shared" si="82"/>
        <v>0</v>
      </c>
      <c r="S455" s="798">
        <f t="shared" si="83"/>
        <v>0</v>
      </c>
    </row>
    <row r="456" spans="1:19">
      <c r="A456" s="963"/>
      <c r="B456" s="136"/>
      <c r="C456" s="52">
        <f t="shared" si="74"/>
        <v>1</v>
      </c>
      <c r="D456" s="961"/>
      <c r="E456" s="52">
        <f t="shared" si="75"/>
        <v>1</v>
      </c>
      <c r="F456" s="961"/>
      <c r="G456" s="52">
        <f t="shared" si="76"/>
        <v>1</v>
      </c>
      <c r="H456" s="961"/>
      <c r="I456" s="52">
        <f t="shared" si="77"/>
        <v>1</v>
      </c>
      <c r="J456" s="961"/>
      <c r="K456" s="52">
        <f t="shared" si="78"/>
        <v>1</v>
      </c>
      <c r="L456" s="961"/>
      <c r="M456" s="52">
        <f t="shared" si="79"/>
        <v>1</v>
      </c>
      <c r="N456" s="961"/>
      <c r="O456" s="52">
        <f t="shared" si="80"/>
        <v>1</v>
      </c>
      <c r="P456" s="961"/>
      <c r="Q456" s="52">
        <f t="shared" si="81"/>
        <v>1</v>
      </c>
      <c r="R456" s="489">
        <f t="shared" si="82"/>
        <v>0</v>
      </c>
      <c r="S456" s="798">
        <f t="shared" si="83"/>
        <v>0</v>
      </c>
    </row>
    <row r="457" spans="1:19">
      <c r="A457" s="963"/>
      <c r="B457" s="136"/>
      <c r="C457" s="52">
        <f t="shared" si="74"/>
        <v>1</v>
      </c>
      <c r="D457" s="961"/>
      <c r="E457" s="52">
        <f t="shared" si="75"/>
        <v>1</v>
      </c>
      <c r="F457" s="961"/>
      <c r="G457" s="52">
        <f t="shared" si="76"/>
        <v>1</v>
      </c>
      <c r="H457" s="961"/>
      <c r="I457" s="52">
        <f t="shared" si="77"/>
        <v>1</v>
      </c>
      <c r="J457" s="961"/>
      <c r="K457" s="52">
        <f t="shared" si="78"/>
        <v>1</v>
      </c>
      <c r="L457" s="961"/>
      <c r="M457" s="52">
        <f t="shared" si="79"/>
        <v>1</v>
      </c>
      <c r="N457" s="961"/>
      <c r="O457" s="52">
        <f t="shared" si="80"/>
        <v>1</v>
      </c>
      <c r="P457" s="961"/>
      <c r="Q457" s="52">
        <f t="shared" si="81"/>
        <v>1</v>
      </c>
      <c r="R457" s="489">
        <f t="shared" si="82"/>
        <v>0</v>
      </c>
      <c r="S457" s="798">
        <f t="shared" si="83"/>
        <v>0</v>
      </c>
    </row>
    <row r="458" spans="1:19">
      <c r="A458" s="963"/>
      <c r="B458" s="136"/>
      <c r="C458" s="52">
        <f t="shared" si="74"/>
        <v>1</v>
      </c>
      <c r="D458" s="961"/>
      <c r="E458" s="52">
        <f t="shared" si="75"/>
        <v>1</v>
      </c>
      <c r="F458" s="961"/>
      <c r="G458" s="52">
        <f t="shared" si="76"/>
        <v>1</v>
      </c>
      <c r="H458" s="961"/>
      <c r="I458" s="52">
        <f t="shared" si="77"/>
        <v>1</v>
      </c>
      <c r="J458" s="961"/>
      <c r="K458" s="52">
        <f t="shared" si="78"/>
        <v>1</v>
      </c>
      <c r="L458" s="961"/>
      <c r="M458" s="52">
        <f t="shared" si="79"/>
        <v>1</v>
      </c>
      <c r="N458" s="961"/>
      <c r="O458" s="52">
        <f t="shared" si="80"/>
        <v>1</v>
      </c>
      <c r="P458" s="961"/>
      <c r="Q458" s="52">
        <f t="shared" si="81"/>
        <v>1</v>
      </c>
      <c r="R458" s="489">
        <f t="shared" si="82"/>
        <v>0</v>
      </c>
      <c r="S458" s="798">
        <f t="shared" si="83"/>
        <v>0</v>
      </c>
    </row>
    <row r="459" spans="1:19">
      <c r="A459" s="963"/>
      <c r="B459" s="136"/>
      <c r="C459" s="52">
        <f t="shared" si="74"/>
        <v>1</v>
      </c>
      <c r="D459" s="961"/>
      <c r="E459" s="52">
        <f t="shared" si="75"/>
        <v>1</v>
      </c>
      <c r="F459" s="961"/>
      <c r="G459" s="52">
        <f t="shared" si="76"/>
        <v>1</v>
      </c>
      <c r="H459" s="961"/>
      <c r="I459" s="52">
        <f t="shared" si="77"/>
        <v>1</v>
      </c>
      <c r="J459" s="961"/>
      <c r="K459" s="52">
        <f t="shared" si="78"/>
        <v>1</v>
      </c>
      <c r="L459" s="961"/>
      <c r="M459" s="52">
        <f t="shared" si="79"/>
        <v>1</v>
      </c>
      <c r="N459" s="961"/>
      <c r="O459" s="52">
        <f t="shared" si="80"/>
        <v>1</v>
      </c>
      <c r="P459" s="961"/>
      <c r="Q459" s="52">
        <f t="shared" si="81"/>
        <v>1</v>
      </c>
      <c r="R459" s="489">
        <f t="shared" si="82"/>
        <v>0</v>
      </c>
      <c r="S459" s="798">
        <f t="shared" si="83"/>
        <v>0</v>
      </c>
    </row>
    <row r="460" spans="1:19">
      <c r="A460" s="963"/>
      <c r="B460" s="136"/>
      <c r="C460" s="52">
        <f t="shared" si="74"/>
        <v>1</v>
      </c>
      <c r="D460" s="961"/>
      <c r="E460" s="52">
        <f t="shared" si="75"/>
        <v>1</v>
      </c>
      <c r="F460" s="961"/>
      <c r="G460" s="52">
        <f t="shared" si="76"/>
        <v>1</v>
      </c>
      <c r="H460" s="961"/>
      <c r="I460" s="52">
        <f t="shared" si="77"/>
        <v>1</v>
      </c>
      <c r="J460" s="961"/>
      <c r="K460" s="52">
        <f t="shared" si="78"/>
        <v>1</v>
      </c>
      <c r="L460" s="961"/>
      <c r="M460" s="52">
        <f t="shared" si="79"/>
        <v>1</v>
      </c>
      <c r="N460" s="961"/>
      <c r="O460" s="52">
        <f t="shared" si="80"/>
        <v>1</v>
      </c>
      <c r="P460" s="961"/>
      <c r="Q460" s="52">
        <f t="shared" si="81"/>
        <v>1</v>
      </c>
      <c r="R460" s="489">
        <f t="shared" si="82"/>
        <v>0</v>
      </c>
      <c r="S460" s="798">
        <f t="shared" si="83"/>
        <v>0</v>
      </c>
    </row>
    <row r="461" spans="1:19">
      <c r="A461" s="963"/>
      <c r="B461" s="136"/>
      <c r="C461" s="52">
        <f t="shared" si="74"/>
        <v>1</v>
      </c>
      <c r="D461" s="961"/>
      <c r="E461" s="52">
        <f t="shared" si="75"/>
        <v>1</v>
      </c>
      <c r="F461" s="961"/>
      <c r="G461" s="52">
        <f t="shared" si="76"/>
        <v>1</v>
      </c>
      <c r="H461" s="961"/>
      <c r="I461" s="52">
        <f t="shared" si="77"/>
        <v>1</v>
      </c>
      <c r="J461" s="961"/>
      <c r="K461" s="52">
        <f t="shared" si="78"/>
        <v>1</v>
      </c>
      <c r="L461" s="961"/>
      <c r="M461" s="52">
        <f t="shared" si="79"/>
        <v>1</v>
      </c>
      <c r="N461" s="961"/>
      <c r="O461" s="52">
        <f t="shared" si="80"/>
        <v>1</v>
      </c>
      <c r="P461" s="961"/>
      <c r="Q461" s="52">
        <f t="shared" si="81"/>
        <v>1</v>
      </c>
      <c r="R461" s="489">
        <f t="shared" si="82"/>
        <v>0</v>
      </c>
      <c r="S461" s="798">
        <f t="shared" si="83"/>
        <v>0</v>
      </c>
    </row>
    <row r="462" spans="1:19">
      <c r="A462" s="963"/>
      <c r="B462" s="136"/>
      <c r="C462" s="52">
        <f t="shared" si="74"/>
        <v>1</v>
      </c>
      <c r="D462" s="961"/>
      <c r="E462" s="52">
        <f t="shared" si="75"/>
        <v>1</v>
      </c>
      <c r="F462" s="961"/>
      <c r="G462" s="52">
        <f t="shared" si="76"/>
        <v>1</v>
      </c>
      <c r="H462" s="961"/>
      <c r="I462" s="52">
        <f t="shared" si="77"/>
        <v>1</v>
      </c>
      <c r="J462" s="961"/>
      <c r="K462" s="52">
        <f t="shared" si="78"/>
        <v>1</v>
      </c>
      <c r="L462" s="961"/>
      <c r="M462" s="52">
        <f t="shared" si="79"/>
        <v>1</v>
      </c>
      <c r="N462" s="961"/>
      <c r="O462" s="52">
        <f t="shared" si="80"/>
        <v>1</v>
      </c>
      <c r="P462" s="961"/>
      <c r="Q462" s="52">
        <f t="shared" si="81"/>
        <v>1</v>
      </c>
      <c r="R462" s="489">
        <f t="shared" si="82"/>
        <v>0</v>
      </c>
      <c r="S462" s="798">
        <f t="shared" si="83"/>
        <v>0</v>
      </c>
    </row>
    <row r="463" spans="1:19">
      <c r="A463" s="963"/>
      <c r="B463" s="136"/>
      <c r="C463" s="52">
        <f t="shared" si="74"/>
        <v>1</v>
      </c>
      <c r="D463" s="961"/>
      <c r="E463" s="52">
        <f t="shared" si="75"/>
        <v>1</v>
      </c>
      <c r="F463" s="961"/>
      <c r="G463" s="52">
        <f t="shared" si="76"/>
        <v>1</v>
      </c>
      <c r="H463" s="961"/>
      <c r="I463" s="52">
        <f t="shared" si="77"/>
        <v>1</v>
      </c>
      <c r="J463" s="961"/>
      <c r="K463" s="52">
        <f t="shared" si="78"/>
        <v>1</v>
      </c>
      <c r="L463" s="961"/>
      <c r="M463" s="52">
        <f t="shared" si="79"/>
        <v>1</v>
      </c>
      <c r="N463" s="961"/>
      <c r="O463" s="52">
        <f t="shared" si="80"/>
        <v>1</v>
      </c>
      <c r="P463" s="961"/>
      <c r="Q463" s="52">
        <f t="shared" si="81"/>
        <v>1</v>
      </c>
      <c r="R463" s="489">
        <f t="shared" si="82"/>
        <v>0</v>
      </c>
      <c r="S463" s="798">
        <f t="shared" si="83"/>
        <v>0</v>
      </c>
    </row>
    <row r="464" spans="1:19">
      <c r="A464" s="963"/>
      <c r="B464" s="136"/>
      <c r="C464" s="52">
        <f t="shared" si="74"/>
        <v>1</v>
      </c>
      <c r="D464" s="961"/>
      <c r="E464" s="52">
        <f t="shared" si="75"/>
        <v>1</v>
      </c>
      <c r="F464" s="961"/>
      <c r="G464" s="52">
        <f t="shared" si="76"/>
        <v>1</v>
      </c>
      <c r="H464" s="961"/>
      <c r="I464" s="52">
        <f t="shared" si="77"/>
        <v>1</v>
      </c>
      <c r="J464" s="961"/>
      <c r="K464" s="52">
        <f t="shared" si="78"/>
        <v>1</v>
      </c>
      <c r="L464" s="961"/>
      <c r="M464" s="52">
        <f t="shared" si="79"/>
        <v>1</v>
      </c>
      <c r="N464" s="961"/>
      <c r="O464" s="52">
        <f t="shared" si="80"/>
        <v>1</v>
      </c>
      <c r="P464" s="961"/>
      <c r="Q464" s="52">
        <f t="shared" si="81"/>
        <v>1</v>
      </c>
      <c r="R464" s="489">
        <f t="shared" si="82"/>
        <v>0</v>
      </c>
      <c r="S464" s="798">
        <f t="shared" si="83"/>
        <v>0</v>
      </c>
    </row>
    <row r="465" spans="1:19">
      <c r="A465" s="963"/>
      <c r="B465" s="136"/>
      <c r="C465" s="52">
        <f t="shared" si="74"/>
        <v>1</v>
      </c>
      <c r="D465" s="961"/>
      <c r="E465" s="52">
        <f t="shared" si="75"/>
        <v>1</v>
      </c>
      <c r="F465" s="961"/>
      <c r="G465" s="52">
        <f t="shared" si="76"/>
        <v>1</v>
      </c>
      <c r="H465" s="961"/>
      <c r="I465" s="52">
        <f t="shared" si="77"/>
        <v>1</v>
      </c>
      <c r="J465" s="961"/>
      <c r="K465" s="52">
        <f t="shared" si="78"/>
        <v>1</v>
      </c>
      <c r="L465" s="961"/>
      <c r="M465" s="52">
        <f t="shared" si="79"/>
        <v>1</v>
      </c>
      <c r="N465" s="961"/>
      <c r="O465" s="52">
        <f t="shared" si="80"/>
        <v>1</v>
      </c>
      <c r="P465" s="961"/>
      <c r="Q465" s="52">
        <f t="shared" si="81"/>
        <v>1</v>
      </c>
      <c r="R465" s="489">
        <f t="shared" si="82"/>
        <v>0</v>
      </c>
      <c r="S465" s="798">
        <f t="shared" si="83"/>
        <v>0</v>
      </c>
    </row>
    <row r="466" spans="1:19">
      <c r="A466" s="963"/>
      <c r="B466" s="136"/>
      <c r="C466" s="52">
        <f t="shared" si="74"/>
        <v>1</v>
      </c>
      <c r="D466" s="961"/>
      <c r="E466" s="52">
        <f t="shared" si="75"/>
        <v>1</v>
      </c>
      <c r="F466" s="961"/>
      <c r="G466" s="52">
        <f t="shared" si="76"/>
        <v>1</v>
      </c>
      <c r="H466" s="961"/>
      <c r="I466" s="52">
        <f t="shared" si="77"/>
        <v>1</v>
      </c>
      <c r="J466" s="961"/>
      <c r="K466" s="52">
        <f t="shared" si="78"/>
        <v>1</v>
      </c>
      <c r="L466" s="961"/>
      <c r="M466" s="52">
        <f t="shared" si="79"/>
        <v>1</v>
      </c>
      <c r="N466" s="961"/>
      <c r="O466" s="52">
        <f t="shared" si="80"/>
        <v>1</v>
      </c>
      <c r="P466" s="961"/>
      <c r="Q466" s="52">
        <f t="shared" si="81"/>
        <v>1</v>
      </c>
      <c r="R466" s="489">
        <f t="shared" si="82"/>
        <v>0</v>
      </c>
      <c r="S466" s="798">
        <f t="shared" si="83"/>
        <v>0</v>
      </c>
    </row>
    <row r="467" spans="1:19">
      <c r="A467" s="963"/>
      <c r="B467" s="136"/>
      <c r="C467" s="52">
        <f t="shared" si="74"/>
        <v>1</v>
      </c>
      <c r="D467" s="961"/>
      <c r="E467" s="52">
        <f t="shared" si="75"/>
        <v>1</v>
      </c>
      <c r="F467" s="961"/>
      <c r="G467" s="52">
        <f t="shared" si="76"/>
        <v>1</v>
      </c>
      <c r="H467" s="961"/>
      <c r="I467" s="52">
        <f t="shared" si="77"/>
        <v>1</v>
      </c>
      <c r="J467" s="961"/>
      <c r="K467" s="52">
        <f t="shared" si="78"/>
        <v>1</v>
      </c>
      <c r="L467" s="961"/>
      <c r="M467" s="52">
        <f t="shared" si="79"/>
        <v>1</v>
      </c>
      <c r="N467" s="961"/>
      <c r="O467" s="52">
        <f t="shared" si="80"/>
        <v>1</v>
      </c>
      <c r="P467" s="961"/>
      <c r="Q467" s="52">
        <f t="shared" si="81"/>
        <v>1</v>
      </c>
      <c r="R467" s="489">
        <f t="shared" si="82"/>
        <v>0</v>
      </c>
      <c r="S467" s="798">
        <f t="shared" si="83"/>
        <v>0</v>
      </c>
    </row>
    <row r="468" spans="1:19">
      <c r="A468" s="963"/>
      <c r="B468" s="136"/>
      <c r="C468" s="52">
        <f t="shared" si="74"/>
        <v>1</v>
      </c>
      <c r="D468" s="961"/>
      <c r="E468" s="52">
        <f t="shared" si="75"/>
        <v>1</v>
      </c>
      <c r="F468" s="961"/>
      <c r="G468" s="52">
        <f t="shared" si="76"/>
        <v>1</v>
      </c>
      <c r="H468" s="961"/>
      <c r="I468" s="52">
        <f t="shared" si="77"/>
        <v>1</v>
      </c>
      <c r="J468" s="961"/>
      <c r="K468" s="52">
        <f t="shared" si="78"/>
        <v>1</v>
      </c>
      <c r="L468" s="961"/>
      <c r="M468" s="52">
        <f t="shared" si="79"/>
        <v>1</v>
      </c>
      <c r="N468" s="961"/>
      <c r="O468" s="52">
        <f t="shared" si="80"/>
        <v>1</v>
      </c>
      <c r="P468" s="961"/>
      <c r="Q468" s="52">
        <f t="shared" si="81"/>
        <v>1</v>
      </c>
      <c r="R468" s="489">
        <f t="shared" si="82"/>
        <v>0</v>
      </c>
      <c r="S468" s="798">
        <f t="shared" ref="S468:S497" si="84">ROUND(R468*B468/10000,0)</f>
        <v>0</v>
      </c>
    </row>
    <row r="469" spans="1:19">
      <c r="A469" s="963"/>
      <c r="B469" s="136"/>
      <c r="C469" s="52">
        <f t="shared" si="74"/>
        <v>1</v>
      </c>
      <c r="D469" s="961"/>
      <c r="E469" s="52">
        <f t="shared" si="75"/>
        <v>1</v>
      </c>
      <c r="F469" s="961"/>
      <c r="G469" s="52">
        <f t="shared" si="76"/>
        <v>1</v>
      </c>
      <c r="H469" s="961"/>
      <c r="I469" s="52">
        <f t="shared" si="77"/>
        <v>1</v>
      </c>
      <c r="J469" s="961"/>
      <c r="K469" s="52">
        <f t="shared" si="78"/>
        <v>1</v>
      </c>
      <c r="L469" s="961"/>
      <c r="M469" s="52">
        <f t="shared" si="79"/>
        <v>1</v>
      </c>
      <c r="N469" s="961"/>
      <c r="O469" s="52">
        <f t="shared" si="80"/>
        <v>1</v>
      </c>
      <c r="P469" s="961"/>
      <c r="Q469" s="52">
        <f t="shared" si="81"/>
        <v>1</v>
      </c>
      <c r="R469" s="489">
        <f t="shared" si="82"/>
        <v>0</v>
      </c>
      <c r="S469" s="798">
        <f t="shared" si="84"/>
        <v>0</v>
      </c>
    </row>
    <row r="470" spans="1:19">
      <c r="A470" s="963"/>
      <c r="B470" s="136"/>
      <c r="C470" s="52">
        <f t="shared" si="74"/>
        <v>1</v>
      </c>
      <c r="D470" s="961"/>
      <c r="E470" s="52">
        <f t="shared" si="75"/>
        <v>1</v>
      </c>
      <c r="F470" s="961"/>
      <c r="G470" s="52">
        <f t="shared" si="76"/>
        <v>1</v>
      </c>
      <c r="H470" s="961"/>
      <c r="I470" s="52">
        <f t="shared" si="77"/>
        <v>1</v>
      </c>
      <c r="J470" s="961"/>
      <c r="K470" s="52">
        <f t="shared" si="78"/>
        <v>1</v>
      </c>
      <c r="L470" s="961"/>
      <c r="M470" s="52">
        <f t="shared" si="79"/>
        <v>1</v>
      </c>
      <c r="N470" s="961"/>
      <c r="O470" s="52">
        <f t="shared" si="80"/>
        <v>1</v>
      </c>
      <c r="P470" s="961"/>
      <c r="Q470" s="52">
        <f t="shared" si="81"/>
        <v>1</v>
      </c>
      <c r="R470" s="489">
        <f t="shared" si="82"/>
        <v>0</v>
      </c>
      <c r="S470" s="798">
        <f t="shared" si="84"/>
        <v>0</v>
      </c>
    </row>
    <row r="471" spans="1:19">
      <c r="A471" s="963"/>
      <c r="B471" s="136"/>
      <c r="C471" s="52">
        <f t="shared" si="74"/>
        <v>1</v>
      </c>
      <c r="D471" s="961"/>
      <c r="E471" s="52">
        <f t="shared" si="75"/>
        <v>1</v>
      </c>
      <c r="F471" s="961"/>
      <c r="G471" s="52">
        <f t="shared" si="76"/>
        <v>1</v>
      </c>
      <c r="H471" s="961"/>
      <c r="I471" s="52">
        <f t="shared" si="77"/>
        <v>1</v>
      </c>
      <c r="J471" s="961"/>
      <c r="K471" s="52">
        <f t="shared" si="78"/>
        <v>1</v>
      </c>
      <c r="L471" s="961"/>
      <c r="M471" s="52">
        <f t="shared" si="79"/>
        <v>1</v>
      </c>
      <c r="N471" s="961"/>
      <c r="O471" s="52">
        <f t="shared" si="80"/>
        <v>1</v>
      </c>
      <c r="P471" s="961"/>
      <c r="Q471" s="52">
        <f t="shared" si="81"/>
        <v>1</v>
      </c>
      <c r="R471" s="489">
        <f t="shared" si="82"/>
        <v>0</v>
      </c>
      <c r="S471" s="798">
        <f t="shared" si="84"/>
        <v>0</v>
      </c>
    </row>
    <row r="472" spans="1:19">
      <c r="A472" s="963"/>
      <c r="B472" s="136"/>
      <c r="C472" s="52">
        <f t="shared" si="74"/>
        <v>1</v>
      </c>
      <c r="D472" s="961"/>
      <c r="E472" s="52">
        <f t="shared" si="75"/>
        <v>1</v>
      </c>
      <c r="F472" s="961"/>
      <c r="G472" s="52">
        <f t="shared" si="76"/>
        <v>1</v>
      </c>
      <c r="H472" s="961"/>
      <c r="I472" s="52">
        <f t="shared" si="77"/>
        <v>1</v>
      </c>
      <c r="J472" s="961"/>
      <c r="K472" s="52">
        <f t="shared" si="78"/>
        <v>1</v>
      </c>
      <c r="L472" s="961"/>
      <c r="M472" s="52">
        <f t="shared" si="79"/>
        <v>1</v>
      </c>
      <c r="N472" s="961"/>
      <c r="O472" s="52">
        <f t="shared" si="80"/>
        <v>1</v>
      </c>
      <c r="P472" s="961"/>
      <c r="Q472" s="52">
        <f t="shared" si="81"/>
        <v>1</v>
      </c>
      <c r="R472" s="489">
        <f t="shared" si="82"/>
        <v>0</v>
      </c>
      <c r="S472" s="798">
        <f t="shared" si="84"/>
        <v>0</v>
      </c>
    </row>
    <row r="473" spans="1:19">
      <c r="A473" s="963"/>
      <c r="B473" s="136"/>
      <c r="C473" s="52">
        <f t="shared" si="74"/>
        <v>1</v>
      </c>
      <c r="D473" s="961"/>
      <c r="E473" s="52">
        <f t="shared" si="75"/>
        <v>1</v>
      </c>
      <c r="F473" s="961"/>
      <c r="G473" s="52">
        <f t="shared" si="76"/>
        <v>1</v>
      </c>
      <c r="H473" s="961"/>
      <c r="I473" s="52">
        <f t="shared" si="77"/>
        <v>1</v>
      </c>
      <c r="J473" s="961"/>
      <c r="K473" s="52">
        <f t="shared" si="78"/>
        <v>1</v>
      </c>
      <c r="L473" s="961"/>
      <c r="M473" s="52">
        <f t="shared" si="79"/>
        <v>1</v>
      </c>
      <c r="N473" s="961"/>
      <c r="O473" s="52">
        <f t="shared" si="80"/>
        <v>1</v>
      </c>
      <c r="P473" s="961"/>
      <c r="Q473" s="52">
        <f t="shared" si="81"/>
        <v>1</v>
      </c>
      <c r="R473" s="489">
        <f t="shared" si="82"/>
        <v>0</v>
      </c>
      <c r="S473" s="798">
        <f t="shared" si="84"/>
        <v>0</v>
      </c>
    </row>
    <row r="474" spans="1:19">
      <c r="A474" s="963"/>
      <c r="B474" s="136"/>
      <c r="C474" s="52">
        <f t="shared" ref="C474:C524" si="85">IF(B474="",1,(LOOKUP(B474,$3:$3,$4:$4)-LOOKUP($B$24,$3:$3,$4:$4)+100)/100)</f>
        <v>1</v>
      </c>
      <c r="D474" s="961"/>
      <c r="E474" s="52">
        <f t="shared" ref="E474:E524" si="86">(SUMIF($5:$5,D474,$6:$6)-SUMIF($5:$5,$D$24,$6:$6)+100)/100</f>
        <v>1</v>
      </c>
      <c r="F474" s="961"/>
      <c r="G474" s="52">
        <f t="shared" ref="G474:G524" si="87">(SUMIF($7:$7,F474,$8:$8)-SUMIF($7:$7,$F$24,$8:$8)+100)/100</f>
        <v>1</v>
      </c>
      <c r="H474" s="961"/>
      <c r="I474" s="52">
        <f t="shared" ref="I474:I524" si="88">(SUMIF($9:$9,H474,$10:$10)-SUMIF($9:$9,$H$24,$10:$10)+100)/100</f>
        <v>1</v>
      </c>
      <c r="J474" s="961"/>
      <c r="K474" s="52">
        <f t="shared" ref="K474:K524" si="89">(SUMIF($11:$11,J474,$12:$12)-SUMIF($11:$11,$J$24,$12:$12)+100)/100</f>
        <v>1</v>
      </c>
      <c r="L474" s="961"/>
      <c r="M474" s="52">
        <f t="shared" ref="M474:M524" si="90">(SUMIF($13:$13,L474,$14:$14)-SUMIF($13:$13,$L$24,$14:$14)+100)/100</f>
        <v>1</v>
      </c>
      <c r="N474" s="961"/>
      <c r="O474" s="52">
        <f t="shared" ref="O474:O524" si="91">(SUMIF($15:$15,N474,$16:$16)-SUMIF($15:$15,$N$24,$16:$16)+100)/100</f>
        <v>1</v>
      </c>
      <c r="P474" s="961"/>
      <c r="Q474" s="52">
        <f t="shared" ref="Q474:Q524" si="92">(SUMIF($17:$17,P474,$18:$18)-SUMIF($17:$17,$P$24,$18:$18)+100)/100</f>
        <v>1</v>
      </c>
      <c r="R474" s="489">
        <f t="shared" ref="R474:R524" si="93">IF(B474="",0,ROUND($R$24*C474*E474*G474*I474*K474*M474*O474*Q474,0))</f>
        <v>0</v>
      </c>
      <c r="S474" s="798">
        <f t="shared" si="84"/>
        <v>0</v>
      </c>
    </row>
    <row r="475" spans="1:19">
      <c r="A475" s="963"/>
      <c r="B475" s="136"/>
      <c r="C475" s="52">
        <f t="shared" si="85"/>
        <v>1</v>
      </c>
      <c r="D475" s="961"/>
      <c r="E475" s="52">
        <f t="shared" si="86"/>
        <v>1</v>
      </c>
      <c r="F475" s="961"/>
      <c r="G475" s="52">
        <f t="shared" si="87"/>
        <v>1</v>
      </c>
      <c r="H475" s="961"/>
      <c r="I475" s="52">
        <f t="shared" si="88"/>
        <v>1</v>
      </c>
      <c r="J475" s="961"/>
      <c r="K475" s="52">
        <f t="shared" si="89"/>
        <v>1</v>
      </c>
      <c r="L475" s="961"/>
      <c r="M475" s="52">
        <f t="shared" si="90"/>
        <v>1</v>
      </c>
      <c r="N475" s="961"/>
      <c r="O475" s="52">
        <f t="shared" si="91"/>
        <v>1</v>
      </c>
      <c r="P475" s="961"/>
      <c r="Q475" s="52">
        <f t="shared" si="92"/>
        <v>1</v>
      </c>
      <c r="R475" s="489">
        <f t="shared" si="93"/>
        <v>0</v>
      </c>
      <c r="S475" s="798">
        <f t="shared" si="84"/>
        <v>0</v>
      </c>
    </row>
    <row r="476" spans="1:19">
      <c r="A476" s="963"/>
      <c r="B476" s="136"/>
      <c r="C476" s="52">
        <f t="shared" si="85"/>
        <v>1</v>
      </c>
      <c r="D476" s="961"/>
      <c r="E476" s="52">
        <f t="shared" si="86"/>
        <v>1</v>
      </c>
      <c r="F476" s="961"/>
      <c r="G476" s="52">
        <f t="shared" si="87"/>
        <v>1</v>
      </c>
      <c r="H476" s="961"/>
      <c r="I476" s="52">
        <f t="shared" si="88"/>
        <v>1</v>
      </c>
      <c r="J476" s="961"/>
      <c r="K476" s="52">
        <f t="shared" si="89"/>
        <v>1</v>
      </c>
      <c r="L476" s="961"/>
      <c r="M476" s="52">
        <f t="shared" si="90"/>
        <v>1</v>
      </c>
      <c r="N476" s="961"/>
      <c r="O476" s="52">
        <f t="shared" si="91"/>
        <v>1</v>
      </c>
      <c r="P476" s="961"/>
      <c r="Q476" s="52">
        <f t="shared" si="92"/>
        <v>1</v>
      </c>
      <c r="R476" s="489">
        <f t="shared" si="93"/>
        <v>0</v>
      </c>
      <c r="S476" s="798">
        <f t="shared" si="84"/>
        <v>0</v>
      </c>
    </row>
    <row r="477" spans="1:19">
      <c r="A477" s="963"/>
      <c r="B477" s="136"/>
      <c r="C477" s="52">
        <f t="shared" si="85"/>
        <v>1</v>
      </c>
      <c r="D477" s="961"/>
      <c r="E477" s="52">
        <f t="shared" si="86"/>
        <v>1</v>
      </c>
      <c r="F477" s="961"/>
      <c r="G477" s="52">
        <f t="shared" si="87"/>
        <v>1</v>
      </c>
      <c r="H477" s="961"/>
      <c r="I477" s="52">
        <f t="shared" si="88"/>
        <v>1</v>
      </c>
      <c r="J477" s="961"/>
      <c r="K477" s="52">
        <f t="shared" si="89"/>
        <v>1</v>
      </c>
      <c r="L477" s="961"/>
      <c r="M477" s="52">
        <f t="shared" si="90"/>
        <v>1</v>
      </c>
      <c r="N477" s="961"/>
      <c r="O477" s="52">
        <f t="shared" si="91"/>
        <v>1</v>
      </c>
      <c r="P477" s="961"/>
      <c r="Q477" s="52">
        <f t="shared" si="92"/>
        <v>1</v>
      </c>
      <c r="R477" s="489">
        <f t="shared" si="93"/>
        <v>0</v>
      </c>
      <c r="S477" s="798">
        <f t="shared" si="84"/>
        <v>0</v>
      </c>
    </row>
    <row r="478" spans="1:19">
      <c r="A478" s="963"/>
      <c r="B478" s="136"/>
      <c r="C478" s="52">
        <f t="shared" si="85"/>
        <v>1</v>
      </c>
      <c r="D478" s="961"/>
      <c r="E478" s="52">
        <f t="shared" si="86"/>
        <v>1</v>
      </c>
      <c r="F478" s="961"/>
      <c r="G478" s="52">
        <f t="shared" si="87"/>
        <v>1</v>
      </c>
      <c r="H478" s="961"/>
      <c r="I478" s="52">
        <f t="shared" si="88"/>
        <v>1</v>
      </c>
      <c r="J478" s="961"/>
      <c r="K478" s="52">
        <f t="shared" si="89"/>
        <v>1</v>
      </c>
      <c r="L478" s="961"/>
      <c r="M478" s="52">
        <f t="shared" si="90"/>
        <v>1</v>
      </c>
      <c r="N478" s="961"/>
      <c r="O478" s="52">
        <f t="shared" si="91"/>
        <v>1</v>
      </c>
      <c r="P478" s="961"/>
      <c r="Q478" s="52">
        <f t="shared" si="92"/>
        <v>1</v>
      </c>
      <c r="R478" s="489">
        <f t="shared" si="93"/>
        <v>0</v>
      </c>
      <c r="S478" s="798">
        <f t="shared" si="84"/>
        <v>0</v>
      </c>
    </row>
    <row r="479" spans="1:19">
      <c r="A479" s="963"/>
      <c r="B479" s="136"/>
      <c r="C479" s="52">
        <f t="shared" si="85"/>
        <v>1</v>
      </c>
      <c r="D479" s="961"/>
      <c r="E479" s="52">
        <f t="shared" si="86"/>
        <v>1</v>
      </c>
      <c r="F479" s="961"/>
      <c r="G479" s="52">
        <f t="shared" si="87"/>
        <v>1</v>
      </c>
      <c r="H479" s="961"/>
      <c r="I479" s="52">
        <f t="shared" si="88"/>
        <v>1</v>
      </c>
      <c r="J479" s="961"/>
      <c r="K479" s="52">
        <f t="shared" si="89"/>
        <v>1</v>
      </c>
      <c r="L479" s="961"/>
      <c r="M479" s="52">
        <f t="shared" si="90"/>
        <v>1</v>
      </c>
      <c r="N479" s="961"/>
      <c r="O479" s="52">
        <f t="shared" si="91"/>
        <v>1</v>
      </c>
      <c r="P479" s="961"/>
      <c r="Q479" s="52">
        <f t="shared" si="92"/>
        <v>1</v>
      </c>
      <c r="R479" s="489">
        <f t="shared" si="93"/>
        <v>0</v>
      </c>
      <c r="S479" s="798">
        <f t="shared" si="84"/>
        <v>0</v>
      </c>
    </row>
    <row r="480" spans="1:19">
      <c r="A480" s="963"/>
      <c r="B480" s="136"/>
      <c r="C480" s="52">
        <f t="shared" si="85"/>
        <v>1</v>
      </c>
      <c r="D480" s="961"/>
      <c r="E480" s="52">
        <f t="shared" si="86"/>
        <v>1</v>
      </c>
      <c r="F480" s="961"/>
      <c r="G480" s="52">
        <f t="shared" si="87"/>
        <v>1</v>
      </c>
      <c r="H480" s="961"/>
      <c r="I480" s="52">
        <f t="shared" si="88"/>
        <v>1</v>
      </c>
      <c r="J480" s="961"/>
      <c r="K480" s="52">
        <f t="shared" si="89"/>
        <v>1</v>
      </c>
      <c r="L480" s="961"/>
      <c r="M480" s="52">
        <f t="shared" si="90"/>
        <v>1</v>
      </c>
      <c r="N480" s="961"/>
      <c r="O480" s="52">
        <f t="shared" si="91"/>
        <v>1</v>
      </c>
      <c r="P480" s="961"/>
      <c r="Q480" s="52">
        <f t="shared" si="92"/>
        <v>1</v>
      </c>
      <c r="R480" s="489">
        <f t="shared" si="93"/>
        <v>0</v>
      </c>
      <c r="S480" s="798">
        <f t="shared" si="84"/>
        <v>0</v>
      </c>
    </row>
    <row r="481" spans="1:19">
      <c r="A481" s="963"/>
      <c r="B481" s="136"/>
      <c r="C481" s="52">
        <f t="shared" si="85"/>
        <v>1</v>
      </c>
      <c r="D481" s="961"/>
      <c r="E481" s="52">
        <f t="shared" si="86"/>
        <v>1</v>
      </c>
      <c r="F481" s="961"/>
      <c r="G481" s="52">
        <f t="shared" si="87"/>
        <v>1</v>
      </c>
      <c r="H481" s="961"/>
      <c r="I481" s="52">
        <f t="shared" si="88"/>
        <v>1</v>
      </c>
      <c r="J481" s="961"/>
      <c r="K481" s="52">
        <f t="shared" si="89"/>
        <v>1</v>
      </c>
      <c r="L481" s="961"/>
      <c r="M481" s="52">
        <f t="shared" si="90"/>
        <v>1</v>
      </c>
      <c r="N481" s="961"/>
      <c r="O481" s="52">
        <f t="shared" si="91"/>
        <v>1</v>
      </c>
      <c r="P481" s="961"/>
      <c r="Q481" s="52">
        <f t="shared" si="92"/>
        <v>1</v>
      </c>
      <c r="R481" s="489">
        <f t="shared" si="93"/>
        <v>0</v>
      </c>
      <c r="S481" s="798">
        <f t="shared" si="84"/>
        <v>0</v>
      </c>
    </row>
    <row r="482" spans="1:19">
      <c r="A482" s="963"/>
      <c r="B482" s="136"/>
      <c r="C482" s="52">
        <f t="shared" si="85"/>
        <v>1</v>
      </c>
      <c r="D482" s="961"/>
      <c r="E482" s="52">
        <f t="shared" si="86"/>
        <v>1</v>
      </c>
      <c r="F482" s="961"/>
      <c r="G482" s="52">
        <f t="shared" si="87"/>
        <v>1</v>
      </c>
      <c r="H482" s="961"/>
      <c r="I482" s="52">
        <f t="shared" si="88"/>
        <v>1</v>
      </c>
      <c r="J482" s="961"/>
      <c r="K482" s="52">
        <f t="shared" si="89"/>
        <v>1</v>
      </c>
      <c r="L482" s="961"/>
      <c r="M482" s="52">
        <f t="shared" si="90"/>
        <v>1</v>
      </c>
      <c r="N482" s="961"/>
      <c r="O482" s="52">
        <f t="shared" si="91"/>
        <v>1</v>
      </c>
      <c r="P482" s="961"/>
      <c r="Q482" s="52">
        <f t="shared" si="92"/>
        <v>1</v>
      </c>
      <c r="R482" s="489">
        <f t="shared" si="93"/>
        <v>0</v>
      </c>
      <c r="S482" s="798">
        <f t="shared" si="84"/>
        <v>0</v>
      </c>
    </row>
    <row r="483" spans="1:19">
      <c r="A483" s="963"/>
      <c r="B483" s="136"/>
      <c r="C483" s="52">
        <f t="shared" si="85"/>
        <v>1</v>
      </c>
      <c r="D483" s="961"/>
      <c r="E483" s="52">
        <f t="shared" si="86"/>
        <v>1</v>
      </c>
      <c r="F483" s="961"/>
      <c r="G483" s="52">
        <f t="shared" si="87"/>
        <v>1</v>
      </c>
      <c r="H483" s="961"/>
      <c r="I483" s="52">
        <f t="shared" si="88"/>
        <v>1</v>
      </c>
      <c r="J483" s="961"/>
      <c r="K483" s="52">
        <f t="shared" si="89"/>
        <v>1</v>
      </c>
      <c r="L483" s="961"/>
      <c r="M483" s="52">
        <f t="shared" si="90"/>
        <v>1</v>
      </c>
      <c r="N483" s="961"/>
      <c r="O483" s="52">
        <f t="shared" si="91"/>
        <v>1</v>
      </c>
      <c r="P483" s="961"/>
      <c r="Q483" s="52">
        <f t="shared" si="92"/>
        <v>1</v>
      </c>
      <c r="R483" s="489">
        <f t="shared" si="93"/>
        <v>0</v>
      </c>
      <c r="S483" s="798">
        <f t="shared" si="84"/>
        <v>0</v>
      </c>
    </row>
    <row r="484" spans="1:19">
      <c r="A484" s="963"/>
      <c r="B484" s="136"/>
      <c r="C484" s="52">
        <f t="shared" si="85"/>
        <v>1</v>
      </c>
      <c r="D484" s="961"/>
      <c r="E484" s="52">
        <f t="shared" si="86"/>
        <v>1</v>
      </c>
      <c r="F484" s="961"/>
      <c r="G484" s="52">
        <f t="shared" si="87"/>
        <v>1</v>
      </c>
      <c r="H484" s="961"/>
      <c r="I484" s="52">
        <f t="shared" si="88"/>
        <v>1</v>
      </c>
      <c r="J484" s="961"/>
      <c r="K484" s="52">
        <f t="shared" si="89"/>
        <v>1</v>
      </c>
      <c r="L484" s="961"/>
      <c r="M484" s="52">
        <f t="shared" si="90"/>
        <v>1</v>
      </c>
      <c r="N484" s="961"/>
      <c r="O484" s="52">
        <f t="shared" si="91"/>
        <v>1</v>
      </c>
      <c r="P484" s="961"/>
      <c r="Q484" s="52">
        <f t="shared" si="92"/>
        <v>1</v>
      </c>
      <c r="R484" s="489">
        <f t="shared" si="93"/>
        <v>0</v>
      </c>
      <c r="S484" s="798">
        <f t="shared" si="84"/>
        <v>0</v>
      </c>
    </row>
    <row r="485" spans="1:19">
      <c r="A485" s="963"/>
      <c r="B485" s="136"/>
      <c r="C485" s="52">
        <f t="shared" si="85"/>
        <v>1</v>
      </c>
      <c r="D485" s="961"/>
      <c r="E485" s="52">
        <f t="shared" si="86"/>
        <v>1</v>
      </c>
      <c r="F485" s="961"/>
      <c r="G485" s="52">
        <f t="shared" si="87"/>
        <v>1</v>
      </c>
      <c r="H485" s="961"/>
      <c r="I485" s="52">
        <f t="shared" si="88"/>
        <v>1</v>
      </c>
      <c r="J485" s="961"/>
      <c r="K485" s="52">
        <f t="shared" si="89"/>
        <v>1</v>
      </c>
      <c r="L485" s="961"/>
      <c r="M485" s="52">
        <f t="shared" si="90"/>
        <v>1</v>
      </c>
      <c r="N485" s="961"/>
      <c r="O485" s="52">
        <f t="shared" si="91"/>
        <v>1</v>
      </c>
      <c r="P485" s="961"/>
      <c r="Q485" s="52">
        <f t="shared" si="92"/>
        <v>1</v>
      </c>
      <c r="R485" s="489">
        <f t="shared" si="93"/>
        <v>0</v>
      </c>
      <c r="S485" s="798">
        <f t="shared" si="84"/>
        <v>0</v>
      </c>
    </row>
    <row r="486" spans="1:19">
      <c r="A486" s="963"/>
      <c r="B486" s="136"/>
      <c r="C486" s="52">
        <f t="shared" si="85"/>
        <v>1</v>
      </c>
      <c r="D486" s="961"/>
      <c r="E486" s="52">
        <f t="shared" si="86"/>
        <v>1</v>
      </c>
      <c r="F486" s="961"/>
      <c r="G486" s="52">
        <f t="shared" si="87"/>
        <v>1</v>
      </c>
      <c r="H486" s="961"/>
      <c r="I486" s="52">
        <f t="shared" si="88"/>
        <v>1</v>
      </c>
      <c r="J486" s="961"/>
      <c r="K486" s="52">
        <f t="shared" si="89"/>
        <v>1</v>
      </c>
      <c r="L486" s="961"/>
      <c r="M486" s="52">
        <f t="shared" si="90"/>
        <v>1</v>
      </c>
      <c r="N486" s="961"/>
      <c r="O486" s="52">
        <f t="shared" si="91"/>
        <v>1</v>
      </c>
      <c r="P486" s="961"/>
      <c r="Q486" s="52">
        <f t="shared" si="92"/>
        <v>1</v>
      </c>
      <c r="R486" s="489">
        <f t="shared" si="93"/>
        <v>0</v>
      </c>
      <c r="S486" s="798">
        <f t="shared" si="84"/>
        <v>0</v>
      </c>
    </row>
    <row r="487" spans="1:19">
      <c r="A487" s="963"/>
      <c r="B487" s="136"/>
      <c r="C487" s="52">
        <f t="shared" si="85"/>
        <v>1</v>
      </c>
      <c r="D487" s="961"/>
      <c r="E487" s="52">
        <f t="shared" si="86"/>
        <v>1</v>
      </c>
      <c r="F487" s="961"/>
      <c r="G487" s="52">
        <f t="shared" si="87"/>
        <v>1</v>
      </c>
      <c r="H487" s="961"/>
      <c r="I487" s="52">
        <f t="shared" si="88"/>
        <v>1</v>
      </c>
      <c r="J487" s="961"/>
      <c r="K487" s="52">
        <f t="shared" si="89"/>
        <v>1</v>
      </c>
      <c r="L487" s="961"/>
      <c r="M487" s="52">
        <f t="shared" si="90"/>
        <v>1</v>
      </c>
      <c r="N487" s="961"/>
      <c r="O487" s="52">
        <f t="shared" si="91"/>
        <v>1</v>
      </c>
      <c r="P487" s="961"/>
      <c r="Q487" s="52">
        <f t="shared" si="92"/>
        <v>1</v>
      </c>
      <c r="R487" s="489">
        <f t="shared" si="93"/>
        <v>0</v>
      </c>
      <c r="S487" s="798">
        <f t="shared" si="84"/>
        <v>0</v>
      </c>
    </row>
    <row r="488" spans="1:19">
      <c r="A488" s="963"/>
      <c r="B488" s="136"/>
      <c r="C488" s="52">
        <f t="shared" si="85"/>
        <v>1</v>
      </c>
      <c r="D488" s="961"/>
      <c r="E488" s="52">
        <f t="shared" si="86"/>
        <v>1</v>
      </c>
      <c r="F488" s="961"/>
      <c r="G488" s="52">
        <f t="shared" si="87"/>
        <v>1</v>
      </c>
      <c r="H488" s="961"/>
      <c r="I488" s="52">
        <f t="shared" si="88"/>
        <v>1</v>
      </c>
      <c r="J488" s="961"/>
      <c r="K488" s="52">
        <f t="shared" si="89"/>
        <v>1</v>
      </c>
      <c r="L488" s="961"/>
      <c r="M488" s="52">
        <f t="shared" si="90"/>
        <v>1</v>
      </c>
      <c r="N488" s="961"/>
      <c r="O488" s="52">
        <f t="shared" si="91"/>
        <v>1</v>
      </c>
      <c r="P488" s="961"/>
      <c r="Q488" s="52">
        <f t="shared" si="92"/>
        <v>1</v>
      </c>
      <c r="R488" s="489">
        <f t="shared" si="93"/>
        <v>0</v>
      </c>
      <c r="S488" s="798">
        <f t="shared" si="84"/>
        <v>0</v>
      </c>
    </row>
    <row r="489" spans="1:19">
      <c r="A489" s="963"/>
      <c r="B489" s="136"/>
      <c r="C489" s="52">
        <f t="shared" si="85"/>
        <v>1</v>
      </c>
      <c r="D489" s="961"/>
      <c r="E489" s="52">
        <f t="shared" si="86"/>
        <v>1</v>
      </c>
      <c r="F489" s="961"/>
      <c r="G489" s="52">
        <f t="shared" si="87"/>
        <v>1</v>
      </c>
      <c r="H489" s="961"/>
      <c r="I489" s="52">
        <f t="shared" si="88"/>
        <v>1</v>
      </c>
      <c r="J489" s="961"/>
      <c r="K489" s="52">
        <f t="shared" si="89"/>
        <v>1</v>
      </c>
      <c r="L489" s="961"/>
      <c r="M489" s="52">
        <f t="shared" si="90"/>
        <v>1</v>
      </c>
      <c r="N489" s="961"/>
      <c r="O489" s="52">
        <f t="shared" si="91"/>
        <v>1</v>
      </c>
      <c r="P489" s="961"/>
      <c r="Q489" s="52">
        <f t="shared" si="92"/>
        <v>1</v>
      </c>
      <c r="R489" s="489">
        <f t="shared" si="93"/>
        <v>0</v>
      </c>
      <c r="S489" s="798">
        <f t="shared" si="84"/>
        <v>0</v>
      </c>
    </row>
    <row r="490" spans="1:19">
      <c r="A490" s="963"/>
      <c r="B490" s="136"/>
      <c r="C490" s="52">
        <f t="shared" si="85"/>
        <v>1</v>
      </c>
      <c r="D490" s="961"/>
      <c r="E490" s="52">
        <f t="shared" si="86"/>
        <v>1</v>
      </c>
      <c r="F490" s="961"/>
      <c r="G490" s="52">
        <f t="shared" si="87"/>
        <v>1</v>
      </c>
      <c r="H490" s="961"/>
      <c r="I490" s="52">
        <f t="shared" si="88"/>
        <v>1</v>
      </c>
      <c r="J490" s="961"/>
      <c r="K490" s="52">
        <f t="shared" si="89"/>
        <v>1</v>
      </c>
      <c r="L490" s="961"/>
      <c r="M490" s="52">
        <f t="shared" si="90"/>
        <v>1</v>
      </c>
      <c r="N490" s="961"/>
      <c r="O490" s="52">
        <f t="shared" si="91"/>
        <v>1</v>
      </c>
      <c r="P490" s="961"/>
      <c r="Q490" s="52">
        <f t="shared" si="92"/>
        <v>1</v>
      </c>
      <c r="R490" s="489">
        <f t="shared" si="93"/>
        <v>0</v>
      </c>
      <c r="S490" s="798">
        <f t="shared" si="84"/>
        <v>0</v>
      </c>
    </row>
    <row r="491" spans="1:19">
      <c r="A491" s="963"/>
      <c r="B491" s="136"/>
      <c r="C491" s="52">
        <f t="shared" si="85"/>
        <v>1</v>
      </c>
      <c r="D491" s="961"/>
      <c r="E491" s="52">
        <f t="shared" si="86"/>
        <v>1</v>
      </c>
      <c r="F491" s="961"/>
      <c r="G491" s="52">
        <f t="shared" si="87"/>
        <v>1</v>
      </c>
      <c r="H491" s="961"/>
      <c r="I491" s="52">
        <f t="shared" si="88"/>
        <v>1</v>
      </c>
      <c r="J491" s="961"/>
      <c r="K491" s="52">
        <f t="shared" si="89"/>
        <v>1</v>
      </c>
      <c r="L491" s="961"/>
      <c r="M491" s="52">
        <f t="shared" si="90"/>
        <v>1</v>
      </c>
      <c r="N491" s="961"/>
      <c r="O491" s="52">
        <f t="shared" si="91"/>
        <v>1</v>
      </c>
      <c r="P491" s="961"/>
      <c r="Q491" s="52">
        <f t="shared" si="92"/>
        <v>1</v>
      </c>
      <c r="R491" s="489">
        <f t="shared" si="93"/>
        <v>0</v>
      </c>
      <c r="S491" s="798">
        <f t="shared" si="84"/>
        <v>0</v>
      </c>
    </row>
    <row r="492" spans="1:19">
      <c r="A492" s="963"/>
      <c r="B492" s="136"/>
      <c r="C492" s="52">
        <f t="shared" si="85"/>
        <v>1</v>
      </c>
      <c r="D492" s="961"/>
      <c r="E492" s="52">
        <f t="shared" si="86"/>
        <v>1</v>
      </c>
      <c r="F492" s="961"/>
      <c r="G492" s="52">
        <f t="shared" si="87"/>
        <v>1</v>
      </c>
      <c r="H492" s="961"/>
      <c r="I492" s="52">
        <f t="shared" si="88"/>
        <v>1</v>
      </c>
      <c r="J492" s="961"/>
      <c r="K492" s="52">
        <f t="shared" si="89"/>
        <v>1</v>
      </c>
      <c r="L492" s="961"/>
      <c r="M492" s="52">
        <f t="shared" si="90"/>
        <v>1</v>
      </c>
      <c r="N492" s="961"/>
      <c r="O492" s="52">
        <f t="shared" si="91"/>
        <v>1</v>
      </c>
      <c r="P492" s="961"/>
      <c r="Q492" s="52">
        <f t="shared" si="92"/>
        <v>1</v>
      </c>
      <c r="R492" s="489">
        <f t="shared" si="93"/>
        <v>0</v>
      </c>
      <c r="S492" s="798">
        <f t="shared" si="84"/>
        <v>0</v>
      </c>
    </row>
    <row r="493" spans="1:19">
      <c r="A493" s="963"/>
      <c r="B493" s="136"/>
      <c r="C493" s="52">
        <f t="shared" si="85"/>
        <v>1</v>
      </c>
      <c r="D493" s="961"/>
      <c r="E493" s="52">
        <f t="shared" si="86"/>
        <v>1</v>
      </c>
      <c r="F493" s="961"/>
      <c r="G493" s="52">
        <f t="shared" si="87"/>
        <v>1</v>
      </c>
      <c r="H493" s="961"/>
      <c r="I493" s="52">
        <f t="shared" si="88"/>
        <v>1</v>
      </c>
      <c r="J493" s="961"/>
      <c r="K493" s="52">
        <f t="shared" si="89"/>
        <v>1</v>
      </c>
      <c r="L493" s="961"/>
      <c r="M493" s="52">
        <f t="shared" si="90"/>
        <v>1</v>
      </c>
      <c r="N493" s="961"/>
      <c r="O493" s="52">
        <f t="shared" si="91"/>
        <v>1</v>
      </c>
      <c r="P493" s="961"/>
      <c r="Q493" s="52">
        <f t="shared" si="92"/>
        <v>1</v>
      </c>
      <c r="R493" s="489">
        <f t="shared" si="93"/>
        <v>0</v>
      </c>
      <c r="S493" s="798">
        <f t="shared" si="84"/>
        <v>0</v>
      </c>
    </row>
    <row r="494" spans="1:19">
      <c r="A494" s="963"/>
      <c r="B494" s="136"/>
      <c r="C494" s="52">
        <f t="shared" si="85"/>
        <v>1</v>
      </c>
      <c r="D494" s="961"/>
      <c r="E494" s="52">
        <f t="shared" si="86"/>
        <v>1</v>
      </c>
      <c r="F494" s="961"/>
      <c r="G494" s="52">
        <f t="shared" si="87"/>
        <v>1</v>
      </c>
      <c r="H494" s="961"/>
      <c r="I494" s="52">
        <f t="shared" si="88"/>
        <v>1</v>
      </c>
      <c r="J494" s="961"/>
      <c r="K494" s="52">
        <f t="shared" si="89"/>
        <v>1</v>
      </c>
      <c r="L494" s="961"/>
      <c r="M494" s="52">
        <f t="shared" si="90"/>
        <v>1</v>
      </c>
      <c r="N494" s="961"/>
      <c r="O494" s="52">
        <f t="shared" si="91"/>
        <v>1</v>
      </c>
      <c r="P494" s="961"/>
      <c r="Q494" s="52">
        <f t="shared" si="92"/>
        <v>1</v>
      </c>
      <c r="R494" s="489">
        <f t="shared" si="93"/>
        <v>0</v>
      </c>
      <c r="S494" s="798">
        <f t="shared" si="84"/>
        <v>0</v>
      </c>
    </row>
    <row r="495" spans="1:19">
      <c r="A495" s="963"/>
      <c r="B495" s="136"/>
      <c r="C495" s="52">
        <f t="shared" si="85"/>
        <v>1</v>
      </c>
      <c r="D495" s="961"/>
      <c r="E495" s="52">
        <f t="shared" si="86"/>
        <v>1</v>
      </c>
      <c r="F495" s="961"/>
      <c r="G495" s="52">
        <f t="shared" si="87"/>
        <v>1</v>
      </c>
      <c r="H495" s="961"/>
      <c r="I495" s="52">
        <f t="shared" si="88"/>
        <v>1</v>
      </c>
      <c r="J495" s="961"/>
      <c r="K495" s="52">
        <f t="shared" si="89"/>
        <v>1</v>
      </c>
      <c r="L495" s="961"/>
      <c r="M495" s="52">
        <f t="shared" si="90"/>
        <v>1</v>
      </c>
      <c r="N495" s="961"/>
      <c r="O495" s="52">
        <f t="shared" si="91"/>
        <v>1</v>
      </c>
      <c r="P495" s="961"/>
      <c r="Q495" s="52">
        <f t="shared" si="92"/>
        <v>1</v>
      </c>
      <c r="R495" s="489">
        <f t="shared" si="93"/>
        <v>0</v>
      </c>
      <c r="S495" s="798">
        <f t="shared" si="84"/>
        <v>0</v>
      </c>
    </row>
    <row r="496" spans="1:19">
      <c r="A496" s="963"/>
      <c r="B496" s="136"/>
      <c r="C496" s="52">
        <f t="shared" si="85"/>
        <v>1</v>
      </c>
      <c r="D496" s="961"/>
      <c r="E496" s="52">
        <f t="shared" si="86"/>
        <v>1</v>
      </c>
      <c r="F496" s="961"/>
      <c r="G496" s="52">
        <f t="shared" si="87"/>
        <v>1</v>
      </c>
      <c r="H496" s="961"/>
      <c r="I496" s="52">
        <f t="shared" si="88"/>
        <v>1</v>
      </c>
      <c r="J496" s="961"/>
      <c r="K496" s="52">
        <f t="shared" si="89"/>
        <v>1</v>
      </c>
      <c r="L496" s="961"/>
      <c r="M496" s="52">
        <f t="shared" si="90"/>
        <v>1</v>
      </c>
      <c r="N496" s="961"/>
      <c r="O496" s="52">
        <f t="shared" si="91"/>
        <v>1</v>
      </c>
      <c r="P496" s="961"/>
      <c r="Q496" s="52">
        <f t="shared" si="92"/>
        <v>1</v>
      </c>
      <c r="R496" s="489">
        <f t="shared" si="93"/>
        <v>0</v>
      </c>
      <c r="S496" s="798">
        <f t="shared" si="84"/>
        <v>0</v>
      </c>
    </row>
    <row r="497" spans="1:19">
      <c r="A497" s="963"/>
      <c r="B497" s="136"/>
      <c r="C497" s="52">
        <f t="shared" si="85"/>
        <v>1</v>
      </c>
      <c r="D497" s="961"/>
      <c r="E497" s="52">
        <f t="shared" si="86"/>
        <v>1</v>
      </c>
      <c r="F497" s="961"/>
      <c r="G497" s="52">
        <f t="shared" si="87"/>
        <v>1</v>
      </c>
      <c r="H497" s="961"/>
      <c r="I497" s="52">
        <f t="shared" si="88"/>
        <v>1</v>
      </c>
      <c r="J497" s="961"/>
      <c r="K497" s="52">
        <f t="shared" si="89"/>
        <v>1</v>
      </c>
      <c r="L497" s="961"/>
      <c r="M497" s="52">
        <f t="shared" si="90"/>
        <v>1</v>
      </c>
      <c r="N497" s="961"/>
      <c r="O497" s="52">
        <f t="shared" si="91"/>
        <v>1</v>
      </c>
      <c r="P497" s="961"/>
      <c r="Q497" s="52">
        <f t="shared" si="92"/>
        <v>1</v>
      </c>
      <c r="R497" s="489">
        <f t="shared" si="93"/>
        <v>0</v>
      </c>
      <c r="S497" s="798">
        <f t="shared" si="84"/>
        <v>0</v>
      </c>
    </row>
    <row r="498" spans="1:19">
      <c r="A498" s="963"/>
      <c r="B498" s="136"/>
      <c r="C498" s="52">
        <f t="shared" si="85"/>
        <v>1</v>
      </c>
      <c r="D498" s="961"/>
      <c r="E498" s="52">
        <f t="shared" si="86"/>
        <v>1</v>
      </c>
      <c r="F498" s="961"/>
      <c r="G498" s="52">
        <f t="shared" si="87"/>
        <v>1</v>
      </c>
      <c r="H498" s="961"/>
      <c r="I498" s="52">
        <f t="shared" si="88"/>
        <v>1</v>
      </c>
      <c r="J498" s="961"/>
      <c r="K498" s="52">
        <f t="shared" si="89"/>
        <v>1</v>
      </c>
      <c r="L498" s="961"/>
      <c r="M498" s="52">
        <f t="shared" si="90"/>
        <v>1</v>
      </c>
      <c r="N498" s="961"/>
      <c r="O498" s="52">
        <f t="shared" si="91"/>
        <v>1</v>
      </c>
      <c r="P498" s="961"/>
      <c r="Q498" s="52">
        <f t="shared" si="92"/>
        <v>1</v>
      </c>
      <c r="R498" s="489">
        <f t="shared" si="93"/>
        <v>0</v>
      </c>
      <c r="S498" s="798">
        <f t="shared" ref="S498:S524" si="94">ROUND(R498*B498/10000,0)</f>
        <v>0</v>
      </c>
    </row>
    <row r="499" spans="1:19">
      <c r="A499" s="963"/>
      <c r="B499" s="136"/>
      <c r="C499" s="52">
        <f t="shared" si="85"/>
        <v>1</v>
      </c>
      <c r="D499" s="961"/>
      <c r="E499" s="52">
        <f t="shared" si="86"/>
        <v>1</v>
      </c>
      <c r="F499" s="961"/>
      <c r="G499" s="52">
        <f t="shared" si="87"/>
        <v>1</v>
      </c>
      <c r="H499" s="961"/>
      <c r="I499" s="52">
        <f t="shared" si="88"/>
        <v>1</v>
      </c>
      <c r="J499" s="961"/>
      <c r="K499" s="52">
        <f t="shared" si="89"/>
        <v>1</v>
      </c>
      <c r="L499" s="961"/>
      <c r="M499" s="52">
        <f t="shared" si="90"/>
        <v>1</v>
      </c>
      <c r="N499" s="961"/>
      <c r="O499" s="52">
        <f t="shared" si="91"/>
        <v>1</v>
      </c>
      <c r="P499" s="961"/>
      <c r="Q499" s="52">
        <f t="shared" si="92"/>
        <v>1</v>
      </c>
      <c r="R499" s="489">
        <f t="shared" si="93"/>
        <v>0</v>
      </c>
      <c r="S499" s="798">
        <f t="shared" si="94"/>
        <v>0</v>
      </c>
    </row>
    <row r="500" spans="1:19">
      <c r="A500" s="963"/>
      <c r="B500" s="136"/>
      <c r="C500" s="52">
        <f t="shared" si="85"/>
        <v>1</v>
      </c>
      <c r="D500" s="961"/>
      <c r="E500" s="52">
        <f t="shared" si="86"/>
        <v>1</v>
      </c>
      <c r="F500" s="961"/>
      <c r="G500" s="52">
        <f t="shared" si="87"/>
        <v>1</v>
      </c>
      <c r="H500" s="961"/>
      <c r="I500" s="52">
        <f t="shared" si="88"/>
        <v>1</v>
      </c>
      <c r="J500" s="961"/>
      <c r="K500" s="52">
        <f t="shared" si="89"/>
        <v>1</v>
      </c>
      <c r="L500" s="961"/>
      <c r="M500" s="52">
        <f t="shared" si="90"/>
        <v>1</v>
      </c>
      <c r="N500" s="961"/>
      <c r="O500" s="52">
        <f t="shared" si="91"/>
        <v>1</v>
      </c>
      <c r="P500" s="961"/>
      <c r="Q500" s="52">
        <f t="shared" si="92"/>
        <v>1</v>
      </c>
      <c r="R500" s="489">
        <f t="shared" si="93"/>
        <v>0</v>
      </c>
      <c r="S500" s="798">
        <f t="shared" si="94"/>
        <v>0</v>
      </c>
    </row>
    <row r="501" spans="1:19">
      <c r="A501" s="963"/>
      <c r="B501" s="136"/>
      <c r="C501" s="52">
        <f t="shared" si="85"/>
        <v>1</v>
      </c>
      <c r="D501" s="961"/>
      <c r="E501" s="52">
        <f t="shared" si="86"/>
        <v>1</v>
      </c>
      <c r="F501" s="961"/>
      <c r="G501" s="52">
        <f t="shared" si="87"/>
        <v>1</v>
      </c>
      <c r="H501" s="961"/>
      <c r="I501" s="52">
        <f t="shared" si="88"/>
        <v>1</v>
      </c>
      <c r="J501" s="961"/>
      <c r="K501" s="52">
        <f t="shared" si="89"/>
        <v>1</v>
      </c>
      <c r="L501" s="961"/>
      <c r="M501" s="52">
        <f t="shared" si="90"/>
        <v>1</v>
      </c>
      <c r="N501" s="961"/>
      <c r="O501" s="52">
        <f t="shared" si="91"/>
        <v>1</v>
      </c>
      <c r="P501" s="961"/>
      <c r="Q501" s="52">
        <f t="shared" si="92"/>
        <v>1</v>
      </c>
      <c r="R501" s="489">
        <f t="shared" si="93"/>
        <v>0</v>
      </c>
      <c r="S501" s="798">
        <f t="shared" si="94"/>
        <v>0</v>
      </c>
    </row>
    <row r="502" spans="1:19">
      <c r="A502" s="963"/>
      <c r="B502" s="136"/>
      <c r="C502" s="52">
        <f t="shared" si="85"/>
        <v>1</v>
      </c>
      <c r="D502" s="961"/>
      <c r="E502" s="52">
        <f t="shared" si="86"/>
        <v>1</v>
      </c>
      <c r="F502" s="961"/>
      <c r="G502" s="52">
        <f t="shared" si="87"/>
        <v>1</v>
      </c>
      <c r="H502" s="961"/>
      <c r="I502" s="52">
        <f t="shared" si="88"/>
        <v>1</v>
      </c>
      <c r="J502" s="961"/>
      <c r="K502" s="52">
        <f t="shared" si="89"/>
        <v>1</v>
      </c>
      <c r="L502" s="961"/>
      <c r="M502" s="52">
        <f t="shared" si="90"/>
        <v>1</v>
      </c>
      <c r="N502" s="961"/>
      <c r="O502" s="52">
        <f t="shared" si="91"/>
        <v>1</v>
      </c>
      <c r="P502" s="961"/>
      <c r="Q502" s="52">
        <f t="shared" si="92"/>
        <v>1</v>
      </c>
      <c r="R502" s="489">
        <f t="shared" si="93"/>
        <v>0</v>
      </c>
      <c r="S502" s="798">
        <f t="shared" si="94"/>
        <v>0</v>
      </c>
    </row>
    <row r="503" spans="1:19">
      <c r="A503" s="963"/>
      <c r="B503" s="136"/>
      <c r="C503" s="52">
        <f t="shared" si="85"/>
        <v>1</v>
      </c>
      <c r="D503" s="961"/>
      <c r="E503" s="52">
        <f t="shared" si="86"/>
        <v>1</v>
      </c>
      <c r="F503" s="961"/>
      <c r="G503" s="52">
        <f t="shared" si="87"/>
        <v>1</v>
      </c>
      <c r="H503" s="961"/>
      <c r="I503" s="52">
        <f t="shared" si="88"/>
        <v>1</v>
      </c>
      <c r="J503" s="961"/>
      <c r="K503" s="52">
        <f t="shared" si="89"/>
        <v>1</v>
      </c>
      <c r="L503" s="961"/>
      <c r="M503" s="52">
        <f t="shared" si="90"/>
        <v>1</v>
      </c>
      <c r="N503" s="961"/>
      <c r="O503" s="52">
        <f t="shared" si="91"/>
        <v>1</v>
      </c>
      <c r="P503" s="961"/>
      <c r="Q503" s="52">
        <f t="shared" si="92"/>
        <v>1</v>
      </c>
      <c r="R503" s="489">
        <f t="shared" si="93"/>
        <v>0</v>
      </c>
      <c r="S503" s="798">
        <f t="shared" si="94"/>
        <v>0</v>
      </c>
    </row>
    <row r="504" spans="1:19">
      <c r="A504" s="963"/>
      <c r="B504" s="136"/>
      <c r="C504" s="52">
        <f t="shared" si="85"/>
        <v>1</v>
      </c>
      <c r="D504" s="961"/>
      <c r="E504" s="52">
        <f t="shared" si="86"/>
        <v>1</v>
      </c>
      <c r="F504" s="961"/>
      <c r="G504" s="52">
        <f t="shared" si="87"/>
        <v>1</v>
      </c>
      <c r="H504" s="961"/>
      <c r="I504" s="52">
        <f t="shared" si="88"/>
        <v>1</v>
      </c>
      <c r="J504" s="961"/>
      <c r="K504" s="52">
        <f t="shared" si="89"/>
        <v>1</v>
      </c>
      <c r="L504" s="961"/>
      <c r="M504" s="52">
        <f t="shared" si="90"/>
        <v>1</v>
      </c>
      <c r="N504" s="961"/>
      <c r="O504" s="52">
        <f t="shared" si="91"/>
        <v>1</v>
      </c>
      <c r="P504" s="961"/>
      <c r="Q504" s="52">
        <f t="shared" si="92"/>
        <v>1</v>
      </c>
      <c r="R504" s="489">
        <f t="shared" si="93"/>
        <v>0</v>
      </c>
      <c r="S504" s="798">
        <f t="shared" si="94"/>
        <v>0</v>
      </c>
    </row>
    <row r="505" spans="1:19">
      <c r="A505" s="963"/>
      <c r="B505" s="136"/>
      <c r="C505" s="52">
        <f t="shared" si="85"/>
        <v>1</v>
      </c>
      <c r="D505" s="961"/>
      <c r="E505" s="52">
        <f t="shared" si="86"/>
        <v>1</v>
      </c>
      <c r="F505" s="961"/>
      <c r="G505" s="52">
        <f t="shared" si="87"/>
        <v>1</v>
      </c>
      <c r="H505" s="961"/>
      <c r="I505" s="52">
        <f t="shared" si="88"/>
        <v>1</v>
      </c>
      <c r="J505" s="961"/>
      <c r="K505" s="52">
        <f t="shared" si="89"/>
        <v>1</v>
      </c>
      <c r="L505" s="961"/>
      <c r="M505" s="52">
        <f t="shared" si="90"/>
        <v>1</v>
      </c>
      <c r="N505" s="961"/>
      <c r="O505" s="52">
        <f t="shared" si="91"/>
        <v>1</v>
      </c>
      <c r="P505" s="961"/>
      <c r="Q505" s="52">
        <f t="shared" si="92"/>
        <v>1</v>
      </c>
      <c r="R505" s="489">
        <f t="shared" si="93"/>
        <v>0</v>
      </c>
      <c r="S505" s="798">
        <f t="shared" si="94"/>
        <v>0</v>
      </c>
    </row>
    <row r="506" spans="1:19">
      <c r="A506" s="963"/>
      <c r="B506" s="136"/>
      <c r="C506" s="52">
        <f t="shared" si="85"/>
        <v>1</v>
      </c>
      <c r="D506" s="961"/>
      <c r="E506" s="52">
        <f t="shared" si="86"/>
        <v>1</v>
      </c>
      <c r="F506" s="961"/>
      <c r="G506" s="52">
        <f t="shared" si="87"/>
        <v>1</v>
      </c>
      <c r="H506" s="961"/>
      <c r="I506" s="52">
        <f t="shared" si="88"/>
        <v>1</v>
      </c>
      <c r="J506" s="961"/>
      <c r="K506" s="52">
        <f t="shared" si="89"/>
        <v>1</v>
      </c>
      <c r="L506" s="961"/>
      <c r="M506" s="52">
        <f t="shared" si="90"/>
        <v>1</v>
      </c>
      <c r="N506" s="961"/>
      <c r="O506" s="52">
        <f t="shared" si="91"/>
        <v>1</v>
      </c>
      <c r="P506" s="961"/>
      <c r="Q506" s="52">
        <f t="shared" si="92"/>
        <v>1</v>
      </c>
      <c r="R506" s="489">
        <f t="shared" si="93"/>
        <v>0</v>
      </c>
      <c r="S506" s="798">
        <f t="shared" si="94"/>
        <v>0</v>
      </c>
    </row>
    <row r="507" spans="1:19">
      <c r="A507" s="963"/>
      <c r="B507" s="136"/>
      <c r="C507" s="52">
        <f t="shared" si="85"/>
        <v>1</v>
      </c>
      <c r="D507" s="961"/>
      <c r="E507" s="52">
        <f t="shared" si="86"/>
        <v>1</v>
      </c>
      <c r="F507" s="961"/>
      <c r="G507" s="52">
        <f t="shared" si="87"/>
        <v>1</v>
      </c>
      <c r="H507" s="961"/>
      <c r="I507" s="52">
        <f t="shared" si="88"/>
        <v>1</v>
      </c>
      <c r="J507" s="961"/>
      <c r="K507" s="52">
        <f t="shared" si="89"/>
        <v>1</v>
      </c>
      <c r="L507" s="961"/>
      <c r="M507" s="52">
        <f t="shared" si="90"/>
        <v>1</v>
      </c>
      <c r="N507" s="961"/>
      <c r="O507" s="52">
        <f t="shared" si="91"/>
        <v>1</v>
      </c>
      <c r="P507" s="961"/>
      <c r="Q507" s="52">
        <f t="shared" si="92"/>
        <v>1</v>
      </c>
      <c r="R507" s="489">
        <f t="shared" si="93"/>
        <v>0</v>
      </c>
      <c r="S507" s="798">
        <f t="shared" si="94"/>
        <v>0</v>
      </c>
    </row>
    <row r="508" spans="1:19">
      <c r="A508" s="963"/>
      <c r="B508" s="136"/>
      <c r="C508" s="52">
        <f t="shared" si="85"/>
        <v>1</v>
      </c>
      <c r="D508" s="961"/>
      <c r="E508" s="52">
        <f t="shared" si="86"/>
        <v>1</v>
      </c>
      <c r="F508" s="961"/>
      <c r="G508" s="52">
        <f t="shared" si="87"/>
        <v>1</v>
      </c>
      <c r="H508" s="961"/>
      <c r="I508" s="52">
        <f t="shared" si="88"/>
        <v>1</v>
      </c>
      <c r="J508" s="961"/>
      <c r="K508" s="52">
        <f t="shared" si="89"/>
        <v>1</v>
      </c>
      <c r="L508" s="961"/>
      <c r="M508" s="52">
        <f t="shared" si="90"/>
        <v>1</v>
      </c>
      <c r="N508" s="961"/>
      <c r="O508" s="52">
        <f t="shared" si="91"/>
        <v>1</v>
      </c>
      <c r="P508" s="961"/>
      <c r="Q508" s="52">
        <f t="shared" si="92"/>
        <v>1</v>
      </c>
      <c r="R508" s="489">
        <f t="shared" si="93"/>
        <v>0</v>
      </c>
      <c r="S508" s="798">
        <f t="shared" si="94"/>
        <v>0</v>
      </c>
    </row>
    <row r="509" spans="1:19">
      <c r="A509" s="963"/>
      <c r="B509" s="136"/>
      <c r="C509" s="52">
        <f t="shared" si="85"/>
        <v>1</v>
      </c>
      <c r="D509" s="961"/>
      <c r="E509" s="52">
        <f t="shared" si="86"/>
        <v>1</v>
      </c>
      <c r="F509" s="961"/>
      <c r="G509" s="52">
        <f t="shared" si="87"/>
        <v>1</v>
      </c>
      <c r="H509" s="961"/>
      <c r="I509" s="52">
        <f t="shared" si="88"/>
        <v>1</v>
      </c>
      <c r="J509" s="961"/>
      <c r="K509" s="52">
        <f t="shared" si="89"/>
        <v>1</v>
      </c>
      <c r="L509" s="961"/>
      <c r="M509" s="52">
        <f t="shared" si="90"/>
        <v>1</v>
      </c>
      <c r="N509" s="961"/>
      <c r="O509" s="52">
        <f t="shared" si="91"/>
        <v>1</v>
      </c>
      <c r="P509" s="961"/>
      <c r="Q509" s="52">
        <f t="shared" si="92"/>
        <v>1</v>
      </c>
      <c r="R509" s="489">
        <f t="shared" si="93"/>
        <v>0</v>
      </c>
      <c r="S509" s="798">
        <f t="shared" si="94"/>
        <v>0</v>
      </c>
    </row>
    <row r="510" spans="1:19">
      <c r="A510" s="963"/>
      <c r="B510" s="136"/>
      <c r="C510" s="52">
        <f t="shared" si="85"/>
        <v>1</v>
      </c>
      <c r="D510" s="961"/>
      <c r="E510" s="52">
        <f t="shared" si="86"/>
        <v>1</v>
      </c>
      <c r="F510" s="961"/>
      <c r="G510" s="52">
        <f t="shared" si="87"/>
        <v>1</v>
      </c>
      <c r="H510" s="961"/>
      <c r="I510" s="52">
        <f t="shared" si="88"/>
        <v>1</v>
      </c>
      <c r="J510" s="961"/>
      <c r="K510" s="52">
        <f t="shared" si="89"/>
        <v>1</v>
      </c>
      <c r="L510" s="961"/>
      <c r="M510" s="52">
        <f t="shared" si="90"/>
        <v>1</v>
      </c>
      <c r="N510" s="961"/>
      <c r="O510" s="52">
        <f t="shared" si="91"/>
        <v>1</v>
      </c>
      <c r="P510" s="961"/>
      <c r="Q510" s="52">
        <f t="shared" si="92"/>
        <v>1</v>
      </c>
      <c r="R510" s="489">
        <f t="shared" si="93"/>
        <v>0</v>
      </c>
      <c r="S510" s="798">
        <f t="shared" si="94"/>
        <v>0</v>
      </c>
    </row>
    <row r="511" spans="1:19">
      <c r="A511" s="963"/>
      <c r="B511" s="136"/>
      <c r="C511" s="52">
        <f t="shared" si="85"/>
        <v>1</v>
      </c>
      <c r="D511" s="961"/>
      <c r="E511" s="52">
        <f t="shared" si="86"/>
        <v>1</v>
      </c>
      <c r="F511" s="961"/>
      <c r="G511" s="52">
        <f t="shared" si="87"/>
        <v>1</v>
      </c>
      <c r="H511" s="961"/>
      <c r="I511" s="52">
        <f t="shared" si="88"/>
        <v>1</v>
      </c>
      <c r="J511" s="961"/>
      <c r="K511" s="52">
        <f t="shared" si="89"/>
        <v>1</v>
      </c>
      <c r="L511" s="961"/>
      <c r="M511" s="52">
        <f t="shared" si="90"/>
        <v>1</v>
      </c>
      <c r="N511" s="961"/>
      <c r="O511" s="52">
        <f t="shared" si="91"/>
        <v>1</v>
      </c>
      <c r="P511" s="961"/>
      <c r="Q511" s="52">
        <f t="shared" si="92"/>
        <v>1</v>
      </c>
      <c r="R511" s="489">
        <f t="shared" si="93"/>
        <v>0</v>
      </c>
      <c r="S511" s="798">
        <f t="shared" si="94"/>
        <v>0</v>
      </c>
    </row>
    <row r="512" spans="1:19">
      <c r="A512" s="963"/>
      <c r="B512" s="136"/>
      <c r="C512" s="52">
        <f t="shared" si="85"/>
        <v>1</v>
      </c>
      <c r="D512" s="961"/>
      <c r="E512" s="52">
        <f t="shared" si="86"/>
        <v>1</v>
      </c>
      <c r="F512" s="961"/>
      <c r="G512" s="52">
        <f t="shared" si="87"/>
        <v>1</v>
      </c>
      <c r="H512" s="961"/>
      <c r="I512" s="52">
        <f t="shared" si="88"/>
        <v>1</v>
      </c>
      <c r="J512" s="961"/>
      <c r="K512" s="52">
        <f t="shared" si="89"/>
        <v>1</v>
      </c>
      <c r="L512" s="961"/>
      <c r="M512" s="52">
        <f t="shared" si="90"/>
        <v>1</v>
      </c>
      <c r="N512" s="961"/>
      <c r="O512" s="52">
        <f t="shared" si="91"/>
        <v>1</v>
      </c>
      <c r="P512" s="961"/>
      <c r="Q512" s="52">
        <f t="shared" si="92"/>
        <v>1</v>
      </c>
      <c r="R512" s="489">
        <f t="shared" si="93"/>
        <v>0</v>
      </c>
      <c r="S512" s="798">
        <f t="shared" si="94"/>
        <v>0</v>
      </c>
    </row>
    <row r="513" spans="1:19">
      <c r="A513" s="963"/>
      <c r="B513" s="136"/>
      <c r="C513" s="52">
        <f t="shared" si="85"/>
        <v>1</v>
      </c>
      <c r="D513" s="961"/>
      <c r="E513" s="52">
        <f t="shared" si="86"/>
        <v>1</v>
      </c>
      <c r="F513" s="961"/>
      <c r="G513" s="52">
        <f t="shared" si="87"/>
        <v>1</v>
      </c>
      <c r="H513" s="961"/>
      <c r="I513" s="52">
        <f t="shared" si="88"/>
        <v>1</v>
      </c>
      <c r="J513" s="961"/>
      <c r="K513" s="52">
        <f t="shared" si="89"/>
        <v>1</v>
      </c>
      <c r="L513" s="961"/>
      <c r="M513" s="52">
        <f t="shared" si="90"/>
        <v>1</v>
      </c>
      <c r="N513" s="961"/>
      <c r="O513" s="52">
        <f t="shared" si="91"/>
        <v>1</v>
      </c>
      <c r="P513" s="961"/>
      <c r="Q513" s="52">
        <f t="shared" si="92"/>
        <v>1</v>
      </c>
      <c r="R513" s="489">
        <f t="shared" si="93"/>
        <v>0</v>
      </c>
      <c r="S513" s="798">
        <f t="shared" si="94"/>
        <v>0</v>
      </c>
    </row>
    <row r="514" spans="1:19">
      <c r="A514" s="963"/>
      <c r="B514" s="136"/>
      <c r="C514" s="52">
        <f t="shared" si="85"/>
        <v>1</v>
      </c>
      <c r="D514" s="961"/>
      <c r="E514" s="52">
        <f t="shared" si="86"/>
        <v>1</v>
      </c>
      <c r="F514" s="961"/>
      <c r="G514" s="52">
        <f t="shared" si="87"/>
        <v>1</v>
      </c>
      <c r="H514" s="961"/>
      <c r="I514" s="52">
        <f t="shared" si="88"/>
        <v>1</v>
      </c>
      <c r="J514" s="961"/>
      <c r="K514" s="52">
        <f t="shared" si="89"/>
        <v>1</v>
      </c>
      <c r="L514" s="961"/>
      <c r="M514" s="52">
        <f t="shared" si="90"/>
        <v>1</v>
      </c>
      <c r="N514" s="961"/>
      <c r="O514" s="52">
        <f t="shared" si="91"/>
        <v>1</v>
      </c>
      <c r="P514" s="961"/>
      <c r="Q514" s="52">
        <f t="shared" si="92"/>
        <v>1</v>
      </c>
      <c r="R514" s="489">
        <f t="shared" si="93"/>
        <v>0</v>
      </c>
      <c r="S514" s="798">
        <f t="shared" si="94"/>
        <v>0</v>
      </c>
    </row>
    <row r="515" spans="1:19">
      <c r="A515" s="963"/>
      <c r="B515" s="136"/>
      <c r="C515" s="52">
        <f t="shared" si="85"/>
        <v>1</v>
      </c>
      <c r="D515" s="961"/>
      <c r="E515" s="52">
        <f t="shared" si="86"/>
        <v>1</v>
      </c>
      <c r="F515" s="961"/>
      <c r="G515" s="52">
        <f t="shared" si="87"/>
        <v>1</v>
      </c>
      <c r="H515" s="961"/>
      <c r="I515" s="52">
        <f t="shared" si="88"/>
        <v>1</v>
      </c>
      <c r="J515" s="961"/>
      <c r="K515" s="52">
        <f t="shared" si="89"/>
        <v>1</v>
      </c>
      <c r="L515" s="961"/>
      <c r="M515" s="52">
        <f t="shared" si="90"/>
        <v>1</v>
      </c>
      <c r="N515" s="961"/>
      <c r="O515" s="52">
        <f t="shared" si="91"/>
        <v>1</v>
      </c>
      <c r="P515" s="961"/>
      <c r="Q515" s="52">
        <f t="shared" si="92"/>
        <v>1</v>
      </c>
      <c r="R515" s="489">
        <f t="shared" si="93"/>
        <v>0</v>
      </c>
      <c r="S515" s="798">
        <f t="shared" si="94"/>
        <v>0</v>
      </c>
    </row>
    <row r="516" spans="1:19">
      <c r="A516" s="963"/>
      <c r="B516" s="136"/>
      <c r="C516" s="52">
        <f t="shared" si="85"/>
        <v>1</v>
      </c>
      <c r="D516" s="961"/>
      <c r="E516" s="52">
        <f t="shared" si="86"/>
        <v>1</v>
      </c>
      <c r="F516" s="961"/>
      <c r="G516" s="52">
        <f t="shared" si="87"/>
        <v>1</v>
      </c>
      <c r="H516" s="961"/>
      <c r="I516" s="52">
        <f t="shared" si="88"/>
        <v>1</v>
      </c>
      <c r="J516" s="961"/>
      <c r="K516" s="52">
        <f t="shared" si="89"/>
        <v>1</v>
      </c>
      <c r="L516" s="961"/>
      <c r="M516" s="52">
        <f t="shared" si="90"/>
        <v>1</v>
      </c>
      <c r="N516" s="961"/>
      <c r="O516" s="52">
        <f t="shared" si="91"/>
        <v>1</v>
      </c>
      <c r="P516" s="961"/>
      <c r="Q516" s="52">
        <f t="shared" si="92"/>
        <v>1</v>
      </c>
      <c r="R516" s="489">
        <f t="shared" si="93"/>
        <v>0</v>
      </c>
      <c r="S516" s="798">
        <f t="shared" si="94"/>
        <v>0</v>
      </c>
    </row>
    <row r="517" spans="1:19">
      <c r="A517" s="963"/>
      <c r="B517" s="136"/>
      <c r="C517" s="52">
        <f t="shared" si="85"/>
        <v>1</v>
      </c>
      <c r="D517" s="961"/>
      <c r="E517" s="52">
        <f t="shared" si="86"/>
        <v>1</v>
      </c>
      <c r="F517" s="961"/>
      <c r="G517" s="52">
        <f t="shared" si="87"/>
        <v>1</v>
      </c>
      <c r="H517" s="961"/>
      <c r="I517" s="52">
        <f t="shared" si="88"/>
        <v>1</v>
      </c>
      <c r="J517" s="961"/>
      <c r="K517" s="52">
        <f t="shared" si="89"/>
        <v>1</v>
      </c>
      <c r="L517" s="961"/>
      <c r="M517" s="52">
        <f t="shared" si="90"/>
        <v>1</v>
      </c>
      <c r="N517" s="961"/>
      <c r="O517" s="52">
        <f t="shared" si="91"/>
        <v>1</v>
      </c>
      <c r="P517" s="961"/>
      <c r="Q517" s="52">
        <f t="shared" si="92"/>
        <v>1</v>
      </c>
      <c r="R517" s="489">
        <f t="shared" si="93"/>
        <v>0</v>
      </c>
      <c r="S517" s="798">
        <f t="shared" si="94"/>
        <v>0</v>
      </c>
    </row>
    <row r="518" spans="1:19">
      <c r="A518" s="963"/>
      <c r="B518" s="136"/>
      <c r="C518" s="52">
        <f t="shared" si="85"/>
        <v>1</v>
      </c>
      <c r="D518" s="961"/>
      <c r="E518" s="52">
        <f t="shared" si="86"/>
        <v>1</v>
      </c>
      <c r="F518" s="961"/>
      <c r="G518" s="52">
        <f t="shared" si="87"/>
        <v>1</v>
      </c>
      <c r="H518" s="961"/>
      <c r="I518" s="52">
        <f t="shared" si="88"/>
        <v>1</v>
      </c>
      <c r="J518" s="961"/>
      <c r="K518" s="52">
        <f t="shared" si="89"/>
        <v>1</v>
      </c>
      <c r="L518" s="961"/>
      <c r="M518" s="52">
        <f t="shared" si="90"/>
        <v>1</v>
      </c>
      <c r="N518" s="961"/>
      <c r="O518" s="52">
        <f t="shared" si="91"/>
        <v>1</v>
      </c>
      <c r="P518" s="961"/>
      <c r="Q518" s="52">
        <f t="shared" si="92"/>
        <v>1</v>
      </c>
      <c r="R518" s="489">
        <f t="shared" si="93"/>
        <v>0</v>
      </c>
      <c r="S518" s="798">
        <f t="shared" si="94"/>
        <v>0</v>
      </c>
    </row>
    <row r="519" spans="1:19">
      <c r="A519" s="963"/>
      <c r="B519" s="136"/>
      <c r="C519" s="52">
        <f t="shared" si="85"/>
        <v>1</v>
      </c>
      <c r="D519" s="961"/>
      <c r="E519" s="52">
        <f t="shared" si="86"/>
        <v>1</v>
      </c>
      <c r="F519" s="961"/>
      <c r="G519" s="52">
        <f t="shared" si="87"/>
        <v>1</v>
      </c>
      <c r="H519" s="961"/>
      <c r="I519" s="52">
        <f t="shared" si="88"/>
        <v>1</v>
      </c>
      <c r="J519" s="961"/>
      <c r="K519" s="52">
        <f t="shared" si="89"/>
        <v>1</v>
      </c>
      <c r="L519" s="961"/>
      <c r="M519" s="52">
        <f t="shared" si="90"/>
        <v>1</v>
      </c>
      <c r="N519" s="961"/>
      <c r="O519" s="52">
        <f t="shared" si="91"/>
        <v>1</v>
      </c>
      <c r="P519" s="961"/>
      <c r="Q519" s="52">
        <f t="shared" si="92"/>
        <v>1</v>
      </c>
      <c r="R519" s="489">
        <f t="shared" si="93"/>
        <v>0</v>
      </c>
      <c r="S519" s="798">
        <f t="shared" si="94"/>
        <v>0</v>
      </c>
    </row>
    <row r="520" spans="1:19">
      <c r="A520" s="963"/>
      <c r="B520" s="136"/>
      <c r="C520" s="52">
        <f t="shared" si="85"/>
        <v>1</v>
      </c>
      <c r="D520" s="961"/>
      <c r="E520" s="52">
        <f t="shared" si="86"/>
        <v>1</v>
      </c>
      <c r="F520" s="961"/>
      <c r="G520" s="52">
        <f t="shared" si="87"/>
        <v>1</v>
      </c>
      <c r="H520" s="961"/>
      <c r="I520" s="52">
        <f t="shared" si="88"/>
        <v>1</v>
      </c>
      <c r="J520" s="961"/>
      <c r="K520" s="52">
        <f t="shared" si="89"/>
        <v>1</v>
      </c>
      <c r="L520" s="961"/>
      <c r="M520" s="52">
        <f t="shared" si="90"/>
        <v>1</v>
      </c>
      <c r="N520" s="961"/>
      <c r="O520" s="52">
        <f t="shared" si="91"/>
        <v>1</v>
      </c>
      <c r="P520" s="961"/>
      <c r="Q520" s="52">
        <f t="shared" si="92"/>
        <v>1</v>
      </c>
      <c r="R520" s="489">
        <f t="shared" si="93"/>
        <v>0</v>
      </c>
      <c r="S520" s="798">
        <f t="shared" si="94"/>
        <v>0</v>
      </c>
    </row>
    <row r="521" spans="1:19">
      <c r="A521" s="963"/>
      <c r="B521" s="136"/>
      <c r="C521" s="52">
        <f t="shared" si="85"/>
        <v>1</v>
      </c>
      <c r="D521" s="961"/>
      <c r="E521" s="52">
        <f t="shared" si="86"/>
        <v>1</v>
      </c>
      <c r="F521" s="961"/>
      <c r="G521" s="52">
        <f t="shared" si="87"/>
        <v>1</v>
      </c>
      <c r="H521" s="961"/>
      <c r="I521" s="52">
        <f t="shared" si="88"/>
        <v>1</v>
      </c>
      <c r="J521" s="961"/>
      <c r="K521" s="52">
        <f t="shared" si="89"/>
        <v>1</v>
      </c>
      <c r="L521" s="961"/>
      <c r="M521" s="52">
        <f t="shared" si="90"/>
        <v>1</v>
      </c>
      <c r="N521" s="961"/>
      <c r="O521" s="52">
        <f t="shared" si="91"/>
        <v>1</v>
      </c>
      <c r="P521" s="961"/>
      <c r="Q521" s="52">
        <f t="shared" si="92"/>
        <v>1</v>
      </c>
      <c r="R521" s="489">
        <f t="shared" si="93"/>
        <v>0</v>
      </c>
      <c r="S521" s="798">
        <f t="shared" si="94"/>
        <v>0</v>
      </c>
    </row>
    <row r="522" spans="1:19">
      <c r="A522" s="963"/>
      <c r="B522" s="136"/>
      <c r="C522" s="52">
        <f t="shared" si="85"/>
        <v>1</v>
      </c>
      <c r="D522" s="961"/>
      <c r="E522" s="52">
        <f t="shared" si="86"/>
        <v>1</v>
      </c>
      <c r="F522" s="961"/>
      <c r="G522" s="52">
        <f t="shared" si="87"/>
        <v>1</v>
      </c>
      <c r="H522" s="961"/>
      <c r="I522" s="52">
        <f t="shared" si="88"/>
        <v>1</v>
      </c>
      <c r="J522" s="961"/>
      <c r="K522" s="52">
        <f t="shared" si="89"/>
        <v>1</v>
      </c>
      <c r="L522" s="961"/>
      <c r="M522" s="52">
        <f t="shared" si="90"/>
        <v>1</v>
      </c>
      <c r="N522" s="961"/>
      <c r="O522" s="52">
        <f t="shared" si="91"/>
        <v>1</v>
      </c>
      <c r="P522" s="961"/>
      <c r="Q522" s="52">
        <f t="shared" si="92"/>
        <v>1</v>
      </c>
      <c r="R522" s="489">
        <f t="shared" si="93"/>
        <v>0</v>
      </c>
      <c r="S522" s="798">
        <f t="shared" si="94"/>
        <v>0</v>
      </c>
    </row>
    <row r="523" spans="1:19">
      <c r="A523" s="963"/>
      <c r="B523" s="136"/>
      <c r="C523" s="52">
        <f t="shared" si="85"/>
        <v>1</v>
      </c>
      <c r="D523" s="961"/>
      <c r="E523" s="52">
        <f t="shared" si="86"/>
        <v>1</v>
      </c>
      <c r="F523" s="961"/>
      <c r="G523" s="52">
        <f t="shared" si="87"/>
        <v>1</v>
      </c>
      <c r="H523" s="961"/>
      <c r="I523" s="52">
        <f t="shared" si="88"/>
        <v>1</v>
      </c>
      <c r="J523" s="961"/>
      <c r="K523" s="52">
        <f t="shared" si="89"/>
        <v>1</v>
      </c>
      <c r="L523" s="961"/>
      <c r="M523" s="52">
        <f t="shared" si="90"/>
        <v>1</v>
      </c>
      <c r="N523" s="961"/>
      <c r="O523" s="52">
        <f t="shared" si="91"/>
        <v>1</v>
      </c>
      <c r="P523" s="961"/>
      <c r="Q523" s="52">
        <f t="shared" si="92"/>
        <v>1</v>
      </c>
      <c r="R523" s="489">
        <f t="shared" si="93"/>
        <v>0</v>
      </c>
      <c r="S523" s="798">
        <f t="shared" si="94"/>
        <v>0</v>
      </c>
    </row>
    <row r="524" spans="1:19">
      <c r="A524" s="963"/>
      <c r="B524" s="136"/>
      <c r="C524" s="52">
        <f t="shared" si="85"/>
        <v>1</v>
      </c>
      <c r="D524" s="961"/>
      <c r="E524" s="52">
        <f t="shared" si="86"/>
        <v>1</v>
      </c>
      <c r="F524" s="961"/>
      <c r="G524" s="52">
        <f t="shared" si="87"/>
        <v>1</v>
      </c>
      <c r="H524" s="961"/>
      <c r="I524" s="52">
        <f t="shared" si="88"/>
        <v>1</v>
      </c>
      <c r="J524" s="961"/>
      <c r="K524" s="52">
        <f t="shared" si="89"/>
        <v>1</v>
      </c>
      <c r="L524" s="961"/>
      <c r="M524" s="52">
        <f t="shared" si="90"/>
        <v>1</v>
      </c>
      <c r="N524" s="961"/>
      <c r="O524" s="52">
        <f t="shared" si="91"/>
        <v>1</v>
      </c>
      <c r="P524" s="961"/>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5"/>
      <c r="S525" s="256"/>
    </row>
    <row r="526" spans="1:19">
      <c r="A526" s="256"/>
      <c r="B526" s="56"/>
      <c r="C526" s="56"/>
      <c r="D526" s="56"/>
      <c r="E526" s="56"/>
      <c r="F526" s="56"/>
      <c r="G526" s="56"/>
      <c r="H526" s="56"/>
      <c r="I526" s="56"/>
      <c r="J526" s="56"/>
      <c r="K526" s="56"/>
      <c r="L526" s="56"/>
      <c r="M526" s="56"/>
      <c r="N526" s="56"/>
      <c r="O526" s="56"/>
      <c r="P526" s="56"/>
      <c r="Q526" s="56"/>
      <c r="R526" s="2225"/>
      <c r="S526" s="256"/>
    </row>
    <row r="527" spans="1:19">
      <c r="A527" s="256"/>
      <c r="B527" s="56"/>
      <c r="C527" s="56"/>
      <c r="D527" s="56"/>
      <c r="E527" s="56"/>
      <c r="F527" s="56"/>
      <c r="G527" s="56"/>
      <c r="H527" s="56"/>
      <c r="I527" s="56"/>
      <c r="J527" s="56"/>
      <c r="K527" s="56"/>
      <c r="L527" s="56"/>
      <c r="M527" s="56"/>
      <c r="N527" s="56"/>
      <c r="O527" s="56"/>
      <c r="P527" s="56"/>
      <c r="Q527" s="56"/>
      <c r="R527" s="2225"/>
      <c r="S527" s="256"/>
    </row>
    <row r="528" spans="1:19">
      <c r="A528" s="256"/>
      <c r="B528" s="56"/>
      <c r="C528" s="56"/>
      <c r="D528" s="56"/>
      <c r="E528" s="56"/>
      <c r="F528" s="56"/>
      <c r="G528" s="56"/>
      <c r="H528" s="56"/>
      <c r="I528" s="56"/>
      <c r="J528" s="56"/>
      <c r="K528" s="56"/>
      <c r="L528" s="56"/>
      <c r="M528" s="56"/>
      <c r="N528" s="56"/>
      <c r="O528" s="56"/>
      <c r="P528" s="56"/>
      <c r="Q528" s="56"/>
      <c r="R528" s="2225"/>
      <c r="S528" s="256"/>
    </row>
    <row r="529" spans="1:19">
      <c r="A529" s="256"/>
      <c r="B529" s="56"/>
      <c r="C529" s="56"/>
      <c r="D529" s="56"/>
      <c r="E529" s="56"/>
      <c r="F529" s="56"/>
      <c r="G529" s="56"/>
      <c r="H529" s="56"/>
      <c r="I529" s="56"/>
      <c r="J529" s="56"/>
      <c r="K529" s="56"/>
      <c r="L529" s="56"/>
      <c r="M529" s="56"/>
      <c r="N529" s="56"/>
      <c r="O529" s="56"/>
      <c r="P529" s="56"/>
      <c r="Q529" s="56"/>
      <c r="R529" s="2225"/>
      <c r="S529" s="256"/>
    </row>
    <row r="530" spans="1:19">
      <c r="A530" s="256"/>
      <c r="B530" s="56"/>
      <c r="C530" s="56"/>
      <c r="D530" s="56"/>
      <c r="E530" s="56"/>
      <c r="F530" s="56"/>
      <c r="G530" s="56"/>
      <c r="H530" s="56"/>
      <c r="I530" s="56"/>
      <c r="J530" s="56"/>
      <c r="K530" s="56"/>
      <c r="L530" s="56"/>
      <c r="M530" s="56"/>
      <c r="N530" s="56"/>
      <c r="O530" s="56"/>
      <c r="P530" s="56"/>
      <c r="Q530" s="56"/>
      <c r="R530" s="2225"/>
      <c r="S530" s="256"/>
    </row>
    <row r="531" spans="1:19">
      <c r="A531" s="256"/>
      <c r="B531" s="56"/>
      <c r="C531" s="56"/>
      <c r="D531" s="56"/>
      <c r="E531" s="56"/>
      <c r="F531" s="56"/>
      <c r="G531" s="56"/>
      <c r="H531" s="56"/>
      <c r="I531" s="56"/>
      <c r="J531" s="56"/>
      <c r="K531" s="56"/>
      <c r="L531" s="56"/>
      <c r="M531" s="56"/>
      <c r="N531" s="56"/>
      <c r="O531" s="56"/>
      <c r="P531" s="56"/>
      <c r="Q531" s="56"/>
      <c r="R531" s="2225"/>
      <c r="S531" s="256"/>
    </row>
    <row r="532" spans="1:19">
      <c r="A532" s="256"/>
      <c r="B532" s="56"/>
      <c r="C532" s="56"/>
      <c r="D532" s="56"/>
      <c r="E532" s="56"/>
      <c r="F532" s="56"/>
      <c r="G532" s="56"/>
      <c r="H532" s="56"/>
      <c r="I532" s="56"/>
      <c r="J532" s="56"/>
      <c r="K532" s="56"/>
      <c r="L532" s="56"/>
      <c r="M532" s="56"/>
      <c r="N532" s="56"/>
      <c r="O532" s="56"/>
      <c r="P532" s="56"/>
      <c r="Q532" s="56"/>
      <c r="R532" s="2225"/>
      <c r="S532" s="256"/>
    </row>
    <row r="533" spans="1:19">
      <c r="A533" s="256"/>
      <c r="B533" s="56"/>
      <c r="C533" s="56"/>
      <c r="D533" s="56"/>
      <c r="E533" s="56"/>
      <c r="F533" s="56"/>
      <c r="G533" s="56"/>
      <c r="H533" s="56"/>
      <c r="I533" s="56"/>
      <c r="J533" s="56"/>
      <c r="K533" s="56"/>
      <c r="L533" s="56"/>
      <c r="M533" s="56"/>
      <c r="N533" s="56"/>
      <c r="O533" s="56"/>
      <c r="P533" s="56"/>
      <c r="Q533" s="56"/>
      <c r="R533" s="2225"/>
      <c r="S533" s="256"/>
    </row>
    <row r="534" spans="1:19">
      <c r="A534" s="256"/>
      <c r="B534" s="56"/>
      <c r="C534" s="56"/>
      <c r="D534" s="56"/>
      <c r="E534" s="56"/>
      <c r="F534" s="56"/>
      <c r="G534" s="56"/>
      <c r="H534" s="56"/>
      <c r="I534" s="56"/>
      <c r="J534" s="56"/>
      <c r="K534" s="56"/>
      <c r="L534" s="56"/>
      <c r="M534" s="56"/>
      <c r="N534" s="56"/>
      <c r="O534" s="56"/>
      <c r="P534" s="56"/>
      <c r="Q534" s="56"/>
      <c r="R534" s="2225"/>
      <c r="S534" s="256"/>
    </row>
    <row r="535" spans="1:19">
      <c r="A535" s="256"/>
      <c r="B535" s="56"/>
      <c r="C535" s="56"/>
      <c r="D535" s="56"/>
      <c r="E535" s="56"/>
      <c r="F535" s="56"/>
      <c r="G535" s="56"/>
      <c r="H535" s="56"/>
      <c r="I535" s="56"/>
      <c r="J535" s="56"/>
      <c r="K535" s="56"/>
      <c r="L535" s="56"/>
      <c r="M535" s="56"/>
      <c r="N535" s="56"/>
      <c r="O535" s="56"/>
      <c r="P535" s="56"/>
      <c r="Q535" s="56"/>
      <c r="R535" s="2225"/>
      <c r="S535" s="256"/>
    </row>
    <row r="536" spans="1:19">
      <c r="A536" s="256"/>
      <c r="B536" s="56"/>
      <c r="C536" s="56"/>
      <c r="D536" s="56"/>
      <c r="E536" s="56"/>
      <c r="F536" s="56"/>
      <c r="G536" s="56"/>
      <c r="H536" s="56"/>
      <c r="I536" s="56"/>
      <c r="J536" s="56"/>
      <c r="K536" s="56"/>
      <c r="L536" s="56"/>
      <c r="M536" s="56"/>
      <c r="N536" s="56"/>
      <c r="O536" s="56"/>
      <c r="P536" s="56"/>
      <c r="Q536" s="56"/>
      <c r="R536" s="2225"/>
      <c r="S536" s="256"/>
    </row>
    <row r="537" spans="1:19">
      <c r="A537" s="256"/>
      <c r="B537" s="56"/>
      <c r="C537" s="56"/>
      <c r="D537" s="56"/>
      <c r="E537" s="56"/>
      <c r="F537" s="56"/>
      <c r="G537" s="56"/>
      <c r="H537" s="56"/>
      <c r="I537" s="56"/>
      <c r="J537" s="56"/>
      <c r="K537" s="56"/>
      <c r="L537" s="56"/>
      <c r="M537" s="56"/>
      <c r="N537" s="56"/>
      <c r="O537" s="56"/>
      <c r="P537" s="56"/>
      <c r="Q537" s="56"/>
      <c r="R537" s="2225"/>
      <c r="S537" s="256"/>
    </row>
    <row r="538" spans="1:19">
      <c r="A538" s="256"/>
      <c r="B538" s="56"/>
      <c r="C538" s="56"/>
      <c r="D538" s="56"/>
      <c r="E538" s="56"/>
      <c r="F538" s="56"/>
      <c r="G538" s="56"/>
      <c r="H538" s="56"/>
      <c r="I538" s="56"/>
      <c r="J538" s="56"/>
      <c r="K538" s="56"/>
      <c r="L538" s="56"/>
      <c r="M538" s="56"/>
      <c r="N538" s="56"/>
      <c r="O538" s="56"/>
      <c r="P538" s="56"/>
      <c r="Q538" s="56"/>
      <c r="R538" s="2225"/>
      <c r="S538" s="256"/>
    </row>
    <row r="539" spans="1:19">
      <c r="A539" s="256"/>
      <c r="B539" s="56"/>
      <c r="C539" s="56"/>
      <c r="D539" s="56"/>
      <c r="E539" s="56"/>
      <c r="F539" s="56"/>
      <c r="G539" s="56"/>
      <c r="H539" s="56"/>
      <c r="I539" s="56"/>
      <c r="J539" s="56"/>
      <c r="K539" s="56"/>
      <c r="L539" s="56"/>
      <c r="M539" s="56"/>
      <c r="N539" s="56"/>
      <c r="O539" s="56"/>
      <c r="P539" s="56"/>
      <c r="Q539" s="56"/>
      <c r="R539" s="2225"/>
      <c r="S539" s="256"/>
    </row>
    <row r="540" spans="1:19">
      <c r="A540" s="256"/>
      <c r="B540" s="56"/>
      <c r="C540" s="56"/>
      <c r="D540" s="56"/>
      <c r="E540" s="56"/>
      <c r="F540" s="56"/>
      <c r="G540" s="56"/>
      <c r="H540" s="56"/>
      <c r="I540" s="56"/>
      <c r="J540" s="56"/>
      <c r="K540" s="56"/>
      <c r="L540" s="56"/>
      <c r="M540" s="56"/>
      <c r="N540" s="56"/>
      <c r="O540" s="56"/>
      <c r="P540" s="56"/>
      <c r="Q540" s="56"/>
      <c r="R540" s="2225"/>
      <c r="S540" s="256"/>
    </row>
    <row r="541" spans="1:19">
      <c r="A541" s="256"/>
      <c r="B541" s="56"/>
      <c r="C541" s="56"/>
      <c r="D541" s="56"/>
      <c r="E541" s="56"/>
      <c r="F541" s="56"/>
      <c r="G541" s="56"/>
      <c r="H541" s="56"/>
      <c r="I541" s="56"/>
      <c r="J541" s="56"/>
      <c r="K541" s="56"/>
      <c r="L541" s="56"/>
      <c r="M541" s="56"/>
      <c r="N541" s="56"/>
      <c r="O541" s="56"/>
      <c r="P541" s="56"/>
      <c r="Q541" s="56"/>
      <c r="R541" s="2225"/>
      <c r="S541" s="256"/>
    </row>
    <row r="542" spans="1:19">
      <c r="A542" s="256"/>
      <c r="B542" s="56"/>
      <c r="C542" s="56"/>
      <c r="D542" s="56"/>
      <c r="E542" s="56"/>
      <c r="F542" s="56"/>
      <c r="G542" s="56"/>
      <c r="H542" s="56"/>
      <c r="I542" s="56"/>
      <c r="J542" s="56"/>
      <c r="K542" s="56"/>
      <c r="L542" s="56"/>
      <c r="M542" s="56"/>
      <c r="N542" s="56"/>
      <c r="O542" s="56"/>
      <c r="P542" s="56"/>
      <c r="Q542" s="56"/>
      <c r="R542" s="2225"/>
      <c r="S542" s="256"/>
    </row>
    <row r="543" spans="1:19">
      <c r="A543" s="256"/>
      <c r="B543" s="56"/>
      <c r="C543" s="56"/>
      <c r="D543" s="56"/>
      <c r="E543" s="56"/>
      <c r="F543" s="56"/>
      <c r="G543" s="56"/>
      <c r="H543" s="56"/>
      <c r="I543" s="56"/>
      <c r="J543" s="56"/>
      <c r="K543" s="56"/>
      <c r="L543" s="56"/>
      <c r="M543" s="56"/>
      <c r="N543" s="56"/>
      <c r="O543" s="56"/>
      <c r="P543" s="56"/>
      <c r="Q543" s="56"/>
      <c r="R543" s="2225"/>
      <c r="S543" s="256"/>
    </row>
    <row r="544" spans="1:19">
      <c r="A544" s="256"/>
      <c r="B544" s="56"/>
      <c r="C544" s="56"/>
      <c r="D544" s="56"/>
      <c r="E544" s="56"/>
      <c r="F544" s="56"/>
      <c r="G544" s="56"/>
      <c r="H544" s="56"/>
      <c r="I544" s="56"/>
      <c r="J544" s="56"/>
      <c r="K544" s="56"/>
      <c r="L544" s="56"/>
      <c r="M544" s="56"/>
      <c r="N544" s="56"/>
      <c r="O544" s="56"/>
      <c r="P544" s="56"/>
      <c r="Q544" s="56"/>
      <c r="R544" s="2225"/>
      <c r="S544" s="256"/>
    </row>
    <row r="545" spans="1:19">
      <c r="A545" s="256"/>
      <c r="B545" s="56"/>
      <c r="C545" s="56"/>
      <c r="D545" s="56"/>
      <c r="E545" s="56"/>
      <c r="F545" s="56"/>
      <c r="G545" s="56"/>
      <c r="H545" s="56"/>
      <c r="I545" s="56"/>
      <c r="J545" s="56"/>
      <c r="K545" s="56"/>
      <c r="L545" s="56"/>
      <c r="M545" s="56"/>
      <c r="N545" s="56"/>
      <c r="O545" s="56"/>
      <c r="P545" s="56"/>
      <c r="Q545" s="56"/>
      <c r="R545" s="2225"/>
      <c r="S545" s="256"/>
    </row>
    <row r="546" spans="1:19">
      <c r="A546" s="256"/>
      <c r="B546" s="56"/>
      <c r="C546" s="56"/>
      <c r="D546" s="56"/>
      <c r="E546" s="56"/>
      <c r="F546" s="56"/>
      <c r="G546" s="56"/>
      <c r="H546" s="56"/>
      <c r="I546" s="56"/>
      <c r="J546" s="56"/>
      <c r="K546" s="56"/>
      <c r="L546" s="56"/>
      <c r="M546" s="56"/>
      <c r="N546" s="56"/>
      <c r="O546" s="56"/>
      <c r="P546" s="56"/>
      <c r="Q546" s="56"/>
      <c r="R546" s="2225"/>
      <c r="S546" s="256"/>
    </row>
    <row r="547" spans="1:19">
      <c r="A547" s="256"/>
      <c r="B547" s="56"/>
      <c r="C547" s="56"/>
      <c r="D547" s="56"/>
      <c r="E547" s="56"/>
      <c r="F547" s="56"/>
      <c r="G547" s="56"/>
      <c r="H547" s="56"/>
      <c r="I547" s="56"/>
      <c r="J547" s="56"/>
      <c r="K547" s="56"/>
      <c r="L547" s="56"/>
      <c r="M547" s="56"/>
      <c r="N547" s="56"/>
      <c r="O547" s="56"/>
      <c r="P547" s="56"/>
      <c r="Q547" s="56"/>
      <c r="R547" s="2225"/>
      <c r="S547" s="256"/>
    </row>
    <row r="548" spans="1:19">
      <c r="A548" s="256"/>
      <c r="B548" s="56"/>
      <c r="C548" s="56"/>
      <c r="D548" s="56"/>
      <c r="E548" s="56"/>
      <c r="F548" s="56"/>
      <c r="G548" s="56"/>
      <c r="H548" s="56"/>
      <c r="I548" s="56"/>
      <c r="J548" s="56"/>
      <c r="K548" s="56"/>
      <c r="L548" s="56"/>
      <c r="M548" s="56"/>
      <c r="N548" s="56"/>
      <c r="O548" s="56"/>
      <c r="P548" s="56"/>
      <c r="Q548" s="56"/>
      <c r="R548" s="2225"/>
      <c r="S548" s="256"/>
    </row>
    <row r="549" spans="1:19">
      <c r="A549" s="256"/>
      <c r="B549" s="56"/>
      <c r="C549" s="56"/>
      <c r="D549" s="56"/>
      <c r="E549" s="56"/>
      <c r="F549" s="56"/>
      <c r="G549" s="56"/>
      <c r="H549" s="56"/>
      <c r="I549" s="56"/>
      <c r="J549" s="56"/>
      <c r="K549" s="56"/>
      <c r="L549" s="56"/>
      <c r="M549" s="56"/>
      <c r="N549" s="56"/>
      <c r="O549" s="56"/>
      <c r="P549" s="56"/>
      <c r="Q549" s="56"/>
      <c r="R549" s="2225"/>
      <c r="S549" s="256"/>
    </row>
    <row r="550" spans="1:19">
      <c r="A550" s="256"/>
      <c r="B550" s="56"/>
      <c r="C550" s="56"/>
      <c r="D550" s="56"/>
      <c r="E550" s="56"/>
      <c r="F550" s="56"/>
      <c r="G550" s="56"/>
      <c r="H550" s="56"/>
      <c r="I550" s="56"/>
      <c r="J550" s="56"/>
      <c r="K550" s="56"/>
      <c r="L550" s="56"/>
      <c r="M550" s="56"/>
      <c r="N550" s="56"/>
      <c r="O550" s="56"/>
      <c r="P550" s="56"/>
      <c r="Q550" s="56"/>
      <c r="R550" s="2225"/>
      <c r="S550" s="256"/>
    </row>
    <row r="551" spans="1:19">
      <c r="A551" s="256"/>
      <c r="B551" s="56"/>
      <c r="C551" s="56"/>
      <c r="D551" s="56"/>
      <c r="E551" s="56"/>
      <c r="F551" s="56"/>
      <c r="G551" s="56"/>
      <c r="H551" s="56"/>
      <c r="I551" s="56"/>
      <c r="J551" s="56"/>
      <c r="K551" s="56"/>
      <c r="L551" s="56"/>
      <c r="M551" s="56"/>
      <c r="N551" s="56"/>
      <c r="O551" s="56"/>
      <c r="P551" s="56"/>
      <c r="Q551" s="56"/>
      <c r="R551" s="2225"/>
      <c r="S551" s="256"/>
    </row>
    <row r="552" spans="1:19">
      <c r="A552" s="256"/>
      <c r="B552" s="56"/>
      <c r="C552" s="56"/>
      <c r="D552" s="56"/>
      <c r="E552" s="56"/>
      <c r="F552" s="56"/>
      <c r="G552" s="56"/>
      <c r="H552" s="56"/>
      <c r="I552" s="56"/>
      <c r="J552" s="56"/>
      <c r="K552" s="56"/>
      <c r="L552" s="56"/>
      <c r="M552" s="56"/>
      <c r="N552" s="56"/>
      <c r="O552" s="56"/>
      <c r="P552" s="56"/>
      <c r="Q552" s="56"/>
      <c r="R552" s="2225"/>
      <c r="S552" s="256"/>
    </row>
    <row r="553" spans="1:19">
      <c r="A553" s="256"/>
      <c r="B553" s="56"/>
      <c r="C553" s="56"/>
      <c r="D553" s="56"/>
      <c r="E553" s="56"/>
      <c r="F553" s="56"/>
      <c r="G553" s="56"/>
      <c r="H553" s="56"/>
      <c r="I553" s="56"/>
      <c r="J553" s="56"/>
      <c r="K553" s="56"/>
      <c r="L553" s="56"/>
      <c r="M553" s="56"/>
      <c r="N553" s="56"/>
      <c r="O553" s="56"/>
      <c r="P553" s="56"/>
      <c r="Q553" s="56"/>
      <c r="R553" s="2225"/>
      <c r="S553" s="256"/>
    </row>
    <row r="554" spans="1:19">
      <c r="A554" s="256"/>
      <c r="B554" s="56"/>
      <c r="C554" s="56"/>
      <c r="D554" s="56"/>
      <c r="E554" s="56"/>
      <c r="F554" s="56"/>
      <c r="G554" s="56"/>
      <c r="H554" s="56"/>
      <c r="I554" s="56"/>
      <c r="J554" s="56"/>
      <c r="K554" s="56"/>
      <c r="L554" s="56"/>
      <c r="M554" s="56"/>
      <c r="N554" s="56"/>
      <c r="O554" s="56"/>
      <c r="P554" s="56"/>
      <c r="Q554" s="56"/>
      <c r="R554" s="2225"/>
      <c r="S554" s="256"/>
    </row>
    <row r="555" spans="1:19">
      <c r="A555" s="256"/>
      <c r="B555" s="56"/>
      <c r="C555" s="56"/>
      <c r="D555" s="56"/>
      <c r="E555" s="56"/>
      <c r="F555" s="56"/>
      <c r="G555" s="56"/>
      <c r="H555" s="56"/>
      <c r="I555" s="56"/>
      <c r="J555" s="56"/>
      <c r="K555" s="56"/>
      <c r="L555" s="56"/>
      <c r="M555" s="56"/>
      <c r="N555" s="56"/>
      <c r="O555" s="56"/>
      <c r="P555" s="56"/>
      <c r="Q555" s="56"/>
      <c r="R555" s="2225"/>
      <c r="S555" s="256"/>
    </row>
    <row r="556" spans="1:19">
      <c r="A556" s="256"/>
      <c r="B556" s="56"/>
      <c r="C556" s="56"/>
      <c r="D556" s="56"/>
      <c r="E556" s="56"/>
      <c r="F556" s="56"/>
      <c r="G556" s="56"/>
      <c r="H556" s="56"/>
      <c r="I556" s="56"/>
      <c r="J556" s="56"/>
      <c r="K556" s="56"/>
      <c r="L556" s="56"/>
      <c r="M556" s="56"/>
      <c r="N556" s="56"/>
      <c r="O556" s="56"/>
      <c r="P556" s="56"/>
      <c r="Q556" s="56"/>
      <c r="R556" s="2225"/>
      <c r="S556" s="256"/>
    </row>
    <row r="557" spans="1:19">
      <c r="A557" s="256"/>
      <c r="B557" s="56"/>
      <c r="C557" s="56"/>
      <c r="D557" s="56"/>
      <c r="E557" s="56"/>
      <c r="F557" s="56"/>
      <c r="G557" s="56"/>
      <c r="H557" s="56"/>
      <c r="I557" s="56"/>
      <c r="J557" s="56"/>
      <c r="K557" s="56"/>
      <c r="L557" s="56"/>
      <c r="M557" s="56"/>
      <c r="N557" s="56"/>
      <c r="O557" s="56"/>
      <c r="P557" s="56"/>
      <c r="Q557" s="56"/>
      <c r="R557" s="2225"/>
      <c r="S557" s="256"/>
    </row>
    <row r="558" spans="1:19">
      <c r="A558" s="256"/>
      <c r="B558" s="56"/>
      <c r="C558" s="56"/>
      <c r="D558" s="56"/>
      <c r="E558" s="56"/>
      <c r="F558" s="56"/>
      <c r="G558" s="56"/>
      <c r="H558" s="56"/>
      <c r="I558" s="56"/>
      <c r="J558" s="56"/>
      <c r="K558" s="56"/>
      <c r="L558" s="56"/>
      <c r="M558" s="56"/>
      <c r="N558" s="56"/>
      <c r="O558" s="56"/>
      <c r="P558" s="56"/>
      <c r="Q558" s="56"/>
      <c r="R558" s="2225"/>
      <c r="S558" s="256"/>
    </row>
    <row r="559" spans="1:19">
      <c r="A559" s="256"/>
      <c r="B559" s="56"/>
      <c r="C559" s="56"/>
      <c r="D559" s="56"/>
      <c r="E559" s="56"/>
      <c r="F559" s="56"/>
      <c r="G559" s="56"/>
      <c r="H559" s="56"/>
      <c r="I559" s="56"/>
      <c r="J559" s="56"/>
      <c r="K559" s="56"/>
      <c r="L559" s="56"/>
      <c r="M559" s="56"/>
      <c r="N559" s="56"/>
      <c r="O559" s="56"/>
      <c r="P559" s="56"/>
      <c r="Q559" s="56"/>
      <c r="R559" s="2225"/>
      <c r="S559" s="256"/>
    </row>
    <row r="560" spans="1:19">
      <c r="A560" s="256"/>
      <c r="B560" s="56"/>
      <c r="C560" s="56"/>
      <c r="D560" s="56"/>
      <c r="E560" s="56"/>
      <c r="F560" s="56"/>
      <c r="G560" s="56"/>
      <c r="H560" s="56"/>
      <c r="I560" s="56"/>
      <c r="J560" s="56"/>
      <c r="K560" s="56"/>
      <c r="L560" s="56"/>
      <c r="M560" s="56"/>
      <c r="N560" s="56"/>
      <c r="O560" s="56"/>
      <c r="P560" s="56"/>
      <c r="Q560" s="56"/>
      <c r="R560" s="2225"/>
      <c r="S560" s="256"/>
    </row>
    <row r="561" spans="1:19">
      <c r="A561" s="256"/>
      <c r="B561" s="56"/>
      <c r="C561" s="56"/>
      <c r="D561" s="56"/>
      <c r="E561" s="56"/>
      <c r="F561" s="56"/>
      <c r="G561" s="56"/>
      <c r="H561" s="56"/>
      <c r="I561" s="56"/>
      <c r="J561" s="56"/>
      <c r="K561" s="56"/>
      <c r="L561" s="56"/>
      <c r="M561" s="56"/>
      <c r="N561" s="56"/>
      <c r="O561" s="56"/>
      <c r="P561" s="56"/>
      <c r="Q561" s="56"/>
      <c r="R561" s="2225"/>
      <c r="S561" s="256"/>
    </row>
    <row r="562" spans="1:19">
      <c r="A562" s="256"/>
      <c r="B562" s="56"/>
      <c r="C562" s="56"/>
      <c r="D562" s="56"/>
      <c r="E562" s="56"/>
      <c r="F562" s="56"/>
      <c r="G562" s="56"/>
      <c r="H562" s="56"/>
      <c r="I562" s="56"/>
      <c r="J562" s="56"/>
      <c r="K562" s="56"/>
      <c r="L562" s="56"/>
      <c r="M562" s="56"/>
      <c r="N562" s="56"/>
      <c r="O562" s="56"/>
      <c r="P562" s="56"/>
      <c r="Q562" s="56"/>
      <c r="R562" s="2225"/>
      <c r="S562" s="256"/>
    </row>
    <row r="563" spans="1:19">
      <c r="A563" s="256"/>
      <c r="B563" s="56"/>
      <c r="C563" s="56"/>
      <c r="D563" s="56"/>
      <c r="E563" s="56"/>
      <c r="F563" s="56"/>
      <c r="G563" s="56"/>
      <c r="H563" s="56"/>
      <c r="I563" s="56"/>
      <c r="J563" s="56"/>
      <c r="K563" s="56"/>
      <c r="L563" s="56"/>
      <c r="M563" s="56"/>
      <c r="N563" s="56"/>
      <c r="O563" s="56"/>
      <c r="P563" s="56"/>
      <c r="Q563" s="56"/>
      <c r="R563" s="2225"/>
      <c r="S563" s="256"/>
    </row>
    <row r="564" spans="1:19">
      <c r="A564" s="256"/>
      <c r="B564" s="56"/>
      <c r="C564" s="56"/>
      <c r="D564" s="56"/>
      <c r="E564" s="56"/>
      <c r="F564" s="56"/>
      <c r="G564" s="56"/>
      <c r="H564" s="56"/>
      <c r="I564" s="56"/>
      <c r="J564" s="56"/>
      <c r="K564" s="56"/>
      <c r="L564" s="56"/>
      <c r="M564" s="56"/>
      <c r="N564" s="56"/>
      <c r="O564" s="56"/>
      <c r="P564" s="56"/>
      <c r="Q564" s="56"/>
      <c r="R564" s="2225"/>
      <c r="S564" s="256"/>
    </row>
    <row r="565" spans="1:19">
      <c r="A565" s="256"/>
      <c r="B565" s="56"/>
      <c r="C565" s="56"/>
      <c r="D565" s="56"/>
      <c r="E565" s="56"/>
      <c r="F565" s="56"/>
      <c r="G565" s="56"/>
      <c r="H565" s="56"/>
      <c r="I565" s="56"/>
      <c r="J565" s="56"/>
      <c r="K565" s="56"/>
      <c r="L565" s="56"/>
      <c r="M565" s="56"/>
      <c r="N565" s="56"/>
      <c r="O565" s="56"/>
      <c r="P565" s="56"/>
      <c r="Q565" s="56"/>
      <c r="R565" s="2225"/>
      <c r="S565" s="256"/>
    </row>
    <row r="566" spans="1:19">
      <c r="A566" s="256"/>
      <c r="B566" s="56"/>
      <c r="C566" s="56"/>
      <c r="D566" s="56"/>
      <c r="E566" s="56"/>
      <c r="F566" s="56"/>
      <c r="G566" s="56"/>
      <c r="H566" s="56"/>
      <c r="I566" s="56"/>
      <c r="J566" s="56"/>
      <c r="K566" s="56"/>
      <c r="L566" s="56"/>
      <c r="M566" s="56"/>
      <c r="N566" s="56"/>
      <c r="O566" s="56"/>
      <c r="P566" s="56"/>
      <c r="Q566" s="56"/>
      <c r="R566" s="2225"/>
      <c r="S566" s="256"/>
    </row>
    <row r="567" spans="1:19">
      <c r="A567" s="256"/>
      <c r="B567" s="56"/>
      <c r="C567" s="56"/>
      <c r="D567" s="56"/>
      <c r="E567" s="56"/>
      <c r="F567" s="56"/>
      <c r="G567" s="56"/>
      <c r="H567" s="56"/>
      <c r="I567" s="56"/>
      <c r="J567" s="56"/>
      <c r="K567" s="56"/>
      <c r="L567" s="56"/>
      <c r="M567" s="56"/>
      <c r="N567" s="56"/>
      <c r="O567" s="56"/>
      <c r="P567" s="56"/>
      <c r="Q567" s="56"/>
      <c r="R567" s="2225"/>
      <c r="S567" s="256"/>
    </row>
    <row r="568" spans="1:19">
      <c r="A568" s="256"/>
      <c r="B568" s="56"/>
      <c r="C568" s="56"/>
      <c r="D568" s="56"/>
      <c r="E568" s="56"/>
      <c r="F568" s="56"/>
      <c r="G568" s="56"/>
      <c r="H568" s="56"/>
      <c r="I568" s="56"/>
      <c r="J568" s="56"/>
      <c r="K568" s="56"/>
      <c r="L568" s="56"/>
      <c r="M568" s="56"/>
      <c r="N568" s="56"/>
      <c r="O568" s="56"/>
      <c r="P568" s="56"/>
      <c r="Q568" s="56"/>
      <c r="R568" s="2225"/>
      <c r="S568" s="256"/>
    </row>
    <row r="569" spans="1:19">
      <c r="A569" s="256"/>
      <c r="B569" s="56"/>
      <c r="C569" s="56"/>
      <c r="D569" s="56"/>
      <c r="E569" s="56"/>
      <c r="F569" s="56"/>
      <c r="G569" s="56"/>
      <c r="H569" s="56"/>
      <c r="I569" s="56"/>
      <c r="J569" s="56"/>
      <c r="K569" s="56"/>
      <c r="L569" s="56"/>
      <c r="M569" s="56"/>
      <c r="N569" s="56"/>
      <c r="O569" s="56"/>
      <c r="P569" s="56"/>
      <c r="Q569" s="56"/>
      <c r="R569" s="2225"/>
      <c r="S569" s="256"/>
    </row>
    <row r="570" spans="1:19">
      <c r="A570" s="256"/>
      <c r="B570" s="56"/>
      <c r="C570" s="56"/>
      <c r="D570" s="56"/>
      <c r="E570" s="56"/>
      <c r="F570" s="56"/>
      <c r="G570" s="56"/>
      <c r="H570" s="56"/>
      <c r="I570" s="56"/>
      <c r="J570" s="56"/>
      <c r="K570" s="56"/>
      <c r="L570" s="56"/>
      <c r="M570" s="56"/>
      <c r="N570" s="56"/>
      <c r="O570" s="56"/>
      <c r="P570" s="56"/>
      <c r="Q570" s="56"/>
      <c r="R570" s="2225"/>
      <c r="S570" s="256"/>
    </row>
    <row r="571" spans="1:19">
      <c r="A571" s="256"/>
      <c r="B571" s="56"/>
      <c r="C571" s="56"/>
      <c r="D571" s="56"/>
      <c r="E571" s="56"/>
      <c r="F571" s="56"/>
      <c r="G571" s="56"/>
      <c r="H571" s="56"/>
      <c r="I571" s="56"/>
      <c r="J571" s="56"/>
      <c r="K571" s="56"/>
      <c r="L571" s="56"/>
      <c r="M571" s="56"/>
      <c r="N571" s="56"/>
      <c r="O571" s="56"/>
      <c r="P571" s="56"/>
      <c r="Q571" s="56"/>
      <c r="R571" s="2225"/>
      <c r="S571" s="256"/>
    </row>
    <row r="572" spans="1:19">
      <c r="A572" s="256"/>
      <c r="B572" s="56"/>
      <c r="C572" s="56"/>
      <c r="D572" s="56"/>
      <c r="E572" s="56"/>
      <c r="F572" s="56"/>
      <c r="G572" s="56"/>
      <c r="H572" s="56"/>
      <c r="I572" s="56"/>
      <c r="J572" s="56"/>
      <c r="K572" s="56"/>
      <c r="L572" s="56"/>
      <c r="M572" s="56"/>
      <c r="N572" s="56"/>
      <c r="O572" s="56"/>
      <c r="P572" s="56"/>
      <c r="Q572" s="56"/>
      <c r="R572" s="2225"/>
      <c r="S572" s="256"/>
    </row>
    <row r="573" spans="1:19">
      <c r="A573" s="256"/>
      <c r="B573" s="56"/>
      <c r="C573" s="56"/>
      <c r="D573" s="56"/>
      <c r="E573" s="56"/>
      <c r="F573" s="56"/>
      <c r="G573" s="56"/>
      <c r="H573" s="56"/>
      <c r="I573" s="56"/>
      <c r="J573" s="56"/>
      <c r="K573" s="56"/>
      <c r="L573" s="56"/>
      <c r="M573" s="56"/>
      <c r="N573" s="56"/>
      <c r="O573" s="56"/>
      <c r="P573" s="56"/>
      <c r="Q573" s="56"/>
      <c r="R573" s="2225"/>
      <c r="S573" s="256"/>
    </row>
    <row r="574" spans="1:19">
      <c r="A574" s="256"/>
      <c r="B574" s="56"/>
      <c r="C574" s="56"/>
      <c r="D574" s="56"/>
      <c r="E574" s="56"/>
      <c r="F574" s="56"/>
      <c r="G574" s="56"/>
      <c r="H574" s="56"/>
      <c r="I574" s="56"/>
      <c r="J574" s="56"/>
      <c r="K574" s="56"/>
      <c r="L574" s="56"/>
      <c r="M574" s="56"/>
      <c r="N574" s="56"/>
      <c r="O574" s="56"/>
      <c r="P574" s="56"/>
      <c r="Q574" s="56"/>
      <c r="R574" s="2225"/>
      <c r="S574" s="256"/>
    </row>
    <row r="575" spans="1:19">
      <c r="A575" s="256"/>
      <c r="B575" s="56"/>
      <c r="C575" s="56"/>
      <c r="D575" s="56"/>
      <c r="E575" s="56"/>
      <c r="F575" s="56"/>
      <c r="G575" s="56"/>
      <c r="H575" s="56"/>
      <c r="I575" s="56"/>
      <c r="J575" s="56"/>
      <c r="K575" s="56"/>
      <c r="L575" s="56"/>
      <c r="M575" s="56"/>
      <c r="N575" s="56"/>
      <c r="O575" s="56"/>
      <c r="P575" s="56"/>
      <c r="Q575" s="56"/>
      <c r="R575" s="2225"/>
      <c r="S575" s="256"/>
    </row>
    <row r="576" spans="1:19">
      <c r="A576" s="256"/>
      <c r="B576" s="56"/>
      <c r="C576" s="56"/>
      <c r="D576" s="56"/>
      <c r="E576" s="56"/>
      <c r="F576" s="56"/>
      <c r="G576" s="56"/>
      <c r="H576" s="56"/>
      <c r="I576" s="56"/>
      <c r="J576" s="56"/>
      <c r="K576" s="56"/>
      <c r="L576" s="56"/>
      <c r="M576" s="56"/>
      <c r="N576" s="56"/>
      <c r="O576" s="56"/>
      <c r="P576" s="56"/>
      <c r="Q576" s="56"/>
      <c r="R576" s="2225"/>
      <c r="S576" s="256"/>
    </row>
    <row r="577" spans="1:19">
      <c r="A577" s="256"/>
      <c r="B577" s="56"/>
      <c r="C577" s="56"/>
      <c r="D577" s="56"/>
      <c r="E577" s="56"/>
      <c r="F577" s="56"/>
      <c r="G577" s="56"/>
      <c r="H577" s="56"/>
      <c r="I577" s="56"/>
      <c r="J577" s="56"/>
      <c r="K577" s="56"/>
      <c r="L577" s="56"/>
      <c r="M577" s="56"/>
      <c r="N577" s="56"/>
      <c r="O577" s="56"/>
      <c r="P577" s="56"/>
      <c r="Q577" s="56"/>
      <c r="R577" s="2225"/>
      <c r="S577" s="256"/>
    </row>
    <row r="578" spans="1:19">
      <c r="A578" s="256"/>
      <c r="B578" s="56"/>
      <c r="C578" s="56"/>
      <c r="D578" s="56"/>
      <c r="E578" s="56"/>
      <c r="F578" s="56"/>
      <c r="G578" s="56"/>
      <c r="H578" s="56"/>
      <c r="I578" s="56"/>
      <c r="J578" s="56"/>
      <c r="K578" s="56"/>
      <c r="L578" s="56"/>
      <c r="M578" s="56"/>
      <c r="N578" s="56"/>
      <c r="O578" s="56"/>
      <c r="P578" s="56"/>
      <c r="Q578" s="56"/>
      <c r="R578" s="2225"/>
      <c r="S578" s="256"/>
    </row>
    <row r="579" spans="1:19">
      <c r="A579" s="256"/>
      <c r="B579" s="56"/>
      <c r="C579" s="56"/>
      <c r="D579" s="56"/>
      <c r="E579" s="56"/>
      <c r="F579" s="56"/>
      <c r="G579" s="56"/>
      <c r="H579" s="56"/>
      <c r="I579" s="56"/>
      <c r="J579" s="56"/>
      <c r="K579" s="56"/>
      <c r="L579" s="56"/>
      <c r="M579" s="56"/>
      <c r="N579" s="56"/>
      <c r="O579" s="56"/>
      <c r="P579" s="56"/>
      <c r="Q579" s="56"/>
      <c r="R579" s="2225"/>
      <c r="S579" s="256"/>
    </row>
    <row r="580" spans="1:19">
      <c r="A580" s="256"/>
      <c r="B580" s="56"/>
      <c r="C580" s="56"/>
      <c r="D580" s="56"/>
      <c r="E580" s="56"/>
      <c r="F580" s="56"/>
      <c r="G580" s="56"/>
      <c r="H580" s="56"/>
      <c r="I580" s="56"/>
      <c r="J580" s="56"/>
      <c r="K580" s="56"/>
      <c r="L580" s="56"/>
      <c r="M580" s="56"/>
      <c r="N580" s="56"/>
      <c r="O580" s="56"/>
      <c r="P580" s="56"/>
      <c r="Q580" s="56"/>
      <c r="R580" s="2225"/>
      <c r="S580" s="256"/>
    </row>
    <row r="581" spans="1:19">
      <c r="A581" s="256"/>
      <c r="B581" s="56"/>
      <c r="C581" s="56"/>
      <c r="D581" s="56"/>
      <c r="E581" s="56"/>
      <c r="F581" s="56"/>
      <c r="G581" s="56"/>
      <c r="H581" s="56"/>
      <c r="I581" s="56"/>
      <c r="J581" s="56"/>
      <c r="K581" s="56"/>
      <c r="L581" s="56"/>
      <c r="M581" s="56"/>
      <c r="N581" s="56"/>
      <c r="O581" s="56"/>
      <c r="P581" s="56"/>
      <c r="Q581" s="56"/>
      <c r="R581" s="2225"/>
      <c r="S581" s="256"/>
    </row>
    <row r="582" spans="1:19">
      <c r="A582" s="256"/>
      <c r="B582" s="56"/>
      <c r="C582" s="56"/>
      <c r="D582" s="56"/>
      <c r="E582" s="56"/>
      <c r="F582" s="56"/>
      <c r="G582" s="56"/>
      <c r="H582" s="56"/>
      <c r="I582" s="56"/>
      <c r="J582" s="56"/>
      <c r="K582" s="56"/>
      <c r="L582" s="56"/>
      <c r="M582" s="56"/>
      <c r="N582" s="56"/>
      <c r="O582" s="56"/>
      <c r="P582" s="56"/>
      <c r="Q582" s="56"/>
      <c r="R582" s="2225"/>
      <c r="S582" s="256"/>
    </row>
    <row r="583" spans="1:19">
      <c r="A583" s="256"/>
      <c r="B583" s="56"/>
      <c r="C583" s="56"/>
      <c r="D583" s="56"/>
      <c r="E583" s="56"/>
      <c r="F583" s="56"/>
      <c r="G583" s="56"/>
      <c r="H583" s="56"/>
      <c r="I583" s="56"/>
      <c r="J583" s="56"/>
      <c r="K583" s="56"/>
      <c r="L583" s="56"/>
      <c r="M583" s="56"/>
      <c r="N583" s="56"/>
      <c r="O583" s="56"/>
      <c r="P583" s="56"/>
      <c r="Q583" s="56"/>
      <c r="R583" s="2225"/>
      <c r="S583" s="256"/>
    </row>
    <row r="584" spans="1:19">
      <c r="A584" s="256"/>
      <c r="B584" s="56"/>
      <c r="C584" s="56"/>
      <c r="D584" s="56"/>
      <c r="E584" s="56"/>
      <c r="F584" s="56"/>
      <c r="G584" s="56"/>
      <c r="H584" s="56"/>
      <c r="I584" s="56"/>
      <c r="J584" s="56"/>
      <c r="K584" s="56"/>
      <c r="L584" s="56"/>
      <c r="M584" s="56"/>
      <c r="N584" s="56"/>
      <c r="O584" s="56"/>
      <c r="P584" s="56"/>
      <c r="Q584" s="56"/>
      <c r="R584" s="2225"/>
      <c r="S584" s="256"/>
    </row>
    <row r="585" spans="1:19">
      <c r="A585" s="256"/>
      <c r="B585" s="56"/>
      <c r="C585" s="56"/>
      <c r="D585" s="56"/>
      <c r="E585" s="56"/>
      <c r="F585" s="56"/>
      <c r="G585" s="56"/>
      <c r="H585" s="56"/>
      <c r="I585" s="56"/>
      <c r="J585" s="56"/>
      <c r="K585" s="56"/>
      <c r="L585" s="56"/>
      <c r="M585" s="56"/>
      <c r="N585" s="56"/>
      <c r="O585" s="56"/>
      <c r="P585" s="56"/>
      <c r="Q585" s="56"/>
      <c r="R585" s="2225"/>
      <c r="S585" s="256"/>
    </row>
    <row r="586" spans="1:19">
      <c r="A586" s="256"/>
      <c r="B586" s="56"/>
      <c r="C586" s="56"/>
      <c r="D586" s="56"/>
      <c r="E586" s="56"/>
      <c r="F586" s="56"/>
      <c r="G586" s="56"/>
      <c r="H586" s="56"/>
      <c r="I586" s="56"/>
      <c r="J586" s="56"/>
      <c r="K586" s="56"/>
      <c r="L586" s="56"/>
      <c r="M586" s="56"/>
      <c r="N586" s="56"/>
      <c r="O586" s="56"/>
      <c r="P586" s="56"/>
      <c r="Q586" s="56"/>
      <c r="R586" s="2225"/>
      <c r="S586" s="256"/>
    </row>
    <row r="587" spans="1:19">
      <c r="A587" s="256"/>
      <c r="B587" s="56"/>
      <c r="C587" s="56"/>
      <c r="D587" s="56"/>
      <c r="E587" s="56"/>
      <c r="F587" s="56"/>
      <c r="G587" s="56"/>
      <c r="H587" s="56"/>
      <c r="I587" s="56"/>
      <c r="J587" s="56"/>
      <c r="K587" s="56"/>
      <c r="L587" s="56"/>
      <c r="M587" s="56"/>
      <c r="N587" s="56"/>
      <c r="O587" s="56"/>
      <c r="P587" s="56"/>
      <c r="Q587" s="56"/>
      <c r="R587" s="2225"/>
      <c r="S587" s="256"/>
    </row>
    <row r="588" spans="1:19">
      <c r="A588" s="256"/>
      <c r="B588" s="56"/>
      <c r="C588" s="56"/>
      <c r="D588" s="56"/>
      <c r="E588" s="56"/>
      <c r="F588" s="56"/>
      <c r="G588" s="56"/>
      <c r="H588" s="56"/>
      <c r="I588" s="56"/>
      <c r="J588" s="56"/>
      <c r="K588" s="56"/>
      <c r="L588" s="56"/>
      <c r="M588" s="56"/>
      <c r="N588" s="56"/>
      <c r="O588" s="56"/>
      <c r="P588" s="56"/>
      <c r="Q588" s="56"/>
      <c r="R588" s="2225"/>
      <c r="S588" s="256"/>
    </row>
    <row r="589" spans="1:19">
      <c r="A589" s="256"/>
      <c r="B589" s="56"/>
      <c r="C589" s="56"/>
      <c r="D589" s="56"/>
      <c r="E589" s="56"/>
      <c r="F589" s="56"/>
      <c r="G589" s="56"/>
      <c r="H589" s="56"/>
      <c r="I589" s="56"/>
      <c r="J589" s="56"/>
      <c r="K589" s="56"/>
      <c r="L589" s="56"/>
      <c r="M589" s="56"/>
      <c r="N589" s="56"/>
      <c r="O589" s="56"/>
      <c r="P589" s="56"/>
      <c r="Q589" s="56"/>
      <c r="R589" s="2225"/>
      <c r="S589" s="256"/>
    </row>
    <row r="590" spans="1:19">
      <c r="A590" s="256"/>
      <c r="B590" s="56"/>
      <c r="C590" s="56"/>
      <c r="D590" s="56"/>
      <c r="E590" s="56"/>
      <c r="F590" s="56"/>
      <c r="G590" s="56"/>
      <c r="H590" s="56"/>
      <c r="I590" s="56"/>
      <c r="J590" s="56"/>
      <c r="K590" s="56"/>
      <c r="L590" s="56"/>
      <c r="M590" s="56"/>
      <c r="N590" s="56"/>
      <c r="O590" s="56"/>
      <c r="P590" s="56"/>
      <c r="Q590" s="56"/>
      <c r="R590" s="2225"/>
      <c r="S590" s="256"/>
    </row>
    <row r="591" spans="1:19">
      <c r="A591" s="256"/>
      <c r="B591" s="56"/>
      <c r="C591" s="56"/>
      <c r="D591" s="56"/>
      <c r="E591" s="56"/>
      <c r="F591" s="56"/>
      <c r="G591" s="56"/>
      <c r="H591" s="56"/>
      <c r="I591" s="56"/>
      <c r="J591" s="56"/>
      <c r="K591" s="56"/>
      <c r="L591" s="56"/>
      <c r="M591" s="56"/>
      <c r="N591" s="56"/>
      <c r="O591" s="56"/>
      <c r="P591" s="56"/>
      <c r="Q591" s="56"/>
      <c r="R591" s="2225"/>
      <c r="S591" s="256"/>
    </row>
    <row r="592" spans="1:19">
      <c r="A592" s="256"/>
      <c r="B592" s="56"/>
      <c r="C592" s="56"/>
      <c r="D592" s="56"/>
      <c r="E592" s="56"/>
      <c r="F592" s="56"/>
      <c r="G592" s="56"/>
      <c r="H592" s="56"/>
      <c r="I592" s="56"/>
      <c r="J592" s="56"/>
      <c r="K592" s="56"/>
      <c r="L592" s="56"/>
      <c r="M592" s="56"/>
      <c r="N592" s="56"/>
      <c r="O592" s="56"/>
      <c r="P592" s="56"/>
      <c r="Q592" s="56"/>
      <c r="R592" s="2225"/>
      <c r="S592" s="256"/>
    </row>
    <row r="593" spans="1:19">
      <c r="A593" s="256"/>
      <c r="B593" s="56"/>
      <c r="C593" s="56"/>
      <c r="D593" s="56"/>
      <c r="E593" s="56"/>
      <c r="F593" s="56"/>
      <c r="G593" s="56"/>
      <c r="H593" s="56"/>
      <c r="I593" s="56"/>
      <c r="J593" s="56"/>
      <c r="K593" s="56"/>
      <c r="L593" s="56"/>
      <c r="M593" s="56"/>
      <c r="N593" s="56"/>
      <c r="O593" s="56"/>
      <c r="P593" s="56"/>
      <c r="Q593" s="56"/>
      <c r="R593" s="2225"/>
      <c r="S593" s="256"/>
    </row>
    <row r="594" spans="1:19">
      <c r="A594" s="256"/>
      <c r="B594" s="56"/>
      <c r="C594" s="56"/>
      <c r="D594" s="56"/>
      <c r="E594" s="56"/>
      <c r="F594" s="56"/>
      <c r="G594" s="56"/>
      <c r="H594" s="56"/>
      <c r="I594" s="56"/>
      <c r="J594" s="56"/>
      <c r="K594" s="56"/>
      <c r="L594" s="56"/>
      <c r="M594" s="56"/>
      <c r="N594" s="56"/>
      <c r="O594" s="56"/>
      <c r="P594" s="56"/>
      <c r="Q594" s="56"/>
      <c r="R594" s="2225"/>
      <c r="S594" s="256"/>
    </row>
    <row r="595" spans="1:19">
      <c r="A595" s="256"/>
      <c r="B595" s="56"/>
      <c r="C595" s="56"/>
      <c r="D595" s="56"/>
      <c r="E595" s="56"/>
      <c r="F595" s="56"/>
      <c r="G595" s="56"/>
      <c r="H595" s="56"/>
      <c r="I595" s="56"/>
      <c r="J595" s="56"/>
      <c r="K595" s="56"/>
      <c r="L595" s="56"/>
      <c r="M595" s="56"/>
      <c r="N595" s="56"/>
      <c r="O595" s="56"/>
      <c r="P595" s="56"/>
      <c r="Q595" s="56"/>
      <c r="R595" s="2225"/>
      <c r="S595" s="256"/>
    </row>
    <row r="596" spans="1:19">
      <c r="A596" s="256"/>
      <c r="B596" s="56"/>
      <c r="C596" s="56"/>
      <c r="D596" s="56"/>
      <c r="E596" s="56"/>
      <c r="F596" s="56"/>
      <c r="G596" s="56"/>
      <c r="H596" s="56"/>
      <c r="I596" s="56"/>
      <c r="J596" s="56"/>
      <c r="K596" s="56"/>
      <c r="L596" s="56"/>
      <c r="M596" s="56"/>
      <c r="N596" s="56"/>
      <c r="O596" s="56"/>
      <c r="P596" s="56"/>
      <c r="Q596" s="56"/>
      <c r="R596" s="2225"/>
      <c r="S596" s="256"/>
    </row>
    <row r="597" spans="1:19">
      <c r="A597" s="256"/>
      <c r="B597" s="56"/>
      <c r="C597" s="56"/>
      <c r="D597" s="56"/>
      <c r="E597" s="56"/>
      <c r="F597" s="56"/>
      <c r="G597" s="56"/>
      <c r="H597" s="56"/>
      <c r="I597" s="56"/>
      <c r="J597" s="56"/>
      <c r="K597" s="56"/>
      <c r="L597" s="56"/>
      <c r="M597" s="56"/>
      <c r="N597" s="56"/>
      <c r="O597" s="56"/>
      <c r="P597" s="56"/>
      <c r="Q597" s="56"/>
      <c r="R597" s="2225"/>
      <c r="S597" s="256"/>
    </row>
    <row r="598" spans="1:19">
      <c r="A598" s="256"/>
      <c r="B598" s="56"/>
      <c r="C598" s="56"/>
      <c r="D598" s="56"/>
      <c r="E598" s="56"/>
      <c r="F598" s="56"/>
      <c r="G598" s="56"/>
      <c r="H598" s="56"/>
      <c r="I598" s="56"/>
      <c r="J598" s="56"/>
      <c r="K598" s="56"/>
      <c r="L598" s="56"/>
      <c r="M598" s="56"/>
      <c r="N598" s="56"/>
      <c r="O598" s="56"/>
      <c r="P598" s="56"/>
      <c r="Q598" s="56"/>
      <c r="R598" s="2225"/>
      <c r="S598" s="256"/>
    </row>
    <row r="599" spans="1:19">
      <c r="A599" s="256"/>
      <c r="B599" s="56"/>
      <c r="C599" s="56"/>
      <c r="D599" s="56"/>
      <c r="E599" s="56"/>
      <c r="F599" s="56"/>
      <c r="G599" s="56"/>
      <c r="H599" s="56"/>
      <c r="I599" s="56"/>
      <c r="J599" s="56"/>
      <c r="K599" s="56"/>
      <c r="L599" s="56"/>
      <c r="M599" s="56"/>
      <c r="N599" s="56"/>
      <c r="O599" s="56"/>
      <c r="P599" s="56"/>
      <c r="Q599" s="56"/>
      <c r="R599" s="2225"/>
      <c r="S599" s="256"/>
    </row>
    <row r="600" spans="1:19">
      <c r="A600" s="256"/>
      <c r="B600" s="56"/>
      <c r="C600" s="56"/>
      <c r="D600" s="56"/>
      <c r="E600" s="56"/>
      <c r="F600" s="56"/>
      <c r="G600" s="56"/>
      <c r="H600" s="56"/>
      <c r="I600" s="56"/>
      <c r="J600" s="56"/>
      <c r="K600" s="56"/>
      <c r="L600" s="56"/>
      <c r="M600" s="56"/>
      <c r="N600" s="56"/>
      <c r="O600" s="56"/>
      <c r="P600" s="56"/>
      <c r="Q600" s="56"/>
      <c r="R600" s="2225"/>
      <c r="S600" s="256"/>
    </row>
    <row r="601" spans="1:19">
      <c r="A601" s="256"/>
      <c r="B601" s="56"/>
      <c r="C601" s="56"/>
      <c r="D601" s="56"/>
      <c r="E601" s="56"/>
      <c r="F601" s="56"/>
      <c r="G601" s="56"/>
      <c r="H601" s="56"/>
      <c r="I601" s="56"/>
      <c r="J601" s="56"/>
      <c r="K601" s="56"/>
      <c r="L601" s="56"/>
      <c r="M601" s="56"/>
      <c r="N601" s="56"/>
      <c r="O601" s="56"/>
      <c r="P601" s="56"/>
      <c r="Q601" s="56"/>
      <c r="R601" s="2225"/>
      <c r="S601" s="256"/>
    </row>
    <row r="602" spans="1:19">
      <c r="A602" s="256"/>
      <c r="B602" s="56"/>
      <c r="C602" s="56"/>
      <c r="D602" s="56"/>
      <c r="E602" s="56"/>
      <c r="F602" s="56"/>
      <c r="G602" s="56"/>
      <c r="H602" s="56"/>
      <c r="I602" s="56"/>
      <c r="J602" s="56"/>
      <c r="K602" s="56"/>
      <c r="L602" s="56"/>
      <c r="M602" s="56"/>
      <c r="N602" s="56"/>
      <c r="O602" s="56"/>
      <c r="P602" s="56"/>
      <c r="Q602" s="56"/>
      <c r="R602" s="2225"/>
      <c r="S602" s="256"/>
    </row>
    <row r="603" spans="1:19">
      <c r="A603" s="256"/>
      <c r="B603" s="56"/>
      <c r="C603" s="56"/>
      <c r="D603" s="56"/>
      <c r="E603" s="56"/>
      <c r="F603" s="56"/>
      <c r="G603" s="56"/>
      <c r="H603" s="56"/>
      <c r="I603" s="56"/>
      <c r="J603" s="56"/>
      <c r="K603" s="56"/>
      <c r="L603" s="56"/>
      <c r="M603" s="56"/>
      <c r="N603" s="56"/>
      <c r="O603" s="56"/>
      <c r="P603" s="56"/>
      <c r="Q603" s="56"/>
      <c r="R603" s="2225"/>
      <c r="S603" s="256"/>
    </row>
    <row r="604" spans="1:19">
      <c r="A604" s="256"/>
      <c r="B604" s="56"/>
      <c r="C604" s="56"/>
      <c r="D604" s="56"/>
      <c r="E604" s="56"/>
      <c r="F604" s="56"/>
      <c r="G604" s="56"/>
      <c r="H604" s="56"/>
      <c r="I604" s="56"/>
      <c r="J604" s="56"/>
      <c r="K604" s="56"/>
      <c r="L604" s="56"/>
      <c r="M604" s="56"/>
      <c r="N604" s="56"/>
      <c r="O604" s="56"/>
      <c r="P604" s="56"/>
      <c r="Q604" s="56"/>
      <c r="R604" s="2225"/>
      <c r="S604" s="256"/>
    </row>
    <row r="605" spans="1:19">
      <c r="A605" s="256"/>
      <c r="B605" s="56"/>
      <c r="C605" s="56"/>
      <c r="D605" s="56"/>
      <c r="E605" s="56"/>
      <c r="F605" s="56"/>
      <c r="G605" s="56"/>
      <c r="H605" s="56"/>
      <c r="I605" s="56"/>
      <c r="J605" s="56"/>
      <c r="K605" s="56"/>
      <c r="L605" s="56"/>
      <c r="M605" s="56"/>
      <c r="N605" s="56"/>
      <c r="O605" s="56"/>
      <c r="P605" s="56"/>
      <c r="Q605" s="56"/>
      <c r="R605" s="2225"/>
      <c r="S605" s="256"/>
    </row>
    <row r="606" spans="1:19">
      <c r="A606" s="256"/>
      <c r="B606" s="56"/>
      <c r="C606" s="56"/>
      <c r="D606" s="56"/>
      <c r="E606" s="56"/>
      <c r="F606" s="56"/>
      <c r="G606" s="56"/>
      <c r="H606" s="56"/>
      <c r="I606" s="56"/>
      <c r="J606" s="56"/>
      <c r="K606" s="56"/>
      <c r="L606" s="56"/>
      <c r="M606" s="56"/>
      <c r="N606" s="56"/>
      <c r="O606" s="56"/>
      <c r="P606" s="56"/>
      <c r="Q606" s="56"/>
      <c r="R606" s="2225"/>
      <c r="S606" s="256"/>
    </row>
    <row r="607" spans="1:19">
      <c r="A607" s="256"/>
      <c r="B607" s="56"/>
      <c r="C607" s="56"/>
      <c r="D607" s="56"/>
      <c r="E607" s="56"/>
      <c r="F607" s="56"/>
      <c r="G607" s="56"/>
      <c r="H607" s="56"/>
      <c r="I607" s="56"/>
      <c r="J607" s="56"/>
      <c r="K607" s="56"/>
      <c r="L607" s="56"/>
      <c r="M607" s="56"/>
      <c r="N607" s="56"/>
      <c r="O607" s="56"/>
      <c r="P607" s="56"/>
      <c r="Q607" s="56"/>
      <c r="R607" s="2225"/>
      <c r="S607" s="256"/>
    </row>
    <row r="608" spans="1:19">
      <c r="A608" s="256"/>
      <c r="B608" s="56"/>
      <c r="C608" s="56"/>
      <c r="D608" s="56"/>
      <c r="E608" s="56"/>
      <c r="F608" s="56"/>
      <c r="G608" s="56"/>
      <c r="H608" s="56"/>
      <c r="I608" s="56"/>
      <c r="J608" s="56"/>
      <c r="K608" s="56"/>
      <c r="L608" s="56"/>
      <c r="M608" s="56"/>
      <c r="N608" s="56"/>
      <c r="O608" s="56"/>
      <c r="P608" s="56"/>
      <c r="Q608" s="56"/>
      <c r="R608" s="2225"/>
      <c r="S608" s="256"/>
    </row>
    <row r="609" spans="1:19">
      <c r="A609" s="256"/>
      <c r="B609" s="56"/>
      <c r="C609" s="56"/>
      <c r="D609" s="56"/>
      <c r="E609" s="56"/>
      <c r="F609" s="56"/>
      <c r="G609" s="56"/>
      <c r="H609" s="56"/>
      <c r="I609" s="56"/>
      <c r="J609" s="56"/>
      <c r="K609" s="56"/>
      <c r="L609" s="56"/>
      <c r="M609" s="56"/>
      <c r="N609" s="56"/>
      <c r="O609" s="56"/>
      <c r="P609" s="56"/>
      <c r="Q609" s="56"/>
      <c r="R609" s="2225"/>
      <c r="S609" s="256"/>
    </row>
    <row r="610" spans="1:19">
      <c r="A610" s="256"/>
      <c r="B610" s="56"/>
      <c r="C610" s="56"/>
      <c r="D610" s="56"/>
      <c r="E610" s="56"/>
      <c r="F610" s="56"/>
      <c r="G610" s="56"/>
      <c r="H610" s="56"/>
      <c r="I610" s="56"/>
      <c r="J610" s="56"/>
      <c r="K610" s="56"/>
      <c r="L610" s="56"/>
      <c r="M610" s="56"/>
      <c r="N610" s="56"/>
      <c r="O610" s="56"/>
      <c r="P610" s="56"/>
      <c r="Q610" s="56"/>
      <c r="R610" s="2225"/>
      <c r="S610" s="256"/>
    </row>
    <row r="611" spans="1:19">
      <c r="A611" s="256"/>
      <c r="B611" s="56"/>
      <c r="C611" s="56"/>
      <c r="D611" s="56"/>
      <c r="E611" s="56"/>
      <c r="F611" s="56"/>
      <c r="G611" s="56"/>
      <c r="H611" s="56"/>
      <c r="I611" s="56"/>
      <c r="J611" s="56"/>
      <c r="K611" s="56"/>
      <c r="L611" s="56"/>
      <c r="M611" s="56"/>
      <c r="N611" s="56"/>
      <c r="O611" s="56"/>
      <c r="P611" s="56"/>
      <c r="Q611" s="56"/>
      <c r="R611" s="2225"/>
      <c r="S611" s="256"/>
    </row>
    <row r="612" spans="1:19">
      <c r="A612" s="256"/>
      <c r="B612" s="56"/>
      <c r="C612" s="56"/>
      <c r="D612" s="56"/>
      <c r="E612" s="56"/>
      <c r="F612" s="56"/>
      <c r="G612" s="56"/>
      <c r="H612" s="56"/>
      <c r="I612" s="56"/>
      <c r="J612" s="56"/>
      <c r="K612" s="56"/>
      <c r="L612" s="56"/>
      <c r="M612" s="56"/>
      <c r="N612" s="56"/>
      <c r="O612" s="56"/>
      <c r="P612" s="56"/>
      <c r="Q612" s="56"/>
      <c r="R612" s="2225"/>
      <c r="S612" s="256"/>
    </row>
    <row r="613" spans="1:19">
      <c r="A613" s="256"/>
      <c r="B613" s="56"/>
      <c r="C613" s="56"/>
      <c r="D613" s="56"/>
      <c r="E613" s="56"/>
      <c r="F613" s="56"/>
      <c r="G613" s="56"/>
      <c r="H613" s="56"/>
      <c r="I613" s="56"/>
      <c r="J613" s="56"/>
      <c r="K613" s="56"/>
      <c r="L613" s="56"/>
      <c r="M613" s="56"/>
      <c r="N613" s="56"/>
      <c r="O613" s="56"/>
      <c r="P613" s="56"/>
      <c r="Q613" s="56"/>
      <c r="R613" s="2225"/>
      <c r="S613" s="256"/>
    </row>
    <row r="614" spans="1:19">
      <c r="A614" s="256"/>
      <c r="B614" s="56"/>
      <c r="C614" s="56"/>
      <c r="D614" s="56"/>
      <c r="E614" s="56"/>
      <c r="F614" s="56"/>
      <c r="G614" s="56"/>
      <c r="H614" s="56"/>
      <c r="I614" s="56"/>
      <c r="J614" s="56"/>
      <c r="K614" s="56"/>
      <c r="L614" s="56"/>
      <c r="M614" s="56"/>
      <c r="N614" s="56"/>
      <c r="O614" s="56"/>
      <c r="P614" s="56"/>
      <c r="Q614" s="56"/>
      <c r="R614" s="2225"/>
      <c r="S614" s="256"/>
    </row>
    <row r="615" spans="1:19">
      <c r="A615" s="256"/>
      <c r="B615" s="56"/>
      <c r="C615" s="56"/>
      <c r="D615" s="56"/>
      <c r="E615" s="56"/>
      <c r="F615" s="56"/>
      <c r="G615" s="56"/>
      <c r="H615" s="56"/>
      <c r="I615" s="56"/>
      <c r="J615" s="56"/>
      <c r="K615" s="56"/>
      <c r="L615" s="56"/>
      <c r="M615" s="56"/>
      <c r="N615" s="56"/>
      <c r="O615" s="56"/>
      <c r="P615" s="56"/>
      <c r="Q615" s="56"/>
      <c r="R615" s="2225"/>
      <c r="S615" s="256"/>
    </row>
    <row r="616" spans="1:19">
      <c r="A616" s="256"/>
      <c r="B616" s="56"/>
      <c r="C616" s="56"/>
      <c r="D616" s="56"/>
      <c r="E616" s="56"/>
      <c r="F616" s="56"/>
      <c r="G616" s="56"/>
      <c r="H616" s="56"/>
      <c r="I616" s="56"/>
      <c r="J616" s="56"/>
      <c r="K616" s="56"/>
      <c r="L616" s="56"/>
      <c r="M616" s="56"/>
      <c r="N616" s="56"/>
      <c r="O616" s="56"/>
      <c r="P616" s="56"/>
      <c r="Q616" s="56"/>
      <c r="R616" s="2225"/>
      <c r="S616" s="256"/>
    </row>
    <row r="617" spans="1:19">
      <c r="A617" s="256"/>
      <c r="B617" s="56"/>
      <c r="C617" s="56"/>
      <c r="D617" s="56"/>
      <c r="E617" s="56"/>
      <c r="F617" s="56"/>
      <c r="G617" s="56"/>
      <c r="H617" s="56"/>
      <c r="I617" s="56"/>
      <c r="J617" s="56"/>
      <c r="K617" s="56"/>
      <c r="L617" s="56"/>
      <c r="M617" s="56"/>
      <c r="N617" s="56"/>
      <c r="O617" s="56"/>
      <c r="P617" s="56"/>
      <c r="Q617" s="56"/>
      <c r="R617" s="2225"/>
      <c r="S617" s="256"/>
    </row>
    <row r="618" spans="1:19">
      <c r="A618" s="256"/>
      <c r="B618" s="56"/>
      <c r="C618" s="56"/>
      <c r="D618" s="56"/>
      <c r="E618" s="56"/>
      <c r="F618" s="56"/>
      <c r="G618" s="56"/>
      <c r="H618" s="56"/>
      <c r="I618" s="56"/>
      <c r="J618" s="56"/>
      <c r="K618" s="56"/>
      <c r="L618" s="56"/>
      <c r="M618" s="56"/>
      <c r="N618" s="56"/>
      <c r="O618" s="56"/>
      <c r="P618" s="56"/>
      <c r="Q618" s="56"/>
      <c r="R618" s="2225"/>
      <c r="S618" s="256"/>
    </row>
    <row r="619" spans="1:19">
      <c r="A619" s="256"/>
      <c r="B619" s="56"/>
      <c r="C619" s="56"/>
      <c r="D619" s="56"/>
      <c r="E619" s="56"/>
      <c r="F619" s="56"/>
      <c r="G619" s="56"/>
      <c r="H619" s="56"/>
      <c r="I619" s="56"/>
      <c r="J619" s="56"/>
      <c r="K619" s="56"/>
      <c r="L619" s="56"/>
      <c r="M619" s="56"/>
      <c r="N619" s="56"/>
      <c r="O619" s="56"/>
      <c r="P619" s="56"/>
      <c r="Q619" s="56"/>
      <c r="R619" s="2225"/>
      <c r="S619" s="256"/>
    </row>
    <row r="620" spans="1:19">
      <c r="A620" s="256"/>
      <c r="B620" s="56"/>
      <c r="C620" s="56"/>
      <c r="D620" s="56"/>
      <c r="E620" s="56"/>
      <c r="F620" s="56"/>
      <c r="G620" s="56"/>
      <c r="H620" s="56"/>
      <c r="I620" s="56"/>
      <c r="J620" s="56"/>
      <c r="K620" s="56"/>
      <c r="L620" s="56"/>
      <c r="M620" s="56"/>
      <c r="N620" s="56"/>
      <c r="O620" s="56"/>
      <c r="P620" s="56"/>
      <c r="Q620" s="56"/>
      <c r="R620" s="2225"/>
      <c r="S620" s="256"/>
    </row>
    <row r="621" spans="1:19">
      <c r="A621" s="256"/>
      <c r="B621" s="56"/>
      <c r="C621" s="56"/>
      <c r="D621" s="56"/>
      <c r="E621" s="56"/>
      <c r="F621" s="56"/>
      <c r="G621" s="56"/>
      <c r="H621" s="56"/>
      <c r="I621" s="56"/>
      <c r="J621" s="56"/>
      <c r="K621" s="56"/>
      <c r="L621" s="56"/>
      <c r="M621" s="56"/>
      <c r="N621" s="56"/>
      <c r="O621" s="56"/>
      <c r="P621" s="56"/>
      <c r="Q621" s="56"/>
      <c r="R621" s="2225"/>
      <c r="S621" s="256"/>
    </row>
    <row r="622" spans="1:19">
      <c r="A622" s="256"/>
      <c r="B622" s="56"/>
      <c r="C622" s="56"/>
      <c r="D622" s="56"/>
      <c r="E622" s="56"/>
      <c r="F622" s="56"/>
      <c r="G622" s="56"/>
      <c r="H622" s="56"/>
      <c r="I622" s="56"/>
      <c r="J622" s="56"/>
      <c r="K622" s="56"/>
      <c r="L622" s="56"/>
      <c r="M622" s="56"/>
      <c r="N622" s="56"/>
      <c r="O622" s="56"/>
      <c r="P622" s="56"/>
      <c r="Q622" s="56"/>
      <c r="R622" s="2225"/>
      <c r="S622" s="256"/>
    </row>
    <row r="623" spans="1:19">
      <c r="A623" s="256"/>
      <c r="B623" s="56"/>
      <c r="C623" s="56"/>
      <c r="D623" s="56"/>
      <c r="E623" s="56"/>
      <c r="F623" s="56"/>
      <c r="G623" s="56"/>
      <c r="H623" s="56"/>
      <c r="I623" s="56"/>
      <c r="J623" s="56"/>
      <c r="K623" s="56"/>
      <c r="L623" s="56"/>
      <c r="M623" s="56"/>
      <c r="N623" s="56"/>
      <c r="O623" s="56"/>
      <c r="P623" s="56"/>
      <c r="Q623" s="56"/>
      <c r="R623" s="2225"/>
      <c r="S623" s="256"/>
    </row>
    <row r="624" spans="1:19">
      <c r="A624" s="256"/>
      <c r="B624" s="56"/>
      <c r="C624" s="56"/>
      <c r="D624" s="56"/>
      <c r="E624" s="56"/>
      <c r="F624" s="56"/>
      <c r="G624" s="56"/>
      <c r="H624" s="56"/>
      <c r="I624" s="56"/>
      <c r="J624" s="56"/>
      <c r="K624" s="56"/>
      <c r="L624" s="56"/>
      <c r="M624" s="56"/>
      <c r="N624" s="56"/>
      <c r="O624" s="56"/>
      <c r="P624" s="56"/>
      <c r="Q624" s="56"/>
      <c r="R624" s="2225"/>
      <c r="S624" s="256"/>
    </row>
    <row r="625" spans="1:19">
      <c r="A625" s="256"/>
      <c r="B625" s="56"/>
      <c r="C625" s="56"/>
      <c r="D625" s="56"/>
      <c r="E625" s="56"/>
      <c r="F625" s="56"/>
      <c r="G625" s="56"/>
      <c r="H625" s="56"/>
      <c r="I625" s="56"/>
      <c r="J625" s="56"/>
      <c r="K625" s="56"/>
      <c r="L625" s="56"/>
      <c r="M625" s="56"/>
      <c r="N625" s="56"/>
      <c r="O625" s="56"/>
      <c r="P625" s="56"/>
      <c r="Q625" s="56"/>
      <c r="R625" s="2225"/>
      <c r="S625" s="256"/>
    </row>
    <row r="626" spans="1:19">
      <c r="A626" s="256"/>
      <c r="B626" s="56"/>
      <c r="C626" s="56"/>
      <c r="D626" s="56"/>
      <c r="E626" s="56"/>
      <c r="F626" s="56"/>
      <c r="G626" s="56"/>
      <c r="H626" s="56"/>
      <c r="I626" s="56"/>
      <c r="J626" s="56"/>
      <c r="K626" s="56"/>
      <c r="L626" s="56"/>
      <c r="M626" s="56"/>
      <c r="N626" s="56"/>
      <c r="O626" s="56"/>
      <c r="P626" s="56"/>
      <c r="Q626" s="56"/>
      <c r="R626" s="2225"/>
      <c r="S626" s="256"/>
    </row>
    <row r="627" spans="1:19">
      <c r="A627" s="256"/>
      <c r="B627" s="56"/>
      <c r="C627" s="56"/>
      <c r="D627" s="56"/>
      <c r="E627" s="56"/>
      <c r="F627" s="56"/>
      <c r="G627" s="56"/>
      <c r="H627" s="56"/>
      <c r="I627" s="56"/>
      <c r="J627" s="56"/>
      <c r="K627" s="56"/>
      <c r="L627" s="56"/>
      <c r="M627" s="56"/>
      <c r="N627" s="56"/>
      <c r="O627" s="56"/>
      <c r="P627" s="56"/>
      <c r="Q627" s="56"/>
      <c r="R627" s="2225"/>
      <c r="S627" s="256"/>
    </row>
    <row r="628" spans="1:19">
      <c r="A628" s="256"/>
      <c r="B628" s="56"/>
      <c r="C628" s="56"/>
      <c r="D628" s="56"/>
      <c r="E628" s="56"/>
      <c r="F628" s="56"/>
      <c r="G628" s="56"/>
      <c r="H628" s="56"/>
      <c r="I628" s="56"/>
      <c r="J628" s="56"/>
      <c r="K628" s="56"/>
      <c r="L628" s="56"/>
      <c r="M628" s="56"/>
      <c r="N628" s="56"/>
      <c r="O628" s="56"/>
      <c r="P628" s="56"/>
      <c r="Q628" s="56"/>
      <c r="R628" s="2225"/>
      <c r="S628" s="256"/>
    </row>
    <row r="629" spans="1:19">
      <c r="A629" s="256"/>
      <c r="B629" s="56"/>
      <c r="C629" s="56"/>
      <c r="D629" s="56"/>
      <c r="E629" s="56"/>
      <c r="F629" s="56"/>
      <c r="G629" s="56"/>
      <c r="H629" s="56"/>
      <c r="I629" s="56"/>
      <c r="J629" s="56"/>
      <c r="K629" s="56"/>
      <c r="L629" s="56"/>
      <c r="M629" s="56"/>
      <c r="N629" s="56"/>
      <c r="O629" s="56"/>
      <c r="P629" s="56"/>
      <c r="Q629" s="56"/>
      <c r="R629" s="2225"/>
      <c r="S629" s="256"/>
    </row>
    <row r="630" spans="1:19">
      <c r="A630" s="256"/>
      <c r="B630" s="56"/>
      <c r="C630" s="56"/>
      <c r="D630" s="56"/>
      <c r="E630" s="56"/>
      <c r="F630" s="56"/>
      <c r="G630" s="56"/>
      <c r="H630" s="56"/>
      <c r="I630" s="56"/>
      <c r="J630" s="56"/>
      <c r="K630" s="56"/>
      <c r="L630" s="56"/>
      <c r="M630" s="56"/>
      <c r="N630" s="56"/>
      <c r="O630" s="56"/>
      <c r="P630" s="56"/>
      <c r="Q630" s="56"/>
      <c r="R630" s="2225"/>
      <c r="S630" s="256"/>
    </row>
    <row r="631" spans="1:19">
      <c r="A631" s="256"/>
      <c r="B631" s="56"/>
      <c r="C631" s="56"/>
      <c r="D631" s="56"/>
      <c r="E631" s="56"/>
      <c r="F631" s="56"/>
      <c r="G631" s="56"/>
      <c r="H631" s="56"/>
      <c r="I631" s="56"/>
      <c r="J631" s="56"/>
      <c r="K631" s="56"/>
      <c r="L631" s="56"/>
      <c r="M631" s="56"/>
      <c r="N631" s="56"/>
      <c r="O631" s="56"/>
      <c r="P631" s="56"/>
      <c r="Q631" s="56"/>
      <c r="R631" s="2225"/>
      <c r="S631" s="256"/>
    </row>
    <row r="632" spans="1:19">
      <c r="A632" s="256"/>
      <c r="B632" s="56"/>
      <c r="C632" s="56"/>
      <c r="D632" s="56"/>
      <c r="E632" s="56"/>
      <c r="F632" s="56"/>
      <c r="G632" s="56"/>
      <c r="H632" s="56"/>
      <c r="I632" s="56"/>
      <c r="J632" s="56"/>
      <c r="K632" s="56"/>
      <c r="L632" s="56"/>
      <c r="M632" s="56"/>
      <c r="N632" s="56"/>
      <c r="O632" s="56"/>
      <c r="P632" s="56"/>
      <c r="Q632" s="56"/>
      <c r="R632" s="2225"/>
      <c r="S632" s="256"/>
    </row>
    <row r="633" spans="1:19">
      <c r="A633" s="256"/>
      <c r="B633" s="56"/>
      <c r="C633" s="56"/>
      <c r="D633" s="56"/>
      <c r="E633" s="56"/>
      <c r="F633" s="56"/>
      <c r="G633" s="56"/>
      <c r="H633" s="56"/>
      <c r="I633" s="56"/>
      <c r="J633" s="56"/>
      <c r="K633" s="56"/>
      <c r="L633" s="56"/>
      <c r="M633" s="56"/>
      <c r="N633" s="56"/>
      <c r="O633" s="56"/>
      <c r="P633" s="56"/>
      <c r="Q633" s="56"/>
      <c r="R633" s="2225"/>
      <c r="S633" s="256"/>
    </row>
    <row r="634" spans="1:19">
      <c r="A634" s="256"/>
      <c r="B634" s="56"/>
      <c r="C634" s="56"/>
      <c r="D634" s="56"/>
      <c r="E634" s="56"/>
      <c r="F634" s="56"/>
      <c r="G634" s="56"/>
      <c r="H634" s="56"/>
      <c r="I634" s="56"/>
      <c r="J634" s="56"/>
      <c r="K634" s="56"/>
      <c r="L634" s="56"/>
      <c r="M634" s="56"/>
      <c r="N634" s="56"/>
      <c r="O634" s="56"/>
      <c r="P634" s="56"/>
      <c r="Q634" s="56"/>
      <c r="R634" s="2225"/>
      <c r="S634" s="256"/>
    </row>
    <row r="635" spans="1:19">
      <c r="A635" s="256"/>
      <c r="B635" s="56"/>
      <c r="C635" s="56"/>
      <c r="D635" s="56"/>
      <c r="E635" s="56"/>
      <c r="F635" s="56"/>
      <c r="G635" s="56"/>
      <c r="H635" s="56"/>
      <c r="I635" s="56"/>
      <c r="J635" s="56"/>
      <c r="K635" s="56"/>
      <c r="L635" s="56"/>
      <c r="M635" s="56"/>
      <c r="N635" s="56"/>
      <c r="O635" s="56"/>
      <c r="P635" s="56"/>
      <c r="Q635" s="56"/>
      <c r="R635" s="2225"/>
      <c r="S635" s="256"/>
    </row>
    <row r="636" spans="1:19">
      <c r="A636" s="256"/>
      <c r="B636" s="56"/>
      <c r="C636" s="56"/>
      <c r="D636" s="56"/>
      <c r="E636" s="56"/>
      <c r="F636" s="56"/>
      <c r="G636" s="56"/>
      <c r="H636" s="56"/>
      <c r="I636" s="56"/>
      <c r="J636" s="56"/>
      <c r="K636" s="56"/>
      <c r="L636" s="56"/>
      <c r="M636" s="56"/>
      <c r="N636" s="56"/>
      <c r="O636" s="56"/>
      <c r="P636" s="56"/>
      <c r="Q636" s="56"/>
      <c r="R636" s="2225"/>
      <c r="S636" s="256"/>
    </row>
    <row r="637" spans="1:19">
      <c r="A637" s="256"/>
      <c r="B637" s="56"/>
      <c r="C637" s="56"/>
      <c r="D637" s="56"/>
      <c r="E637" s="56"/>
      <c r="F637" s="56"/>
      <c r="G637" s="56"/>
      <c r="H637" s="56"/>
      <c r="I637" s="56"/>
      <c r="J637" s="56"/>
      <c r="K637" s="56"/>
      <c r="L637" s="56"/>
      <c r="M637" s="56"/>
      <c r="N637" s="56"/>
      <c r="O637" s="56"/>
      <c r="P637" s="56"/>
      <c r="Q637" s="56"/>
      <c r="R637" s="2225"/>
      <c r="S637" s="256"/>
    </row>
    <row r="638" spans="1:19">
      <c r="A638" s="256"/>
      <c r="B638" s="56"/>
      <c r="C638" s="56"/>
      <c r="D638" s="56"/>
      <c r="E638" s="56"/>
      <c r="F638" s="56"/>
      <c r="G638" s="56"/>
      <c r="H638" s="56"/>
      <c r="I638" s="56"/>
      <c r="J638" s="56"/>
      <c r="K638" s="56"/>
      <c r="L638" s="56"/>
      <c r="M638" s="56"/>
      <c r="N638" s="56"/>
      <c r="O638" s="56"/>
      <c r="P638" s="56"/>
      <c r="Q638" s="56"/>
      <c r="R638" s="2225"/>
      <c r="S638" s="256"/>
    </row>
    <row r="639" spans="1:19">
      <c r="A639" s="256"/>
      <c r="B639" s="56"/>
      <c r="C639" s="56"/>
      <c r="D639" s="56"/>
      <c r="E639" s="56"/>
      <c r="F639" s="56"/>
      <c r="G639" s="56"/>
      <c r="H639" s="56"/>
      <c r="I639" s="56"/>
      <c r="J639" s="56"/>
      <c r="K639" s="56"/>
      <c r="L639" s="56"/>
      <c r="M639" s="56"/>
      <c r="N639" s="56"/>
      <c r="O639" s="56"/>
      <c r="P639" s="56"/>
      <c r="Q639" s="56"/>
      <c r="R639" s="2225"/>
      <c r="S639" s="256"/>
    </row>
    <row r="640" spans="1:19">
      <c r="A640" s="256"/>
      <c r="B640" s="56"/>
      <c r="C640" s="56"/>
      <c r="D640" s="56"/>
      <c r="E640" s="56"/>
      <c r="F640" s="56"/>
      <c r="G640" s="56"/>
      <c r="H640" s="56"/>
      <c r="I640" s="56"/>
      <c r="J640" s="56"/>
      <c r="K640" s="56"/>
      <c r="L640" s="56"/>
      <c r="M640" s="56"/>
      <c r="N640" s="56"/>
      <c r="O640" s="56"/>
      <c r="P640" s="56"/>
      <c r="Q640" s="56"/>
      <c r="R640" s="2225"/>
      <c r="S640" s="256"/>
    </row>
    <row r="641" spans="1:19">
      <c r="A641" s="256"/>
      <c r="B641" s="56"/>
      <c r="C641" s="56"/>
      <c r="D641" s="56"/>
      <c r="E641" s="56"/>
      <c r="F641" s="56"/>
      <c r="G641" s="56"/>
      <c r="H641" s="56"/>
      <c r="I641" s="56"/>
      <c r="J641" s="56"/>
      <c r="K641" s="56"/>
      <c r="L641" s="56"/>
      <c r="M641" s="56"/>
      <c r="N641" s="56"/>
      <c r="O641" s="56"/>
      <c r="P641" s="56"/>
      <c r="Q641" s="56"/>
      <c r="R641" s="2225"/>
      <c r="S641" s="256"/>
    </row>
    <row r="642" spans="1:19">
      <c r="A642" s="256"/>
      <c r="B642" s="56"/>
      <c r="C642" s="56"/>
      <c r="D642" s="56"/>
      <c r="E642" s="56"/>
      <c r="F642" s="56"/>
      <c r="G642" s="56"/>
      <c r="H642" s="56"/>
      <c r="I642" s="56"/>
      <c r="J642" s="56"/>
      <c r="K642" s="56"/>
      <c r="L642" s="56"/>
      <c r="M642" s="56"/>
      <c r="N642" s="56"/>
      <c r="O642" s="56"/>
      <c r="P642" s="56"/>
      <c r="Q642" s="56"/>
      <c r="R642" s="2225"/>
      <c r="S642" s="256"/>
    </row>
    <row r="643" spans="1:19">
      <c r="A643" s="256"/>
      <c r="B643" s="56"/>
      <c r="C643" s="56"/>
      <c r="D643" s="56"/>
      <c r="E643" s="56"/>
      <c r="F643" s="56"/>
      <c r="G643" s="56"/>
      <c r="H643" s="56"/>
      <c r="I643" s="56"/>
      <c r="J643" s="56"/>
      <c r="K643" s="56"/>
      <c r="L643" s="56"/>
      <c r="M643" s="56"/>
      <c r="N643" s="56"/>
      <c r="O643" s="56"/>
      <c r="P643" s="56"/>
      <c r="Q643" s="56"/>
      <c r="R643" s="2225"/>
      <c r="S643" s="256"/>
    </row>
    <row r="644" spans="1:19">
      <c r="A644" s="256"/>
      <c r="B644" s="56"/>
      <c r="C644" s="56"/>
      <c r="D644" s="56"/>
      <c r="E644" s="56"/>
      <c r="F644" s="56"/>
      <c r="G644" s="56"/>
      <c r="H644" s="56"/>
      <c r="I644" s="56"/>
      <c r="J644" s="56"/>
      <c r="K644" s="56"/>
      <c r="L644" s="56"/>
      <c r="M644" s="56"/>
      <c r="N644" s="56"/>
      <c r="O644" s="56"/>
      <c r="P644" s="56"/>
      <c r="Q644" s="56"/>
      <c r="R644" s="2225"/>
      <c r="S644" s="256"/>
    </row>
    <row r="645" spans="1:19">
      <c r="A645" s="256"/>
      <c r="B645" s="56"/>
      <c r="C645" s="56"/>
      <c r="D645" s="56"/>
      <c r="E645" s="56"/>
      <c r="F645" s="56"/>
      <c r="G645" s="56"/>
      <c r="H645" s="56"/>
      <c r="I645" s="56"/>
      <c r="J645" s="56"/>
      <c r="K645" s="56"/>
      <c r="L645" s="56"/>
      <c r="M645" s="56"/>
      <c r="N645" s="56"/>
      <c r="O645" s="56"/>
      <c r="P645" s="56"/>
      <c r="Q645" s="56"/>
      <c r="R645" s="2225"/>
      <c r="S645" s="256"/>
    </row>
    <row r="646" spans="1:19">
      <c r="A646" s="256"/>
      <c r="B646" s="56"/>
      <c r="C646" s="56"/>
      <c r="D646" s="56"/>
      <c r="E646" s="56"/>
      <c r="F646" s="56"/>
      <c r="G646" s="56"/>
      <c r="H646" s="56"/>
      <c r="I646" s="56"/>
      <c r="J646" s="56"/>
      <c r="K646" s="56"/>
      <c r="L646" s="56"/>
      <c r="M646" s="56"/>
      <c r="N646" s="56"/>
      <c r="O646" s="56"/>
      <c r="P646" s="56"/>
      <c r="Q646" s="56"/>
      <c r="R646" s="2225"/>
      <c r="S646" s="256"/>
    </row>
    <row r="647" spans="1:19">
      <c r="A647" s="256"/>
      <c r="B647" s="56"/>
      <c r="C647" s="56"/>
      <c r="D647" s="56"/>
      <c r="E647" s="56"/>
      <c r="F647" s="56"/>
      <c r="G647" s="56"/>
      <c r="H647" s="56"/>
      <c r="I647" s="56"/>
      <c r="J647" s="56"/>
      <c r="K647" s="56"/>
      <c r="L647" s="56"/>
      <c r="M647" s="56"/>
      <c r="N647" s="56"/>
      <c r="O647" s="56"/>
      <c r="P647" s="56"/>
      <c r="Q647" s="56"/>
      <c r="R647" s="2225"/>
      <c r="S647" s="256"/>
    </row>
    <row r="648" spans="1:19">
      <c r="A648" s="256"/>
      <c r="B648" s="56"/>
      <c r="C648" s="56"/>
      <c r="D648" s="56"/>
      <c r="E648" s="56"/>
      <c r="F648" s="56"/>
      <c r="G648" s="56"/>
      <c r="H648" s="56"/>
      <c r="I648" s="56"/>
      <c r="J648" s="56"/>
      <c r="K648" s="56"/>
      <c r="L648" s="56"/>
      <c r="M648" s="56"/>
      <c r="N648" s="56"/>
      <c r="O648" s="56"/>
      <c r="P648" s="56"/>
      <c r="Q648" s="56"/>
      <c r="R648" s="2225"/>
      <c r="S648" s="256"/>
    </row>
    <row r="649" spans="1:19">
      <c r="A649" s="256"/>
      <c r="B649" s="56"/>
      <c r="C649" s="56"/>
      <c r="D649" s="56"/>
      <c r="E649" s="56"/>
      <c r="F649" s="56"/>
      <c r="G649" s="56"/>
      <c r="H649" s="56"/>
      <c r="I649" s="56"/>
      <c r="J649" s="56"/>
      <c r="K649" s="56"/>
      <c r="L649" s="56"/>
      <c r="M649" s="56"/>
      <c r="N649" s="56"/>
      <c r="O649" s="56"/>
      <c r="P649" s="56"/>
      <c r="Q649" s="56"/>
      <c r="R649" s="2225"/>
      <c r="S649" s="256"/>
    </row>
    <row r="650" spans="1:19">
      <c r="A650" s="256"/>
      <c r="B650" s="56"/>
      <c r="C650" s="56"/>
      <c r="D650" s="56"/>
      <c r="E650" s="56"/>
      <c r="F650" s="56"/>
      <c r="G650" s="56"/>
      <c r="H650" s="56"/>
      <c r="I650" s="56"/>
      <c r="J650" s="56"/>
      <c r="K650" s="56"/>
      <c r="L650" s="56"/>
      <c r="M650" s="56"/>
      <c r="N650" s="56"/>
      <c r="O650" s="56"/>
      <c r="P650" s="56"/>
      <c r="Q650" s="56"/>
      <c r="R650" s="2225"/>
      <c r="S650" s="256"/>
    </row>
    <row r="651" spans="1:19">
      <c r="A651" s="256"/>
      <c r="B651" s="56"/>
      <c r="C651" s="56"/>
      <c r="D651" s="56"/>
      <c r="E651" s="56"/>
      <c r="F651" s="56"/>
      <c r="G651" s="56"/>
      <c r="H651" s="56"/>
      <c r="I651" s="56"/>
      <c r="J651" s="56"/>
      <c r="K651" s="56"/>
      <c r="L651" s="56"/>
      <c r="M651" s="56"/>
      <c r="N651" s="56"/>
      <c r="O651" s="56"/>
      <c r="P651" s="56"/>
      <c r="Q651" s="56"/>
      <c r="R651" s="2225"/>
      <c r="S651" s="256"/>
    </row>
    <row r="652" spans="1:19">
      <c r="A652" s="256"/>
      <c r="B652" s="56"/>
      <c r="C652" s="56"/>
      <c r="D652" s="56"/>
      <c r="E652" s="56"/>
      <c r="F652" s="56"/>
      <c r="G652" s="56"/>
      <c r="H652" s="56"/>
      <c r="I652" s="56"/>
      <c r="J652" s="56"/>
      <c r="K652" s="56"/>
      <c r="L652" s="56"/>
      <c r="M652" s="56"/>
      <c r="N652" s="56"/>
      <c r="O652" s="56"/>
      <c r="P652" s="56"/>
      <c r="Q652" s="56"/>
      <c r="R652" s="2225"/>
      <c r="S652" s="256"/>
    </row>
    <row r="653" spans="1:19">
      <c r="A653" s="256"/>
      <c r="B653" s="56"/>
      <c r="C653" s="56"/>
      <c r="D653" s="56"/>
      <c r="E653" s="56"/>
      <c r="F653" s="56"/>
      <c r="G653" s="56"/>
      <c r="H653" s="56"/>
      <c r="I653" s="56"/>
      <c r="J653" s="56"/>
      <c r="K653" s="56"/>
      <c r="L653" s="56"/>
      <c r="M653" s="56"/>
      <c r="N653" s="56"/>
      <c r="O653" s="56"/>
      <c r="P653" s="56"/>
      <c r="Q653" s="56"/>
      <c r="R653" s="2225"/>
      <c r="S653" s="256"/>
    </row>
    <row r="654" spans="1:19">
      <c r="A654" s="256"/>
      <c r="B654" s="56"/>
      <c r="C654" s="56"/>
      <c r="D654" s="56"/>
      <c r="E654" s="56"/>
      <c r="F654" s="56"/>
      <c r="G654" s="56"/>
      <c r="H654" s="56"/>
      <c r="I654" s="56"/>
      <c r="J654" s="56"/>
      <c r="K654" s="56"/>
      <c r="L654" s="56"/>
      <c r="M654" s="56"/>
      <c r="N654" s="56"/>
      <c r="O654" s="56"/>
      <c r="P654" s="56"/>
      <c r="Q654" s="56"/>
      <c r="R654" s="2225"/>
      <c r="S654" s="256"/>
    </row>
    <row r="655" spans="1:19">
      <c r="A655" s="256"/>
      <c r="B655" s="56"/>
      <c r="C655" s="56"/>
      <c r="D655" s="56"/>
      <c r="E655" s="56"/>
      <c r="F655" s="56"/>
      <c r="G655" s="56"/>
      <c r="H655" s="56"/>
      <c r="I655" s="56"/>
      <c r="J655" s="56"/>
      <c r="K655" s="56"/>
      <c r="L655" s="56"/>
      <c r="M655" s="56"/>
      <c r="N655" s="56"/>
      <c r="O655" s="56"/>
      <c r="P655" s="56"/>
      <c r="Q655" s="56"/>
      <c r="R655" s="2225"/>
      <c r="S655" s="256"/>
    </row>
    <row r="656" spans="1:19">
      <c r="A656" s="256"/>
      <c r="B656" s="56"/>
      <c r="C656" s="56"/>
      <c r="D656" s="56"/>
      <c r="E656" s="56"/>
      <c r="F656" s="56"/>
      <c r="G656" s="56"/>
      <c r="H656" s="56"/>
      <c r="I656" s="56"/>
      <c r="J656" s="56"/>
      <c r="K656" s="56"/>
      <c r="L656" s="56"/>
      <c r="M656" s="56"/>
      <c r="N656" s="56"/>
      <c r="O656" s="56"/>
      <c r="P656" s="56"/>
      <c r="Q656" s="56"/>
      <c r="R656" s="2225"/>
      <c r="S656" s="256"/>
    </row>
    <row r="657" spans="1:19">
      <c r="A657" s="256"/>
      <c r="B657" s="56"/>
      <c r="C657" s="56"/>
      <c r="D657" s="56"/>
      <c r="E657" s="56"/>
      <c r="F657" s="56"/>
      <c r="G657" s="56"/>
      <c r="H657" s="56"/>
      <c r="I657" s="56"/>
      <c r="J657" s="56"/>
      <c r="K657" s="56"/>
      <c r="L657" s="56"/>
      <c r="M657" s="56"/>
      <c r="N657" s="56"/>
      <c r="O657" s="56"/>
      <c r="P657" s="56"/>
      <c r="Q657" s="56"/>
      <c r="R657" s="2225"/>
      <c r="S657" s="256"/>
    </row>
    <row r="658" spans="1:19">
      <c r="A658" s="256"/>
      <c r="B658" s="56"/>
      <c r="C658" s="56"/>
      <c r="D658" s="56"/>
      <c r="E658" s="56"/>
      <c r="F658" s="56"/>
      <c r="G658" s="56"/>
      <c r="H658" s="56"/>
      <c r="I658" s="56"/>
      <c r="J658" s="56"/>
      <c r="K658" s="56"/>
      <c r="L658" s="56"/>
      <c r="M658" s="56"/>
      <c r="N658" s="56"/>
      <c r="O658" s="56"/>
      <c r="P658" s="56"/>
      <c r="Q658" s="56"/>
      <c r="R658" s="2225"/>
      <c r="S658" s="256"/>
    </row>
    <row r="659" spans="1:19">
      <c r="A659" s="256"/>
      <c r="B659" s="56"/>
      <c r="C659" s="56"/>
      <c r="D659" s="56"/>
      <c r="E659" s="56"/>
      <c r="F659" s="56"/>
      <c r="G659" s="56"/>
      <c r="H659" s="56"/>
      <c r="I659" s="56"/>
      <c r="J659" s="56"/>
      <c r="K659" s="56"/>
      <c r="L659" s="56"/>
      <c r="M659" s="56"/>
      <c r="N659" s="56"/>
      <c r="O659" s="56"/>
      <c r="P659" s="56"/>
      <c r="Q659" s="56"/>
      <c r="R659" s="2225"/>
      <c r="S659" s="256"/>
    </row>
    <row r="660" spans="1:19">
      <c r="A660" s="256"/>
      <c r="B660" s="56"/>
      <c r="C660" s="56"/>
      <c r="D660" s="56"/>
      <c r="E660" s="56"/>
      <c r="F660" s="56"/>
      <c r="G660" s="56"/>
      <c r="H660" s="56"/>
      <c r="I660" s="56"/>
      <c r="J660" s="56"/>
      <c r="K660" s="56"/>
      <c r="L660" s="56"/>
      <c r="M660" s="56"/>
      <c r="N660" s="56"/>
      <c r="O660" s="56"/>
      <c r="P660" s="56"/>
      <c r="Q660" s="56"/>
      <c r="R660" s="2225"/>
      <c r="S660" s="256"/>
    </row>
    <row r="661" spans="1:19">
      <c r="A661" s="256"/>
      <c r="B661" s="56"/>
      <c r="C661" s="56"/>
      <c r="D661" s="56"/>
      <c r="E661" s="56"/>
      <c r="F661" s="56"/>
      <c r="G661" s="56"/>
      <c r="H661" s="56"/>
      <c r="I661" s="56"/>
      <c r="J661" s="56"/>
      <c r="K661" s="56"/>
      <c r="L661" s="56"/>
      <c r="M661" s="56"/>
      <c r="N661" s="56"/>
      <c r="O661" s="56"/>
      <c r="P661" s="56"/>
      <c r="Q661" s="56"/>
      <c r="R661" s="2225"/>
      <c r="S661" s="256"/>
    </row>
    <row r="662" spans="1:19">
      <c r="A662" s="256"/>
      <c r="B662" s="56"/>
      <c r="C662" s="56"/>
      <c r="D662" s="56"/>
      <c r="E662" s="56"/>
      <c r="F662" s="56"/>
      <c r="G662" s="56"/>
      <c r="H662" s="56"/>
      <c r="I662" s="56"/>
      <c r="J662" s="56"/>
      <c r="K662" s="56"/>
      <c r="L662" s="56"/>
      <c r="M662" s="56"/>
      <c r="N662" s="56"/>
      <c r="O662" s="56"/>
      <c r="P662" s="56"/>
      <c r="Q662" s="56"/>
      <c r="R662" s="2225"/>
      <c r="S662" s="256"/>
    </row>
    <row r="663" spans="1:19">
      <c r="A663" s="256"/>
      <c r="B663" s="56"/>
      <c r="C663" s="56"/>
      <c r="D663" s="56"/>
      <c r="E663" s="56"/>
      <c r="F663" s="56"/>
      <c r="G663" s="56"/>
      <c r="H663" s="56"/>
      <c r="I663" s="56"/>
      <c r="J663" s="56"/>
      <c r="K663" s="56"/>
      <c r="L663" s="56"/>
      <c r="M663" s="56"/>
      <c r="N663" s="56"/>
      <c r="O663" s="56"/>
      <c r="P663" s="56"/>
      <c r="Q663" s="56"/>
      <c r="R663" s="2225"/>
      <c r="S663" s="256"/>
    </row>
    <row r="664" spans="1:19">
      <c r="A664" s="256"/>
      <c r="B664" s="56"/>
      <c r="C664" s="56"/>
      <c r="D664" s="56"/>
      <c r="E664" s="56"/>
      <c r="F664" s="56"/>
      <c r="G664" s="56"/>
      <c r="H664" s="56"/>
      <c r="I664" s="56"/>
      <c r="J664" s="56"/>
      <c r="K664" s="56"/>
      <c r="L664" s="56"/>
      <c r="M664" s="56"/>
      <c r="N664" s="56"/>
      <c r="O664" s="56"/>
      <c r="P664" s="56"/>
      <c r="Q664" s="56"/>
      <c r="R664" s="2225"/>
      <c r="S664" s="256"/>
    </row>
    <row r="665" spans="1:19">
      <c r="A665" s="256"/>
      <c r="B665" s="56"/>
      <c r="C665" s="56"/>
      <c r="D665" s="56"/>
      <c r="E665" s="56"/>
      <c r="F665" s="56"/>
      <c r="G665" s="56"/>
      <c r="H665" s="56"/>
      <c r="I665" s="56"/>
      <c r="J665" s="56"/>
      <c r="K665" s="56"/>
      <c r="L665" s="56"/>
      <c r="M665" s="56"/>
      <c r="N665" s="56"/>
      <c r="O665" s="56"/>
      <c r="P665" s="56"/>
      <c r="Q665" s="56"/>
      <c r="R665" s="2225"/>
      <c r="S665" s="256"/>
    </row>
    <row r="666" spans="1:19">
      <c r="A666" s="256"/>
      <c r="B666" s="56"/>
      <c r="C666" s="56"/>
      <c r="D666" s="56"/>
      <c r="E666" s="56"/>
      <c r="F666" s="56"/>
      <c r="G666" s="56"/>
      <c r="H666" s="56"/>
      <c r="I666" s="56"/>
      <c r="J666" s="56"/>
      <c r="K666" s="56"/>
      <c r="L666" s="56"/>
      <c r="M666" s="56"/>
      <c r="N666" s="56"/>
      <c r="O666" s="56"/>
      <c r="P666" s="56"/>
      <c r="Q666" s="56"/>
      <c r="R666" s="2225"/>
      <c r="S666" s="256"/>
    </row>
    <row r="667" spans="1:19">
      <c r="A667" s="256"/>
      <c r="B667" s="56"/>
      <c r="C667" s="56"/>
      <c r="D667" s="56"/>
      <c r="E667" s="56"/>
      <c r="F667" s="56"/>
      <c r="G667" s="56"/>
      <c r="H667" s="56"/>
      <c r="I667" s="56"/>
      <c r="J667" s="56"/>
      <c r="K667" s="56"/>
      <c r="L667" s="56"/>
      <c r="M667" s="56"/>
      <c r="N667" s="56"/>
      <c r="O667" s="56"/>
      <c r="P667" s="56"/>
      <c r="Q667" s="56"/>
      <c r="R667" s="2225"/>
      <c r="S667" s="256"/>
    </row>
    <row r="668" spans="1:19">
      <c r="A668" s="256"/>
      <c r="B668" s="56"/>
      <c r="C668" s="56"/>
      <c r="D668" s="56"/>
      <c r="E668" s="56"/>
      <c r="F668" s="56"/>
      <c r="G668" s="56"/>
      <c r="H668" s="56"/>
      <c r="I668" s="56"/>
      <c r="J668" s="56"/>
      <c r="K668" s="56"/>
      <c r="L668" s="56"/>
      <c r="M668" s="56"/>
      <c r="N668" s="56"/>
      <c r="O668" s="56"/>
      <c r="P668" s="56"/>
      <c r="Q668" s="56"/>
      <c r="R668" s="2225"/>
      <c r="S668" s="256"/>
    </row>
    <row r="669" spans="1:19">
      <c r="A669" s="256"/>
      <c r="B669" s="56"/>
      <c r="C669" s="56"/>
      <c r="D669" s="56"/>
      <c r="E669" s="56"/>
      <c r="F669" s="56"/>
      <c r="G669" s="56"/>
      <c r="H669" s="56"/>
      <c r="I669" s="56"/>
      <c r="J669" s="56"/>
      <c r="K669" s="56"/>
      <c r="L669" s="56"/>
      <c r="M669" s="56"/>
      <c r="N669" s="56"/>
      <c r="O669" s="56"/>
      <c r="P669" s="56"/>
      <c r="Q669" s="56"/>
      <c r="R669" s="2225"/>
      <c r="S669" s="256"/>
    </row>
    <row r="670" spans="1:19">
      <c r="A670" s="256"/>
      <c r="B670" s="56"/>
      <c r="C670" s="56"/>
      <c r="D670" s="56"/>
      <c r="E670" s="56"/>
      <c r="F670" s="56"/>
      <c r="G670" s="56"/>
      <c r="H670" s="56"/>
      <c r="I670" s="56"/>
      <c r="J670" s="56"/>
      <c r="K670" s="56"/>
      <c r="L670" s="56"/>
      <c r="M670" s="56"/>
      <c r="N670" s="56"/>
      <c r="O670" s="56"/>
      <c r="P670" s="56"/>
      <c r="Q670" s="56"/>
      <c r="R670" s="2225"/>
      <c r="S670" s="256"/>
    </row>
    <row r="671" spans="1:19">
      <c r="A671" s="256"/>
      <c r="B671" s="56"/>
      <c r="C671" s="56"/>
      <c r="D671" s="56"/>
      <c r="E671" s="56"/>
      <c r="F671" s="56"/>
      <c r="G671" s="56"/>
      <c r="H671" s="56"/>
      <c r="I671" s="56"/>
      <c r="J671" s="56"/>
      <c r="K671" s="56"/>
      <c r="L671" s="56"/>
      <c r="M671" s="56"/>
      <c r="N671" s="56"/>
      <c r="O671" s="56"/>
      <c r="P671" s="56"/>
      <c r="Q671" s="56"/>
      <c r="R671" s="2225"/>
      <c r="S671" s="256"/>
    </row>
    <row r="672" spans="1:19">
      <c r="A672" s="256"/>
      <c r="B672" s="56"/>
      <c r="C672" s="56"/>
      <c r="D672" s="56"/>
      <c r="E672" s="56"/>
      <c r="F672" s="56"/>
      <c r="G672" s="56"/>
      <c r="H672" s="56"/>
      <c r="I672" s="56"/>
      <c r="J672" s="56"/>
      <c r="K672" s="56"/>
      <c r="L672" s="56"/>
      <c r="M672" s="56"/>
      <c r="N672" s="56"/>
      <c r="O672" s="56"/>
      <c r="P672" s="56"/>
      <c r="Q672" s="56"/>
      <c r="R672" s="2225"/>
      <c r="S672" s="256"/>
    </row>
    <row r="673" spans="1:19">
      <c r="A673" s="256"/>
      <c r="B673" s="56"/>
      <c r="C673" s="56"/>
      <c r="D673" s="56"/>
      <c r="E673" s="56"/>
      <c r="F673" s="56"/>
      <c r="G673" s="56"/>
      <c r="H673" s="56"/>
      <c r="I673" s="56"/>
      <c r="J673" s="56"/>
      <c r="K673" s="56"/>
      <c r="L673" s="56"/>
      <c r="M673" s="56"/>
      <c r="N673" s="56"/>
      <c r="O673" s="56"/>
      <c r="P673" s="56"/>
      <c r="Q673" s="56"/>
      <c r="R673" s="2225"/>
      <c r="S673" s="256"/>
    </row>
    <row r="674" spans="1:19">
      <c r="A674" s="256"/>
      <c r="B674" s="56"/>
      <c r="C674" s="56"/>
      <c r="D674" s="56"/>
      <c r="E674" s="56"/>
      <c r="F674" s="56"/>
      <c r="G674" s="56"/>
      <c r="H674" s="56"/>
      <c r="I674" s="56"/>
      <c r="J674" s="56"/>
      <c r="K674" s="56"/>
      <c r="L674" s="56"/>
      <c r="M674" s="56"/>
      <c r="N674" s="56"/>
      <c r="O674" s="56"/>
      <c r="P674" s="56"/>
      <c r="Q674" s="56"/>
      <c r="R674" s="2225"/>
      <c r="S674" s="256"/>
    </row>
    <row r="675" spans="1:19">
      <c r="A675" s="256"/>
      <c r="B675" s="56"/>
      <c r="C675" s="56"/>
      <c r="D675" s="56"/>
      <c r="E675" s="56"/>
      <c r="F675" s="56"/>
      <c r="G675" s="56"/>
      <c r="H675" s="56"/>
      <c r="I675" s="56"/>
      <c r="J675" s="56"/>
      <c r="K675" s="56"/>
      <c r="L675" s="56"/>
      <c r="M675" s="56"/>
      <c r="N675" s="56"/>
      <c r="O675" s="56"/>
      <c r="P675" s="56"/>
      <c r="Q675" s="56"/>
      <c r="R675" s="2225"/>
      <c r="S675" s="256"/>
    </row>
    <row r="676" spans="1:19">
      <c r="A676" s="256"/>
      <c r="B676" s="56"/>
      <c r="C676" s="56"/>
      <c r="D676" s="56"/>
      <c r="E676" s="56"/>
      <c r="F676" s="56"/>
      <c r="G676" s="56"/>
      <c r="H676" s="56"/>
      <c r="I676" s="56"/>
      <c r="J676" s="56"/>
      <c r="K676" s="56"/>
      <c r="L676" s="56"/>
      <c r="M676" s="56"/>
      <c r="N676" s="56"/>
      <c r="O676" s="56"/>
      <c r="P676" s="56"/>
      <c r="Q676" s="56"/>
      <c r="R676" s="2225"/>
      <c r="S676" s="256"/>
    </row>
    <row r="677" spans="1:19">
      <c r="A677" s="256"/>
      <c r="B677" s="56"/>
      <c r="C677" s="56"/>
      <c r="D677" s="56"/>
      <c r="E677" s="56"/>
      <c r="F677" s="56"/>
      <c r="G677" s="56"/>
      <c r="H677" s="56"/>
      <c r="I677" s="56"/>
      <c r="J677" s="56"/>
      <c r="K677" s="56"/>
      <c r="L677" s="56"/>
      <c r="M677" s="56"/>
      <c r="N677" s="56"/>
      <c r="O677" s="56"/>
      <c r="P677" s="56"/>
      <c r="Q677" s="56"/>
      <c r="R677" s="2225"/>
      <c r="S677" s="256"/>
    </row>
    <row r="678" spans="1:19">
      <c r="A678" s="256"/>
      <c r="B678" s="56"/>
      <c r="C678" s="56"/>
      <c r="D678" s="56"/>
      <c r="E678" s="56"/>
      <c r="F678" s="56"/>
      <c r="G678" s="56"/>
      <c r="H678" s="56"/>
      <c r="I678" s="56"/>
      <c r="J678" s="56"/>
      <c r="K678" s="56"/>
      <c r="L678" s="56"/>
      <c r="M678" s="56"/>
      <c r="N678" s="56"/>
      <c r="O678" s="56"/>
      <c r="P678" s="56"/>
      <c r="Q678" s="56"/>
      <c r="R678" s="2225"/>
      <c r="S678" s="256"/>
    </row>
    <row r="679" spans="1:19">
      <c r="A679" s="256"/>
      <c r="B679" s="56"/>
      <c r="C679" s="56"/>
      <c r="D679" s="56"/>
      <c r="E679" s="56"/>
      <c r="F679" s="56"/>
      <c r="G679" s="56"/>
      <c r="H679" s="56"/>
      <c r="I679" s="56"/>
      <c r="J679" s="56"/>
      <c r="K679" s="56"/>
      <c r="L679" s="56"/>
      <c r="M679" s="56"/>
      <c r="N679" s="56"/>
      <c r="O679" s="56"/>
      <c r="P679" s="56"/>
      <c r="Q679" s="56"/>
      <c r="R679" s="2225"/>
      <c r="S679" s="256"/>
    </row>
    <row r="680" spans="1:19">
      <c r="A680" s="256"/>
      <c r="B680" s="56"/>
      <c r="C680" s="56"/>
      <c r="D680" s="56"/>
      <c r="E680" s="56"/>
      <c r="F680" s="56"/>
      <c r="G680" s="56"/>
      <c r="H680" s="56"/>
      <c r="I680" s="56"/>
      <c r="J680" s="56"/>
      <c r="K680" s="56"/>
      <c r="L680" s="56"/>
      <c r="M680" s="56"/>
      <c r="N680" s="56"/>
      <c r="O680" s="56"/>
      <c r="P680" s="56"/>
      <c r="Q680" s="56"/>
      <c r="R680" s="2225"/>
      <c r="S680" s="256"/>
    </row>
    <row r="681" spans="1:19">
      <c r="A681" s="256"/>
      <c r="B681" s="56"/>
      <c r="C681" s="56"/>
      <c r="D681" s="56"/>
      <c r="E681" s="56"/>
      <c r="F681" s="56"/>
      <c r="G681" s="56"/>
      <c r="H681" s="56"/>
      <c r="I681" s="56"/>
      <c r="J681" s="56"/>
      <c r="K681" s="56"/>
      <c r="L681" s="56"/>
      <c r="M681" s="56"/>
      <c r="N681" s="56"/>
      <c r="O681" s="56"/>
      <c r="P681" s="56"/>
      <c r="Q681" s="56"/>
      <c r="R681" s="2225"/>
      <c r="S681" s="256"/>
    </row>
    <row r="682" spans="1:19">
      <c r="A682" s="256"/>
      <c r="B682" s="56"/>
      <c r="C682" s="56"/>
      <c r="D682" s="56"/>
      <c r="E682" s="56"/>
      <c r="F682" s="56"/>
      <c r="G682" s="56"/>
      <c r="H682" s="56"/>
      <c r="I682" s="56"/>
      <c r="J682" s="56"/>
      <c r="K682" s="56"/>
      <c r="L682" s="56"/>
      <c r="M682" s="56"/>
      <c r="N682" s="56"/>
      <c r="O682" s="56"/>
      <c r="P682" s="56"/>
      <c r="Q682" s="56"/>
      <c r="R682" s="2225"/>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40" customWidth="1"/>
    <col min="2" max="2" width="13.21875" style="2946" customWidth="1"/>
    <col min="3" max="3" width="15.6640625" style="2946" customWidth="1"/>
    <col min="4" max="4" width="9.33203125" style="2946" bestFit="1" customWidth="1"/>
    <col min="5" max="5" width="13.44140625" style="2946" customWidth="1"/>
    <col min="6" max="6" width="9" style="2946"/>
    <col min="7" max="7" width="9.33203125" style="2946" bestFit="1" customWidth="1"/>
    <col min="8" max="9" width="9" style="2946"/>
    <col min="10" max="10" width="9.33203125" style="2946" bestFit="1" customWidth="1"/>
    <col min="11" max="11" width="4" style="2940" customWidth="1"/>
    <col min="12" max="12" width="5.109375" style="2946" customWidth="1"/>
    <col min="13" max="13" width="13.77734375" style="2946" customWidth="1"/>
    <col min="14" max="256" width="9" style="2946"/>
    <col min="257" max="257" width="4.88671875" style="2938" customWidth="1"/>
    <col min="258" max="258" width="13.21875" style="2938" customWidth="1"/>
    <col min="259" max="259" width="15.6640625" style="2938" customWidth="1"/>
    <col min="260" max="260" width="9.33203125" style="2938" bestFit="1" customWidth="1"/>
    <col min="261" max="261" width="13.44140625" style="2938" customWidth="1"/>
    <col min="262" max="262" width="9" style="2938"/>
    <col min="263" max="263" width="9.33203125" style="2938" bestFit="1" customWidth="1"/>
    <col min="264" max="265" width="9" style="2938"/>
    <col min="266" max="266" width="9.33203125" style="2938" bestFit="1" customWidth="1"/>
    <col min="267" max="267" width="4" style="2938" customWidth="1"/>
    <col min="268" max="268" width="5.109375" style="2938" customWidth="1"/>
    <col min="269" max="269" width="13.77734375" style="2938" customWidth="1"/>
    <col min="270" max="512" width="9" style="2938"/>
    <col min="513" max="513" width="4.88671875" style="2938" customWidth="1"/>
    <col min="514" max="514" width="13.21875" style="2938" customWidth="1"/>
    <col min="515" max="515" width="15.6640625" style="2938" customWidth="1"/>
    <col min="516" max="516" width="9.33203125" style="2938" bestFit="1" customWidth="1"/>
    <col min="517" max="517" width="13.44140625" style="2938" customWidth="1"/>
    <col min="518" max="518" width="9" style="2938"/>
    <col min="519" max="519" width="9.33203125" style="2938" bestFit="1" customWidth="1"/>
    <col min="520" max="521" width="9" style="2938"/>
    <col min="522" max="522" width="9.33203125" style="2938" bestFit="1" customWidth="1"/>
    <col min="523" max="523" width="4" style="2938" customWidth="1"/>
    <col min="524" max="524" width="5.109375" style="2938" customWidth="1"/>
    <col min="525" max="525" width="13.77734375" style="2938" customWidth="1"/>
    <col min="526" max="768" width="9" style="2938"/>
    <col min="769" max="769" width="4.88671875" style="2938" customWidth="1"/>
    <col min="770" max="770" width="13.21875" style="2938" customWidth="1"/>
    <col min="771" max="771" width="15.6640625" style="2938" customWidth="1"/>
    <col min="772" max="772" width="9.33203125" style="2938" bestFit="1" customWidth="1"/>
    <col min="773" max="773" width="13.44140625" style="2938" customWidth="1"/>
    <col min="774" max="774" width="9" style="2938"/>
    <col min="775" max="775" width="9.33203125" style="2938" bestFit="1" customWidth="1"/>
    <col min="776" max="777" width="9" style="2938"/>
    <col min="778" max="778" width="9.33203125" style="2938" bestFit="1" customWidth="1"/>
    <col min="779" max="779" width="4" style="2938" customWidth="1"/>
    <col min="780" max="780" width="5.109375" style="2938" customWidth="1"/>
    <col min="781" max="781" width="13.77734375" style="2938" customWidth="1"/>
    <col min="782" max="1024" width="9" style="2938"/>
    <col min="1025" max="1025" width="4.88671875" style="2938" customWidth="1"/>
    <col min="1026" max="1026" width="13.21875" style="2938" customWidth="1"/>
    <col min="1027" max="1027" width="15.6640625" style="2938" customWidth="1"/>
    <col min="1028" max="1028" width="9.33203125" style="2938" bestFit="1" customWidth="1"/>
    <col min="1029" max="1029" width="13.44140625" style="2938" customWidth="1"/>
    <col min="1030" max="1030" width="9" style="2938"/>
    <col min="1031" max="1031" width="9.33203125" style="2938" bestFit="1" customWidth="1"/>
    <col min="1032" max="1033" width="9" style="2938"/>
    <col min="1034" max="1034" width="9.33203125" style="2938" bestFit="1" customWidth="1"/>
    <col min="1035" max="1035" width="4" style="2938" customWidth="1"/>
    <col min="1036" max="1036" width="5.109375" style="2938" customWidth="1"/>
    <col min="1037" max="1037" width="13.77734375" style="2938" customWidth="1"/>
    <col min="1038" max="1280" width="9" style="2938"/>
    <col min="1281" max="1281" width="4.88671875" style="2938" customWidth="1"/>
    <col min="1282" max="1282" width="13.21875" style="2938" customWidth="1"/>
    <col min="1283" max="1283" width="15.6640625" style="2938" customWidth="1"/>
    <col min="1284" max="1284" width="9.33203125" style="2938" bestFit="1" customWidth="1"/>
    <col min="1285" max="1285" width="13.44140625" style="2938" customWidth="1"/>
    <col min="1286" max="1286" width="9" style="2938"/>
    <col min="1287" max="1287" width="9.33203125" style="2938" bestFit="1" customWidth="1"/>
    <col min="1288" max="1289" width="9" style="2938"/>
    <col min="1290" max="1290" width="9.33203125" style="2938" bestFit="1" customWidth="1"/>
    <col min="1291" max="1291" width="4" style="2938" customWidth="1"/>
    <col min="1292" max="1292" width="5.109375" style="2938" customWidth="1"/>
    <col min="1293" max="1293" width="13.77734375" style="2938" customWidth="1"/>
    <col min="1294" max="1536" width="9" style="2938"/>
    <col min="1537" max="1537" width="4.88671875" style="2938" customWidth="1"/>
    <col min="1538" max="1538" width="13.21875" style="2938" customWidth="1"/>
    <col min="1539" max="1539" width="15.6640625" style="2938" customWidth="1"/>
    <col min="1540" max="1540" width="9.33203125" style="2938" bestFit="1" customWidth="1"/>
    <col min="1541" max="1541" width="13.44140625" style="2938" customWidth="1"/>
    <col min="1542" max="1542" width="9" style="2938"/>
    <col min="1543" max="1543" width="9.33203125" style="2938" bestFit="1" customWidth="1"/>
    <col min="1544" max="1545" width="9" style="2938"/>
    <col min="1546" max="1546" width="9.33203125" style="2938" bestFit="1" customWidth="1"/>
    <col min="1547" max="1547" width="4" style="2938" customWidth="1"/>
    <col min="1548" max="1548" width="5.109375" style="2938" customWidth="1"/>
    <col min="1549" max="1549" width="13.77734375" style="2938" customWidth="1"/>
    <col min="1550" max="1792" width="9" style="2938"/>
    <col min="1793" max="1793" width="4.88671875" style="2938" customWidth="1"/>
    <col min="1794" max="1794" width="13.21875" style="2938" customWidth="1"/>
    <col min="1795" max="1795" width="15.6640625" style="2938" customWidth="1"/>
    <col min="1796" max="1796" width="9.33203125" style="2938" bestFit="1" customWidth="1"/>
    <col min="1797" max="1797" width="13.44140625" style="2938" customWidth="1"/>
    <col min="1798" max="1798" width="9" style="2938"/>
    <col min="1799" max="1799" width="9.33203125" style="2938" bestFit="1" customWidth="1"/>
    <col min="1800" max="1801" width="9" style="2938"/>
    <col min="1802" max="1802" width="9.33203125" style="2938" bestFit="1" customWidth="1"/>
    <col min="1803" max="1803" width="4" style="2938" customWidth="1"/>
    <col min="1804" max="1804" width="5.109375" style="2938" customWidth="1"/>
    <col min="1805" max="1805" width="13.77734375" style="2938" customWidth="1"/>
    <col min="1806" max="2048" width="9" style="2938"/>
    <col min="2049" max="2049" width="4.88671875" style="2938" customWidth="1"/>
    <col min="2050" max="2050" width="13.21875" style="2938" customWidth="1"/>
    <col min="2051" max="2051" width="15.6640625" style="2938" customWidth="1"/>
    <col min="2052" max="2052" width="9.33203125" style="2938" bestFit="1" customWidth="1"/>
    <col min="2053" max="2053" width="13.44140625" style="2938" customWidth="1"/>
    <col min="2054" max="2054" width="9" style="2938"/>
    <col min="2055" max="2055" width="9.33203125" style="2938" bestFit="1" customWidth="1"/>
    <col min="2056" max="2057" width="9" style="2938"/>
    <col min="2058" max="2058" width="9.33203125" style="2938" bestFit="1" customWidth="1"/>
    <col min="2059" max="2059" width="4" style="2938" customWidth="1"/>
    <col min="2060" max="2060" width="5.109375" style="2938" customWidth="1"/>
    <col min="2061" max="2061" width="13.77734375" style="2938" customWidth="1"/>
    <col min="2062" max="2304" width="9" style="2938"/>
    <col min="2305" max="2305" width="4.88671875" style="2938" customWidth="1"/>
    <col min="2306" max="2306" width="13.21875" style="2938" customWidth="1"/>
    <col min="2307" max="2307" width="15.6640625" style="2938" customWidth="1"/>
    <col min="2308" max="2308" width="9.33203125" style="2938" bestFit="1" customWidth="1"/>
    <col min="2309" max="2309" width="13.44140625" style="2938" customWidth="1"/>
    <col min="2310" max="2310" width="9" style="2938"/>
    <col min="2311" max="2311" width="9.33203125" style="2938" bestFit="1" customWidth="1"/>
    <col min="2312" max="2313" width="9" style="2938"/>
    <col min="2314" max="2314" width="9.33203125" style="2938" bestFit="1" customWidth="1"/>
    <col min="2315" max="2315" width="4" style="2938" customWidth="1"/>
    <col min="2316" max="2316" width="5.109375" style="2938" customWidth="1"/>
    <col min="2317" max="2317" width="13.77734375" style="2938" customWidth="1"/>
    <col min="2318" max="2560" width="9" style="2938"/>
    <col min="2561" max="2561" width="4.88671875" style="2938" customWidth="1"/>
    <col min="2562" max="2562" width="13.21875" style="2938" customWidth="1"/>
    <col min="2563" max="2563" width="15.6640625" style="2938" customWidth="1"/>
    <col min="2564" max="2564" width="9.33203125" style="2938" bestFit="1" customWidth="1"/>
    <col min="2565" max="2565" width="13.44140625" style="2938" customWidth="1"/>
    <col min="2566" max="2566" width="9" style="2938"/>
    <col min="2567" max="2567" width="9.33203125" style="2938" bestFit="1" customWidth="1"/>
    <col min="2568" max="2569" width="9" style="2938"/>
    <col min="2570" max="2570" width="9.33203125" style="2938" bestFit="1" customWidth="1"/>
    <col min="2571" max="2571" width="4" style="2938" customWidth="1"/>
    <col min="2572" max="2572" width="5.109375" style="2938" customWidth="1"/>
    <col min="2573" max="2573" width="13.77734375" style="2938" customWidth="1"/>
    <col min="2574" max="2816" width="9" style="2938"/>
    <col min="2817" max="2817" width="4.88671875" style="2938" customWidth="1"/>
    <col min="2818" max="2818" width="13.21875" style="2938" customWidth="1"/>
    <col min="2819" max="2819" width="15.6640625" style="2938" customWidth="1"/>
    <col min="2820" max="2820" width="9.33203125" style="2938" bestFit="1" customWidth="1"/>
    <col min="2821" max="2821" width="13.44140625" style="2938" customWidth="1"/>
    <col min="2822" max="2822" width="9" style="2938"/>
    <col min="2823" max="2823" width="9.33203125" style="2938" bestFit="1" customWidth="1"/>
    <col min="2824" max="2825" width="9" style="2938"/>
    <col min="2826" max="2826" width="9.33203125" style="2938" bestFit="1" customWidth="1"/>
    <col min="2827" max="2827" width="4" style="2938" customWidth="1"/>
    <col min="2828" max="2828" width="5.109375" style="2938" customWidth="1"/>
    <col min="2829" max="2829" width="13.77734375" style="2938" customWidth="1"/>
    <col min="2830" max="3072" width="9" style="2938"/>
    <col min="3073" max="3073" width="4.88671875" style="2938" customWidth="1"/>
    <col min="3074" max="3074" width="13.21875" style="2938" customWidth="1"/>
    <col min="3075" max="3075" width="15.6640625" style="2938" customWidth="1"/>
    <col min="3076" max="3076" width="9.33203125" style="2938" bestFit="1" customWidth="1"/>
    <col min="3077" max="3077" width="13.44140625" style="2938" customWidth="1"/>
    <col min="3078" max="3078" width="9" style="2938"/>
    <col min="3079" max="3079" width="9.33203125" style="2938" bestFit="1" customWidth="1"/>
    <col min="3080" max="3081" width="9" style="2938"/>
    <col min="3082" max="3082" width="9.33203125" style="2938" bestFit="1" customWidth="1"/>
    <col min="3083" max="3083" width="4" style="2938" customWidth="1"/>
    <col min="3084" max="3084" width="5.109375" style="2938" customWidth="1"/>
    <col min="3085" max="3085" width="13.77734375" style="2938" customWidth="1"/>
    <col min="3086" max="3328" width="9" style="2938"/>
    <col min="3329" max="3329" width="4.88671875" style="2938" customWidth="1"/>
    <col min="3330" max="3330" width="13.21875" style="2938" customWidth="1"/>
    <col min="3331" max="3331" width="15.6640625" style="2938" customWidth="1"/>
    <col min="3332" max="3332" width="9.33203125" style="2938" bestFit="1" customWidth="1"/>
    <col min="3333" max="3333" width="13.44140625" style="2938" customWidth="1"/>
    <col min="3334" max="3334" width="9" style="2938"/>
    <col min="3335" max="3335" width="9.33203125" style="2938" bestFit="1" customWidth="1"/>
    <col min="3336" max="3337" width="9" style="2938"/>
    <col min="3338" max="3338" width="9.33203125" style="2938" bestFit="1" customWidth="1"/>
    <col min="3339" max="3339" width="4" style="2938" customWidth="1"/>
    <col min="3340" max="3340" width="5.109375" style="2938" customWidth="1"/>
    <col min="3341" max="3341" width="13.77734375" style="2938" customWidth="1"/>
    <col min="3342" max="3584" width="9" style="2938"/>
    <col min="3585" max="3585" width="4.88671875" style="2938" customWidth="1"/>
    <col min="3586" max="3586" width="13.21875" style="2938" customWidth="1"/>
    <col min="3587" max="3587" width="15.6640625" style="2938" customWidth="1"/>
    <col min="3588" max="3588" width="9.33203125" style="2938" bestFit="1" customWidth="1"/>
    <col min="3589" max="3589" width="13.44140625" style="2938" customWidth="1"/>
    <col min="3590" max="3590" width="9" style="2938"/>
    <col min="3591" max="3591" width="9.33203125" style="2938" bestFit="1" customWidth="1"/>
    <col min="3592" max="3593" width="9" style="2938"/>
    <col min="3594" max="3594" width="9.33203125" style="2938" bestFit="1" customWidth="1"/>
    <col min="3595" max="3595" width="4" style="2938" customWidth="1"/>
    <col min="3596" max="3596" width="5.109375" style="2938" customWidth="1"/>
    <col min="3597" max="3597" width="13.77734375" style="2938" customWidth="1"/>
    <col min="3598" max="3840" width="9" style="2938"/>
    <col min="3841" max="3841" width="4.88671875" style="2938" customWidth="1"/>
    <col min="3842" max="3842" width="13.21875" style="2938" customWidth="1"/>
    <col min="3843" max="3843" width="15.6640625" style="2938" customWidth="1"/>
    <col min="3844" max="3844" width="9.33203125" style="2938" bestFit="1" customWidth="1"/>
    <col min="3845" max="3845" width="13.44140625" style="2938" customWidth="1"/>
    <col min="3846" max="3846" width="9" style="2938"/>
    <col min="3847" max="3847" width="9.33203125" style="2938" bestFit="1" customWidth="1"/>
    <col min="3848" max="3849" width="9" style="2938"/>
    <col min="3850" max="3850" width="9.33203125" style="2938" bestFit="1" customWidth="1"/>
    <col min="3851" max="3851" width="4" style="2938" customWidth="1"/>
    <col min="3852" max="3852" width="5.109375" style="2938" customWidth="1"/>
    <col min="3853" max="3853" width="13.77734375" style="2938" customWidth="1"/>
    <col min="3854" max="4096" width="9" style="2938"/>
    <col min="4097" max="4097" width="4.88671875" style="2938" customWidth="1"/>
    <col min="4098" max="4098" width="13.21875" style="2938" customWidth="1"/>
    <col min="4099" max="4099" width="15.6640625" style="2938" customWidth="1"/>
    <col min="4100" max="4100" width="9.33203125" style="2938" bestFit="1" customWidth="1"/>
    <col min="4101" max="4101" width="13.44140625" style="2938" customWidth="1"/>
    <col min="4102" max="4102" width="9" style="2938"/>
    <col min="4103" max="4103" width="9.33203125" style="2938" bestFit="1" customWidth="1"/>
    <col min="4104" max="4105" width="9" style="2938"/>
    <col min="4106" max="4106" width="9.33203125" style="2938" bestFit="1" customWidth="1"/>
    <col min="4107" max="4107" width="4" style="2938" customWidth="1"/>
    <col min="4108" max="4108" width="5.109375" style="2938" customWidth="1"/>
    <col min="4109" max="4109" width="13.77734375" style="2938" customWidth="1"/>
    <col min="4110" max="4352" width="9" style="2938"/>
    <col min="4353" max="4353" width="4.88671875" style="2938" customWidth="1"/>
    <col min="4354" max="4354" width="13.21875" style="2938" customWidth="1"/>
    <col min="4355" max="4355" width="15.6640625" style="2938" customWidth="1"/>
    <col min="4356" max="4356" width="9.33203125" style="2938" bestFit="1" customWidth="1"/>
    <col min="4357" max="4357" width="13.44140625" style="2938" customWidth="1"/>
    <col min="4358" max="4358" width="9" style="2938"/>
    <col min="4359" max="4359" width="9.33203125" style="2938" bestFit="1" customWidth="1"/>
    <col min="4360" max="4361" width="9" style="2938"/>
    <col min="4362" max="4362" width="9.33203125" style="2938" bestFit="1" customWidth="1"/>
    <col min="4363" max="4363" width="4" style="2938" customWidth="1"/>
    <col min="4364" max="4364" width="5.109375" style="2938" customWidth="1"/>
    <col min="4365" max="4365" width="13.77734375" style="2938" customWidth="1"/>
    <col min="4366" max="4608" width="9" style="2938"/>
    <col min="4609" max="4609" width="4.88671875" style="2938" customWidth="1"/>
    <col min="4610" max="4610" width="13.21875" style="2938" customWidth="1"/>
    <col min="4611" max="4611" width="15.6640625" style="2938" customWidth="1"/>
    <col min="4612" max="4612" width="9.33203125" style="2938" bestFit="1" customWidth="1"/>
    <col min="4613" max="4613" width="13.44140625" style="2938" customWidth="1"/>
    <col min="4614" max="4614" width="9" style="2938"/>
    <col min="4615" max="4615" width="9.33203125" style="2938" bestFit="1" customWidth="1"/>
    <col min="4616" max="4617" width="9" style="2938"/>
    <col min="4618" max="4618" width="9.33203125" style="2938" bestFit="1" customWidth="1"/>
    <col min="4619" max="4619" width="4" style="2938" customWidth="1"/>
    <col min="4620" max="4620" width="5.109375" style="2938" customWidth="1"/>
    <col min="4621" max="4621" width="13.77734375" style="2938" customWidth="1"/>
    <col min="4622" max="4864" width="9" style="2938"/>
    <col min="4865" max="4865" width="4.88671875" style="2938" customWidth="1"/>
    <col min="4866" max="4866" width="13.21875" style="2938" customWidth="1"/>
    <col min="4867" max="4867" width="15.6640625" style="2938" customWidth="1"/>
    <col min="4868" max="4868" width="9.33203125" style="2938" bestFit="1" customWidth="1"/>
    <col min="4869" max="4869" width="13.44140625" style="2938" customWidth="1"/>
    <col min="4870" max="4870" width="9" style="2938"/>
    <col min="4871" max="4871" width="9.33203125" style="2938" bestFit="1" customWidth="1"/>
    <col min="4872" max="4873" width="9" style="2938"/>
    <col min="4874" max="4874" width="9.33203125" style="2938" bestFit="1" customWidth="1"/>
    <col min="4875" max="4875" width="4" style="2938" customWidth="1"/>
    <col min="4876" max="4876" width="5.109375" style="2938" customWidth="1"/>
    <col min="4877" max="4877" width="13.77734375" style="2938" customWidth="1"/>
    <col min="4878" max="5120" width="9" style="2938"/>
    <col min="5121" max="5121" width="4.88671875" style="2938" customWidth="1"/>
    <col min="5122" max="5122" width="13.21875" style="2938" customWidth="1"/>
    <col min="5123" max="5123" width="15.6640625" style="2938" customWidth="1"/>
    <col min="5124" max="5124" width="9.33203125" style="2938" bestFit="1" customWidth="1"/>
    <col min="5125" max="5125" width="13.44140625" style="2938" customWidth="1"/>
    <col min="5126" max="5126" width="9" style="2938"/>
    <col min="5127" max="5127" width="9.33203125" style="2938" bestFit="1" customWidth="1"/>
    <col min="5128" max="5129" width="9" style="2938"/>
    <col min="5130" max="5130" width="9.33203125" style="2938" bestFit="1" customWidth="1"/>
    <col min="5131" max="5131" width="4" style="2938" customWidth="1"/>
    <col min="5132" max="5132" width="5.109375" style="2938" customWidth="1"/>
    <col min="5133" max="5133" width="13.77734375" style="2938" customWidth="1"/>
    <col min="5134" max="5376" width="9" style="2938"/>
    <col min="5377" max="5377" width="4.88671875" style="2938" customWidth="1"/>
    <col min="5378" max="5378" width="13.21875" style="2938" customWidth="1"/>
    <col min="5379" max="5379" width="15.6640625" style="2938" customWidth="1"/>
    <col min="5380" max="5380" width="9.33203125" style="2938" bestFit="1" customWidth="1"/>
    <col min="5381" max="5381" width="13.44140625" style="2938" customWidth="1"/>
    <col min="5382" max="5382" width="9" style="2938"/>
    <col min="5383" max="5383" width="9.33203125" style="2938" bestFit="1" customWidth="1"/>
    <col min="5384" max="5385" width="9" style="2938"/>
    <col min="5386" max="5386" width="9.33203125" style="2938" bestFit="1" customWidth="1"/>
    <col min="5387" max="5387" width="4" style="2938" customWidth="1"/>
    <col min="5388" max="5388" width="5.109375" style="2938" customWidth="1"/>
    <col min="5389" max="5389" width="13.77734375" style="2938" customWidth="1"/>
    <col min="5390" max="5632" width="9" style="2938"/>
    <col min="5633" max="5633" width="4.88671875" style="2938" customWidth="1"/>
    <col min="5634" max="5634" width="13.21875" style="2938" customWidth="1"/>
    <col min="5635" max="5635" width="15.6640625" style="2938" customWidth="1"/>
    <col min="5636" max="5636" width="9.33203125" style="2938" bestFit="1" customWidth="1"/>
    <col min="5637" max="5637" width="13.44140625" style="2938" customWidth="1"/>
    <col min="5638" max="5638" width="9" style="2938"/>
    <col min="5639" max="5639" width="9.33203125" style="2938" bestFit="1" customWidth="1"/>
    <col min="5640" max="5641" width="9" style="2938"/>
    <col min="5642" max="5642" width="9.33203125" style="2938" bestFit="1" customWidth="1"/>
    <col min="5643" max="5643" width="4" style="2938" customWidth="1"/>
    <col min="5644" max="5644" width="5.109375" style="2938" customWidth="1"/>
    <col min="5645" max="5645" width="13.77734375" style="2938" customWidth="1"/>
    <col min="5646" max="5888" width="9" style="2938"/>
    <col min="5889" max="5889" width="4.88671875" style="2938" customWidth="1"/>
    <col min="5890" max="5890" width="13.21875" style="2938" customWidth="1"/>
    <col min="5891" max="5891" width="15.6640625" style="2938" customWidth="1"/>
    <col min="5892" max="5892" width="9.33203125" style="2938" bestFit="1" customWidth="1"/>
    <col min="5893" max="5893" width="13.44140625" style="2938" customWidth="1"/>
    <col min="5894" max="5894" width="9" style="2938"/>
    <col min="5895" max="5895" width="9.33203125" style="2938" bestFit="1" customWidth="1"/>
    <col min="5896" max="5897" width="9" style="2938"/>
    <col min="5898" max="5898" width="9.33203125" style="2938" bestFit="1" customWidth="1"/>
    <col min="5899" max="5899" width="4" style="2938" customWidth="1"/>
    <col min="5900" max="5900" width="5.109375" style="2938" customWidth="1"/>
    <col min="5901" max="5901" width="13.77734375" style="2938" customWidth="1"/>
    <col min="5902" max="6144" width="9" style="2938"/>
    <col min="6145" max="6145" width="4.88671875" style="2938" customWidth="1"/>
    <col min="6146" max="6146" width="13.21875" style="2938" customWidth="1"/>
    <col min="6147" max="6147" width="15.6640625" style="2938" customWidth="1"/>
    <col min="6148" max="6148" width="9.33203125" style="2938" bestFit="1" customWidth="1"/>
    <col min="6149" max="6149" width="13.44140625" style="2938" customWidth="1"/>
    <col min="6150" max="6150" width="9" style="2938"/>
    <col min="6151" max="6151" width="9.33203125" style="2938" bestFit="1" customWidth="1"/>
    <col min="6152" max="6153" width="9" style="2938"/>
    <col min="6154" max="6154" width="9.33203125" style="2938" bestFit="1" customWidth="1"/>
    <col min="6155" max="6155" width="4" style="2938" customWidth="1"/>
    <col min="6156" max="6156" width="5.109375" style="2938" customWidth="1"/>
    <col min="6157" max="6157" width="13.77734375" style="2938" customWidth="1"/>
    <col min="6158" max="6400" width="9" style="2938"/>
    <col min="6401" max="6401" width="4.88671875" style="2938" customWidth="1"/>
    <col min="6402" max="6402" width="13.21875" style="2938" customWidth="1"/>
    <col min="6403" max="6403" width="15.6640625" style="2938" customWidth="1"/>
    <col min="6404" max="6404" width="9.33203125" style="2938" bestFit="1" customWidth="1"/>
    <col min="6405" max="6405" width="13.44140625" style="2938" customWidth="1"/>
    <col min="6406" max="6406" width="9" style="2938"/>
    <col min="6407" max="6407" width="9.33203125" style="2938" bestFit="1" customWidth="1"/>
    <col min="6408" max="6409" width="9" style="2938"/>
    <col min="6410" max="6410" width="9.33203125" style="2938" bestFit="1" customWidth="1"/>
    <col min="6411" max="6411" width="4" style="2938" customWidth="1"/>
    <col min="6412" max="6412" width="5.109375" style="2938" customWidth="1"/>
    <col min="6413" max="6413" width="13.77734375" style="2938" customWidth="1"/>
    <col min="6414" max="6656" width="9" style="2938"/>
    <col min="6657" max="6657" width="4.88671875" style="2938" customWidth="1"/>
    <col min="6658" max="6658" width="13.21875" style="2938" customWidth="1"/>
    <col min="6659" max="6659" width="15.6640625" style="2938" customWidth="1"/>
    <col min="6660" max="6660" width="9.33203125" style="2938" bestFit="1" customWidth="1"/>
    <col min="6661" max="6661" width="13.44140625" style="2938" customWidth="1"/>
    <col min="6662" max="6662" width="9" style="2938"/>
    <col min="6663" max="6663" width="9.33203125" style="2938" bestFit="1" customWidth="1"/>
    <col min="6664" max="6665" width="9" style="2938"/>
    <col min="6666" max="6666" width="9.33203125" style="2938" bestFit="1" customWidth="1"/>
    <col min="6667" max="6667" width="4" style="2938" customWidth="1"/>
    <col min="6668" max="6668" width="5.109375" style="2938" customWidth="1"/>
    <col min="6669" max="6669" width="13.77734375" style="2938" customWidth="1"/>
    <col min="6670" max="6912" width="9" style="2938"/>
    <col min="6913" max="6913" width="4.88671875" style="2938" customWidth="1"/>
    <col min="6914" max="6914" width="13.21875" style="2938" customWidth="1"/>
    <col min="6915" max="6915" width="15.6640625" style="2938" customWidth="1"/>
    <col min="6916" max="6916" width="9.33203125" style="2938" bestFit="1" customWidth="1"/>
    <col min="6917" max="6917" width="13.44140625" style="2938" customWidth="1"/>
    <col min="6918" max="6918" width="9" style="2938"/>
    <col min="6919" max="6919" width="9.33203125" style="2938" bestFit="1" customWidth="1"/>
    <col min="6920" max="6921" width="9" style="2938"/>
    <col min="6922" max="6922" width="9.33203125" style="2938" bestFit="1" customWidth="1"/>
    <col min="6923" max="6923" width="4" style="2938" customWidth="1"/>
    <col min="6924" max="6924" width="5.109375" style="2938" customWidth="1"/>
    <col min="6925" max="6925" width="13.77734375" style="2938" customWidth="1"/>
    <col min="6926" max="7168" width="9" style="2938"/>
    <col min="7169" max="7169" width="4.88671875" style="2938" customWidth="1"/>
    <col min="7170" max="7170" width="13.21875" style="2938" customWidth="1"/>
    <col min="7171" max="7171" width="15.6640625" style="2938" customWidth="1"/>
    <col min="7172" max="7172" width="9.33203125" style="2938" bestFit="1" customWidth="1"/>
    <col min="7173" max="7173" width="13.44140625" style="2938" customWidth="1"/>
    <col min="7174" max="7174" width="9" style="2938"/>
    <col min="7175" max="7175" width="9.33203125" style="2938" bestFit="1" customWidth="1"/>
    <col min="7176" max="7177" width="9" style="2938"/>
    <col min="7178" max="7178" width="9.33203125" style="2938" bestFit="1" customWidth="1"/>
    <col min="7179" max="7179" width="4" style="2938" customWidth="1"/>
    <col min="7180" max="7180" width="5.109375" style="2938" customWidth="1"/>
    <col min="7181" max="7181" width="13.77734375" style="2938" customWidth="1"/>
    <col min="7182" max="7424" width="9" style="2938"/>
    <col min="7425" max="7425" width="4.88671875" style="2938" customWidth="1"/>
    <col min="7426" max="7426" width="13.21875" style="2938" customWidth="1"/>
    <col min="7427" max="7427" width="15.6640625" style="2938" customWidth="1"/>
    <col min="7428" max="7428" width="9.33203125" style="2938" bestFit="1" customWidth="1"/>
    <col min="7429" max="7429" width="13.44140625" style="2938" customWidth="1"/>
    <col min="7430" max="7430" width="9" style="2938"/>
    <col min="7431" max="7431" width="9.33203125" style="2938" bestFit="1" customWidth="1"/>
    <col min="7432" max="7433" width="9" style="2938"/>
    <col min="7434" max="7434" width="9.33203125" style="2938" bestFit="1" customWidth="1"/>
    <col min="7435" max="7435" width="4" style="2938" customWidth="1"/>
    <col min="7436" max="7436" width="5.109375" style="2938" customWidth="1"/>
    <col min="7437" max="7437" width="13.77734375" style="2938" customWidth="1"/>
    <col min="7438" max="7680" width="9" style="2938"/>
    <col min="7681" max="7681" width="4.88671875" style="2938" customWidth="1"/>
    <col min="7682" max="7682" width="13.21875" style="2938" customWidth="1"/>
    <col min="7683" max="7683" width="15.6640625" style="2938" customWidth="1"/>
    <col min="7684" max="7684" width="9.33203125" style="2938" bestFit="1" customWidth="1"/>
    <col min="7685" max="7685" width="13.44140625" style="2938" customWidth="1"/>
    <col min="7686" max="7686" width="9" style="2938"/>
    <col min="7687" max="7687" width="9.33203125" style="2938" bestFit="1" customWidth="1"/>
    <col min="7688" max="7689" width="9" style="2938"/>
    <col min="7690" max="7690" width="9.33203125" style="2938" bestFit="1" customWidth="1"/>
    <col min="7691" max="7691" width="4" style="2938" customWidth="1"/>
    <col min="7692" max="7692" width="5.109375" style="2938" customWidth="1"/>
    <col min="7693" max="7693" width="13.77734375" style="2938" customWidth="1"/>
    <col min="7694" max="7936" width="9" style="2938"/>
    <col min="7937" max="7937" width="4.88671875" style="2938" customWidth="1"/>
    <col min="7938" max="7938" width="13.21875" style="2938" customWidth="1"/>
    <col min="7939" max="7939" width="15.6640625" style="2938" customWidth="1"/>
    <col min="7940" max="7940" width="9.33203125" style="2938" bestFit="1" customWidth="1"/>
    <col min="7941" max="7941" width="13.44140625" style="2938" customWidth="1"/>
    <col min="7942" max="7942" width="9" style="2938"/>
    <col min="7943" max="7943" width="9.33203125" style="2938" bestFit="1" customWidth="1"/>
    <col min="7944" max="7945" width="9" style="2938"/>
    <col min="7946" max="7946" width="9.33203125" style="2938" bestFit="1" customWidth="1"/>
    <col min="7947" max="7947" width="4" style="2938" customWidth="1"/>
    <col min="7948" max="7948" width="5.109375" style="2938" customWidth="1"/>
    <col min="7949" max="7949" width="13.77734375" style="2938" customWidth="1"/>
    <col min="7950" max="8192" width="9" style="2938"/>
    <col min="8193" max="8193" width="4.88671875" style="2938" customWidth="1"/>
    <col min="8194" max="8194" width="13.21875" style="2938" customWidth="1"/>
    <col min="8195" max="8195" width="15.6640625" style="2938" customWidth="1"/>
    <col min="8196" max="8196" width="9.33203125" style="2938" bestFit="1" customWidth="1"/>
    <col min="8197" max="8197" width="13.44140625" style="2938" customWidth="1"/>
    <col min="8198" max="8198" width="9" style="2938"/>
    <col min="8199" max="8199" width="9.33203125" style="2938" bestFit="1" customWidth="1"/>
    <col min="8200" max="8201" width="9" style="2938"/>
    <col min="8202" max="8202" width="9.33203125" style="2938" bestFit="1" customWidth="1"/>
    <col min="8203" max="8203" width="4" style="2938" customWidth="1"/>
    <col min="8204" max="8204" width="5.109375" style="2938" customWidth="1"/>
    <col min="8205" max="8205" width="13.77734375" style="2938" customWidth="1"/>
    <col min="8206" max="8448" width="9" style="2938"/>
    <col min="8449" max="8449" width="4.88671875" style="2938" customWidth="1"/>
    <col min="8450" max="8450" width="13.21875" style="2938" customWidth="1"/>
    <col min="8451" max="8451" width="15.6640625" style="2938" customWidth="1"/>
    <col min="8452" max="8452" width="9.33203125" style="2938" bestFit="1" customWidth="1"/>
    <col min="8453" max="8453" width="13.44140625" style="2938" customWidth="1"/>
    <col min="8454" max="8454" width="9" style="2938"/>
    <col min="8455" max="8455" width="9.33203125" style="2938" bestFit="1" customWidth="1"/>
    <col min="8456" max="8457" width="9" style="2938"/>
    <col min="8458" max="8458" width="9.33203125" style="2938" bestFit="1" customWidth="1"/>
    <col min="8459" max="8459" width="4" style="2938" customWidth="1"/>
    <col min="8460" max="8460" width="5.109375" style="2938" customWidth="1"/>
    <col min="8461" max="8461" width="13.77734375" style="2938" customWidth="1"/>
    <col min="8462" max="8704" width="9" style="2938"/>
    <col min="8705" max="8705" width="4.88671875" style="2938" customWidth="1"/>
    <col min="8706" max="8706" width="13.21875" style="2938" customWidth="1"/>
    <col min="8707" max="8707" width="15.6640625" style="2938" customWidth="1"/>
    <col min="8708" max="8708" width="9.33203125" style="2938" bestFit="1" customWidth="1"/>
    <col min="8709" max="8709" width="13.44140625" style="2938" customWidth="1"/>
    <col min="8710" max="8710" width="9" style="2938"/>
    <col min="8711" max="8711" width="9.33203125" style="2938" bestFit="1" customWidth="1"/>
    <col min="8712" max="8713" width="9" style="2938"/>
    <col min="8714" max="8714" width="9.33203125" style="2938" bestFit="1" customWidth="1"/>
    <col min="8715" max="8715" width="4" style="2938" customWidth="1"/>
    <col min="8716" max="8716" width="5.109375" style="2938" customWidth="1"/>
    <col min="8717" max="8717" width="13.77734375" style="2938" customWidth="1"/>
    <col min="8718" max="8960" width="9" style="2938"/>
    <col min="8961" max="8961" width="4.88671875" style="2938" customWidth="1"/>
    <col min="8962" max="8962" width="13.21875" style="2938" customWidth="1"/>
    <col min="8963" max="8963" width="15.6640625" style="2938" customWidth="1"/>
    <col min="8964" max="8964" width="9.33203125" style="2938" bestFit="1" customWidth="1"/>
    <col min="8965" max="8965" width="13.44140625" style="2938" customWidth="1"/>
    <col min="8966" max="8966" width="9" style="2938"/>
    <col min="8967" max="8967" width="9.33203125" style="2938" bestFit="1" customWidth="1"/>
    <col min="8968" max="8969" width="9" style="2938"/>
    <col min="8970" max="8970" width="9.33203125" style="2938" bestFit="1" customWidth="1"/>
    <col min="8971" max="8971" width="4" style="2938" customWidth="1"/>
    <col min="8972" max="8972" width="5.109375" style="2938" customWidth="1"/>
    <col min="8973" max="8973" width="13.77734375" style="2938" customWidth="1"/>
    <col min="8974" max="9216" width="9" style="2938"/>
    <col min="9217" max="9217" width="4.88671875" style="2938" customWidth="1"/>
    <col min="9218" max="9218" width="13.21875" style="2938" customWidth="1"/>
    <col min="9219" max="9219" width="15.6640625" style="2938" customWidth="1"/>
    <col min="9220" max="9220" width="9.33203125" style="2938" bestFit="1" customWidth="1"/>
    <col min="9221" max="9221" width="13.44140625" style="2938" customWidth="1"/>
    <col min="9222" max="9222" width="9" style="2938"/>
    <col min="9223" max="9223" width="9.33203125" style="2938" bestFit="1" customWidth="1"/>
    <col min="9224" max="9225" width="9" style="2938"/>
    <col min="9226" max="9226" width="9.33203125" style="2938" bestFit="1" customWidth="1"/>
    <col min="9227" max="9227" width="4" style="2938" customWidth="1"/>
    <col min="9228" max="9228" width="5.109375" style="2938" customWidth="1"/>
    <col min="9229" max="9229" width="13.77734375" style="2938" customWidth="1"/>
    <col min="9230" max="9472" width="9" style="2938"/>
    <col min="9473" max="9473" width="4.88671875" style="2938" customWidth="1"/>
    <col min="9474" max="9474" width="13.21875" style="2938" customWidth="1"/>
    <col min="9475" max="9475" width="15.6640625" style="2938" customWidth="1"/>
    <col min="9476" max="9476" width="9.33203125" style="2938" bestFit="1" customWidth="1"/>
    <col min="9477" max="9477" width="13.44140625" style="2938" customWidth="1"/>
    <col min="9478" max="9478" width="9" style="2938"/>
    <col min="9479" max="9479" width="9.33203125" style="2938" bestFit="1" customWidth="1"/>
    <col min="9480" max="9481" width="9" style="2938"/>
    <col min="9482" max="9482" width="9.33203125" style="2938" bestFit="1" customWidth="1"/>
    <col min="9483" max="9483" width="4" style="2938" customWidth="1"/>
    <col min="9484" max="9484" width="5.109375" style="2938" customWidth="1"/>
    <col min="9485" max="9485" width="13.77734375" style="2938" customWidth="1"/>
    <col min="9486" max="9728" width="9" style="2938"/>
    <col min="9729" max="9729" width="4.88671875" style="2938" customWidth="1"/>
    <col min="9730" max="9730" width="13.21875" style="2938" customWidth="1"/>
    <col min="9731" max="9731" width="15.6640625" style="2938" customWidth="1"/>
    <col min="9732" max="9732" width="9.33203125" style="2938" bestFit="1" customWidth="1"/>
    <col min="9733" max="9733" width="13.44140625" style="2938" customWidth="1"/>
    <col min="9734" max="9734" width="9" style="2938"/>
    <col min="9735" max="9735" width="9.33203125" style="2938" bestFit="1" customWidth="1"/>
    <col min="9736" max="9737" width="9" style="2938"/>
    <col min="9738" max="9738" width="9.33203125" style="2938" bestFit="1" customWidth="1"/>
    <col min="9739" max="9739" width="4" style="2938" customWidth="1"/>
    <col min="9740" max="9740" width="5.109375" style="2938" customWidth="1"/>
    <col min="9741" max="9741" width="13.77734375" style="2938" customWidth="1"/>
    <col min="9742" max="9984" width="9" style="2938"/>
    <col min="9985" max="9985" width="4.88671875" style="2938" customWidth="1"/>
    <col min="9986" max="9986" width="13.21875" style="2938" customWidth="1"/>
    <col min="9987" max="9987" width="15.6640625" style="2938" customWidth="1"/>
    <col min="9988" max="9988" width="9.33203125" style="2938" bestFit="1" customWidth="1"/>
    <col min="9989" max="9989" width="13.44140625" style="2938" customWidth="1"/>
    <col min="9990" max="9990" width="9" style="2938"/>
    <col min="9991" max="9991" width="9.33203125" style="2938" bestFit="1" customWidth="1"/>
    <col min="9992" max="9993" width="9" style="2938"/>
    <col min="9994" max="9994" width="9.33203125" style="2938" bestFit="1" customWidth="1"/>
    <col min="9995" max="9995" width="4" style="2938" customWidth="1"/>
    <col min="9996" max="9996" width="5.109375" style="2938" customWidth="1"/>
    <col min="9997" max="9997" width="13.77734375" style="2938" customWidth="1"/>
    <col min="9998" max="10240" width="9" style="2938"/>
    <col min="10241" max="10241" width="4.88671875" style="2938" customWidth="1"/>
    <col min="10242" max="10242" width="13.21875" style="2938" customWidth="1"/>
    <col min="10243" max="10243" width="15.6640625" style="2938" customWidth="1"/>
    <col min="10244" max="10244" width="9.33203125" style="2938" bestFit="1" customWidth="1"/>
    <col min="10245" max="10245" width="13.44140625" style="2938" customWidth="1"/>
    <col min="10246" max="10246" width="9" style="2938"/>
    <col min="10247" max="10247" width="9.33203125" style="2938" bestFit="1" customWidth="1"/>
    <col min="10248" max="10249" width="9" style="2938"/>
    <col min="10250" max="10250" width="9.33203125" style="2938" bestFit="1" customWidth="1"/>
    <col min="10251" max="10251" width="4" style="2938" customWidth="1"/>
    <col min="10252" max="10252" width="5.109375" style="2938" customWidth="1"/>
    <col min="10253" max="10253" width="13.77734375" style="2938" customWidth="1"/>
    <col min="10254" max="10496" width="9" style="2938"/>
    <col min="10497" max="10497" width="4.88671875" style="2938" customWidth="1"/>
    <col min="10498" max="10498" width="13.21875" style="2938" customWidth="1"/>
    <col min="10499" max="10499" width="15.6640625" style="2938" customWidth="1"/>
    <col min="10500" max="10500" width="9.33203125" style="2938" bestFit="1" customWidth="1"/>
    <col min="10501" max="10501" width="13.44140625" style="2938" customWidth="1"/>
    <col min="10502" max="10502" width="9" style="2938"/>
    <col min="10503" max="10503" width="9.33203125" style="2938" bestFit="1" customWidth="1"/>
    <col min="10504" max="10505" width="9" style="2938"/>
    <col min="10506" max="10506" width="9.33203125" style="2938" bestFit="1" customWidth="1"/>
    <col min="10507" max="10507" width="4" style="2938" customWidth="1"/>
    <col min="10508" max="10508" width="5.109375" style="2938" customWidth="1"/>
    <col min="10509" max="10509" width="13.77734375" style="2938" customWidth="1"/>
    <col min="10510" max="10752" width="9" style="2938"/>
    <col min="10753" max="10753" width="4.88671875" style="2938" customWidth="1"/>
    <col min="10754" max="10754" width="13.21875" style="2938" customWidth="1"/>
    <col min="10755" max="10755" width="15.6640625" style="2938" customWidth="1"/>
    <col min="10756" max="10756" width="9.33203125" style="2938" bestFit="1" customWidth="1"/>
    <col min="10757" max="10757" width="13.44140625" style="2938" customWidth="1"/>
    <col min="10758" max="10758" width="9" style="2938"/>
    <col min="10759" max="10759" width="9.33203125" style="2938" bestFit="1" customWidth="1"/>
    <col min="10760" max="10761" width="9" style="2938"/>
    <col min="10762" max="10762" width="9.33203125" style="2938" bestFit="1" customWidth="1"/>
    <col min="10763" max="10763" width="4" style="2938" customWidth="1"/>
    <col min="10764" max="10764" width="5.109375" style="2938" customWidth="1"/>
    <col min="10765" max="10765" width="13.77734375" style="2938" customWidth="1"/>
    <col min="10766" max="11008" width="9" style="2938"/>
    <col min="11009" max="11009" width="4.88671875" style="2938" customWidth="1"/>
    <col min="11010" max="11010" width="13.21875" style="2938" customWidth="1"/>
    <col min="11011" max="11011" width="15.6640625" style="2938" customWidth="1"/>
    <col min="11012" max="11012" width="9.33203125" style="2938" bestFit="1" customWidth="1"/>
    <col min="11013" max="11013" width="13.44140625" style="2938" customWidth="1"/>
    <col min="11014" max="11014" width="9" style="2938"/>
    <col min="11015" max="11015" width="9.33203125" style="2938" bestFit="1" customWidth="1"/>
    <col min="11016" max="11017" width="9" style="2938"/>
    <col min="11018" max="11018" width="9.33203125" style="2938" bestFit="1" customWidth="1"/>
    <col min="11019" max="11019" width="4" style="2938" customWidth="1"/>
    <col min="11020" max="11020" width="5.109375" style="2938" customWidth="1"/>
    <col min="11021" max="11021" width="13.77734375" style="2938" customWidth="1"/>
    <col min="11022" max="11264" width="9" style="2938"/>
    <col min="11265" max="11265" width="4.88671875" style="2938" customWidth="1"/>
    <col min="11266" max="11266" width="13.21875" style="2938" customWidth="1"/>
    <col min="11267" max="11267" width="15.6640625" style="2938" customWidth="1"/>
    <col min="11268" max="11268" width="9.33203125" style="2938" bestFit="1" customWidth="1"/>
    <col min="11269" max="11269" width="13.44140625" style="2938" customWidth="1"/>
    <col min="11270" max="11270" width="9" style="2938"/>
    <col min="11271" max="11271" width="9.33203125" style="2938" bestFit="1" customWidth="1"/>
    <col min="11272" max="11273" width="9" style="2938"/>
    <col min="11274" max="11274" width="9.33203125" style="2938" bestFit="1" customWidth="1"/>
    <col min="11275" max="11275" width="4" style="2938" customWidth="1"/>
    <col min="11276" max="11276" width="5.109375" style="2938" customWidth="1"/>
    <col min="11277" max="11277" width="13.77734375" style="2938" customWidth="1"/>
    <col min="11278" max="11520" width="9" style="2938"/>
    <col min="11521" max="11521" width="4.88671875" style="2938" customWidth="1"/>
    <col min="11522" max="11522" width="13.21875" style="2938" customWidth="1"/>
    <col min="11523" max="11523" width="15.6640625" style="2938" customWidth="1"/>
    <col min="11524" max="11524" width="9.33203125" style="2938" bestFit="1" customWidth="1"/>
    <col min="11525" max="11525" width="13.44140625" style="2938" customWidth="1"/>
    <col min="11526" max="11526" width="9" style="2938"/>
    <col min="11527" max="11527" width="9.33203125" style="2938" bestFit="1" customWidth="1"/>
    <col min="11528" max="11529" width="9" style="2938"/>
    <col min="11530" max="11530" width="9.33203125" style="2938" bestFit="1" customWidth="1"/>
    <col min="11531" max="11531" width="4" style="2938" customWidth="1"/>
    <col min="11532" max="11532" width="5.109375" style="2938" customWidth="1"/>
    <col min="11533" max="11533" width="13.77734375" style="2938" customWidth="1"/>
    <col min="11534" max="11776" width="9" style="2938"/>
    <col min="11777" max="11777" width="4.88671875" style="2938" customWidth="1"/>
    <col min="11778" max="11778" width="13.21875" style="2938" customWidth="1"/>
    <col min="11779" max="11779" width="15.6640625" style="2938" customWidth="1"/>
    <col min="11780" max="11780" width="9.33203125" style="2938" bestFit="1" customWidth="1"/>
    <col min="11781" max="11781" width="13.44140625" style="2938" customWidth="1"/>
    <col min="11782" max="11782" width="9" style="2938"/>
    <col min="11783" max="11783" width="9.33203125" style="2938" bestFit="1" customWidth="1"/>
    <col min="11784" max="11785" width="9" style="2938"/>
    <col min="11786" max="11786" width="9.33203125" style="2938" bestFit="1" customWidth="1"/>
    <col min="11787" max="11787" width="4" style="2938" customWidth="1"/>
    <col min="11788" max="11788" width="5.109375" style="2938" customWidth="1"/>
    <col min="11789" max="11789" width="13.77734375" style="2938" customWidth="1"/>
    <col min="11790" max="12032" width="9" style="2938"/>
    <col min="12033" max="12033" width="4.88671875" style="2938" customWidth="1"/>
    <col min="12034" max="12034" width="13.21875" style="2938" customWidth="1"/>
    <col min="12035" max="12035" width="15.6640625" style="2938" customWidth="1"/>
    <col min="12036" max="12036" width="9.33203125" style="2938" bestFit="1" customWidth="1"/>
    <col min="12037" max="12037" width="13.44140625" style="2938" customWidth="1"/>
    <col min="12038" max="12038" width="9" style="2938"/>
    <col min="12039" max="12039" width="9.33203125" style="2938" bestFit="1" customWidth="1"/>
    <col min="12040" max="12041" width="9" style="2938"/>
    <col min="12042" max="12042" width="9.33203125" style="2938" bestFit="1" customWidth="1"/>
    <col min="12043" max="12043" width="4" style="2938" customWidth="1"/>
    <col min="12044" max="12044" width="5.109375" style="2938" customWidth="1"/>
    <col min="12045" max="12045" width="13.77734375" style="2938" customWidth="1"/>
    <col min="12046" max="12288" width="9" style="2938"/>
    <col min="12289" max="12289" width="4.88671875" style="2938" customWidth="1"/>
    <col min="12290" max="12290" width="13.21875" style="2938" customWidth="1"/>
    <col min="12291" max="12291" width="15.6640625" style="2938" customWidth="1"/>
    <col min="12292" max="12292" width="9.33203125" style="2938" bestFit="1" customWidth="1"/>
    <col min="12293" max="12293" width="13.44140625" style="2938" customWidth="1"/>
    <col min="12294" max="12294" width="9" style="2938"/>
    <col min="12295" max="12295" width="9.33203125" style="2938" bestFit="1" customWidth="1"/>
    <col min="12296" max="12297" width="9" style="2938"/>
    <col min="12298" max="12298" width="9.33203125" style="2938" bestFit="1" customWidth="1"/>
    <col min="12299" max="12299" width="4" style="2938" customWidth="1"/>
    <col min="12300" max="12300" width="5.109375" style="2938" customWidth="1"/>
    <col min="12301" max="12301" width="13.77734375" style="2938" customWidth="1"/>
    <col min="12302" max="12544" width="9" style="2938"/>
    <col min="12545" max="12545" width="4.88671875" style="2938" customWidth="1"/>
    <col min="12546" max="12546" width="13.21875" style="2938" customWidth="1"/>
    <col min="12547" max="12547" width="15.6640625" style="2938" customWidth="1"/>
    <col min="12548" max="12548" width="9.33203125" style="2938" bestFit="1" customWidth="1"/>
    <col min="12549" max="12549" width="13.44140625" style="2938" customWidth="1"/>
    <col min="12550" max="12550" width="9" style="2938"/>
    <col min="12551" max="12551" width="9.33203125" style="2938" bestFit="1" customWidth="1"/>
    <col min="12552" max="12553" width="9" style="2938"/>
    <col min="12554" max="12554" width="9.33203125" style="2938" bestFit="1" customWidth="1"/>
    <col min="12555" max="12555" width="4" style="2938" customWidth="1"/>
    <col min="12556" max="12556" width="5.109375" style="2938" customWidth="1"/>
    <col min="12557" max="12557" width="13.77734375" style="2938" customWidth="1"/>
    <col min="12558" max="12800" width="9" style="2938"/>
    <col min="12801" max="12801" width="4.88671875" style="2938" customWidth="1"/>
    <col min="12802" max="12802" width="13.21875" style="2938" customWidth="1"/>
    <col min="12803" max="12803" width="15.6640625" style="2938" customWidth="1"/>
    <col min="12804" max="12804" width="9.33203125" style="2938" bestFit="1" customWidth="1"/>
    <col min="12805" max="12805" width="13.44140625" style="2938" customWidth="1"/>
    <col min="12806" max="12806" width="9" style="2938"/>
    <col min="12807" max="12807" width="9.33203125" style="2938" bestFit="1" customWidth="1"/>
    <col min="12808" max="12809" width="9" style="2938"/>
    <col min="12810" max="12810" width="9.33203125" style="2938" bestFit="1" customWidth="1"/>
    <col min="12811" max="12811" width="4" style="2938" customWidth="1"/>
    <col min="12812" max="12812" width="5.109375" style="2938" customWidth="1"/>
    <col min="12813" max="12813" width="13.77734375" style="2938" customWidth="1"/>
    <col min="12814" max="13056" width="9" style="2938"/>
    <col min="13057" max="13057" width="4.88671875" style="2938" customWidth="1"/>
    <col min="13058" max="13058" width="13.21875" style="2938" customWidth="1"/>
    <col min="13059" max="13059" width="15.6640625" style="2938" customWidth="1"/>
    <col min="13060" max="13060" width="9.33203125" style="2938" bestFit="1" customWidth="1"/>
    <col min="13061" max="13061" width="13.44140625" style="2938" customWidth="1"/>
    <col min="13062" max="13062" width="9" style="2938"/>
    <col min="13063" max="13063" width="9.33203125" style="2938" bestFit="1" customWidth="1"/>
    <col min="13064" max="13065" width="9" style="2938"/>
    <col min="13066" max="13066" width="9.33203125" style="2938" bestFit="1" customWidth="1"/>
    <col min="13067" max="13067" width="4" style="2938" customWidth="1"/>
    <col min="13068" max="13068" width="5.109375" style="2938" customWidth="1"/>
    <col min="13069" max="13069" width="13.77734375" style="2938" customWidth="1"/>
    <col min="13070" max="13312" width="9" style="2938"/>
    <col min="13313" max="13313" width="4.88671875" style="2938" customWidth="1"/>
    <col min="13314" max="13314" width="13.21875" style="2938" customWidth="1"/>
    <col min="13315" max="13315" width="15.6640625" style="2938" customWidth="1"/>
    <col min="13316" max="13316" width="9.33203125" style="2938" bestFit="1" customWidth="1"/>
    <col min="13317" max="13317" width="13.44140625" style="2938" customWidth="1"/>
    <col min="13318" max="13318" width="9" style="2938"/>
    <col min="13319" max="13319" width="9.33203125" style="2938" bestFit="1" customWidth="1"/>
    <col min="13320" max="13321" width="9" style="2938"/>
    <col min="13322" max="13322" width="9.33203125" style="2938" bestFit="1" customWidth="1"/>
    <col min="13323" max="13323" width="4" style="2938" customWidth="1"/>
    <col min="13324" max="13324" width="5.109375" style="2938" customWidth="1"/>
    <col min="13325" max="13325" width="13.77734375" style="2938" customWidth="1"/>
    <col min="13326" max="13568" width="9" style="2938"/>
    <col min="13569" max="13569" width="4.88671875" style="2938" customWidth="1"/>
    <col min="13570" max="13570" width="13.21875" style="2938" customWidth="1"/>
    <col min="13571" max="13571" width="15.6640625" style="2938" customWidth="1"/>
    <col min="13572" max="13572" width="9.33203125" style="2938" bestFit="1" customWidth="1"/>
    <col min="13573" max="13573" width="13.44140625" style="2938" customWidth="1"/>
    <col min="13574" max="13574" width="9" style="2938"/>
    <col min="13575" max="13575" width="9.33203125" style="2938" bestFit="1" customWidth="1"/>
    <col min="13576" max="13577" width="9" style="2938"/>
    <col min="13578" max="13578" width="9.33203125" style="2938" bestFit="1" customWidth="1"/>
    <col min="13579" max="13579" width="4" style="2938" customWidth="1"/>
    <col min="13580" max="13580" width="5.109375" style="2938" customWidth="1"/>
    <col min="13581" max="13581" width="13.77734375" style="2938" customWidth="1"/>
    <col min="13582" max="13824" width="9" style="2938"/>
    <col min="13825" max="13825" width="4.88671875" style="2938" customWidth="1"/>
    <col min="13826" max="13826" width="13.21875" style="2938" customWidth="1"/>
    <col min="13827" max="13827" width="15.6640625" style="2938" customWidth="1"/>
    <col min="13828" max="13828" width="9.33203125" style="2938" bestFit="1" customWidth="1"/>
    <col min="13829" max="13829" width="13.44140625" style="2938" customWidth="1"/>
    <col min="13830" max="13830" width="9" style="2938"/>
    <col min="13831" max="13831" width="9.33203125" style="2938" bestFit="1" customWidth="1"/>
    <col min="13832" max="13833" width="9" style="2938"/>
    <col min="13834" max="13834" width="9.33203125" style="2938" bestFit="1" customWidth="1"/>
    <col min="13835" max="13835" width="4" style="2938" customWidth="1"/>
    <col min="13836" max="13836" width="5.109375" style="2938" customWidth="1"/>
    <col min="13837" max="13837" width="13.77734375" style="2938" customWidth="1"/>
    <col min="13838" max="14080" width="9" style="2938"/>
    <col min="14081" max="14081" width="4.88671875" style="2938" customWidth="1"/>
    <col min="14082" max="14082" width="13.21875" style="2938" customWidth="1"/>
    <col min="14083" max="14083" width="15.6640625" style="2938" customWidth="1"/>
    <col min="14084" max="14084" width="9.33203125" style="2938" bestFit="1" customWidth="1"/>
    <col min="14085" max="14085" width="13.44140625" style="2938" customWidth="1"/>
    <col min="14086" max="14086" width="9" style="2938"/>
    <col min="14087" max="14087" width="9.33203125" style="2938" bestFit="1" customWidth="1"/>
    <col min="14088" max="14089" width="9" style="2938"/>
    <col min="14090" max="14090" width="9.33203125" style="2938" bestFit="1" customWidth="1"/>
    <col min="14091" max="14091" width="4" style="2938" customWidth="1"/>
    <col min="14092" max="14092" width="5.109375" style="2938" customWidth="1"/>
    <col min="14093" max="14093" width="13.77734375" style="2938" customWidth="1"/>
    <col min="14094" max="14336" width="9" style="2938"/>
    <col min="14337" max="14337" width="4.88671875" style="2938" customWidth="1"/>
    <col min="14338" max="14338" width="13.21875" style="2938" customWidth="1"/>
    <col min="14339" max="14339" width="15.6640625" style="2938" customWidth="1"/>
    <col min="14340" max="14340" width="9.33203125" style="2938" bestFit="1" customWidth="1"/>
    <col min="14341" max="14341" width="13.44140625" style="2938" customWidth="1"/>
    <col min="14342" max="14342" width="9" style="2938"/>
    <col min="14343" max="14343" width="9.33203125" style="2938" bestFit="1" customWidth="1"/>
    <col min="14344" max="14345" width="9" style="2938"/>
    <col min="14346" max="14346" width="9.33203125" style="2938" bestFit="1" customWidth="1"/>
    <col min="14347" max="14347" width="4" style="2938" customWidth="1"/>
    <col min="14348" max="14348" width="5.109375" style="2938" customWidth="1"/>
    <col min="14349" max="14349" width="13.77734375" style="2938" customWidth="1"/>
    <col min="14350" max="14592" width="9" style="2938"/>
    <col min="14593" max="14593" width="4.88671875" style="2938" customWidth="1"/>
    <col min="14594" max="14594" width="13.21875" style="2938" customWidth="1"/>
    <col min="14595" max="14595" width="15.6640625" style="2938" customWidth="1"/>
    <col min="14596" max="14596" width="9.33203125" style="2938" bestFit="1" customWidth="1"/>
    <col min="14597" max="14597" width="13.44140625" style="2938" customWidth="1"/>
    <col min="14598" max="14598" width="9" style="2938"/>
    <col min="14599" max="14599" width="9.33203125" style="2938" bestFit="1" customWidth="1"/>
    <col min="14600" max="14601" width="9" style="2938"/>
    <col min="14602" max="14602" width="9.33203125" style="2938" bestFit="1" customWidth="1"/>
    <col min="14603" max="14603" width="4" style="2938" customWidth="1"/>
    <col min="14604" max="14604" width="5.109375" style="2938" customWidth="1"/>
    <col min="14605" max="14605" width="13.77734375" style="2938" customWidth="1"/>
    <col min="14606" max="14848" width="9" style="2938"/>
    <col min="14849" max="14849" width="4.88671875" style="2938" customWidth="1"/>
    <col min="14850" max="14850" width="13.21875" style="2938" customWidth="1"/>
    <col min="14851" max="14851" width="15.6640625" style="2938" customWidth="1"/>
    <col min="14852" max="14852" width="9.33203125" style="2938" bestFit="1" customWidth="1"/>
    <col min="14853" max="14853" width="13.44140625" style="2938" customWidth="1"/>
    <col min="14854" max="14854" width="9" style="2938"/>
    <col min="14855" max="14855" width="9.33203125" style="2938" bestFit="1" customWidth="1"/>
    <col min="14856" max="14857" width="9" style="2938"/>
    <col min="14858" max="14858" width="9.33203125" style="2938" bestFit="1" customWidth="1"/>
    <col min="14859" max="14859" width="4" style="2938" customWidth="1"/>
    <col min="14860" max="14860" width="5.109375" style="2938" customWidth="1"/>
    <col min="14861" max="14861" width="13.77734375" style="2938" customWidth="1"/>
    <col min="14862" max="15104" width="9" style="2938"/>
    <col min="15105" max="15105" width="4.88671875" style="2938" customWidth="1"/>
    <col min="15106" max="15106" width="13.21875" style="2938" customWidth="1"/>
    <col min="15107" max="15107" width="15.6640625" style="2938" customWidth="1"/>
    <col min="15108" max="15108" width="9.33203125" style="2938" bestFit="1" customWidth="1"/>
    <col min="15109" max="15109" width="13.44140625" style="2938" customWidth="1"/>
    <col min="15110" max="15110" width="9" style="2938"/>
    <col min="15111" max="15111" width="9.33203125" style="2938" bestFit="1" customWidth="1"/>
    <col min="15112" max="15113" width="9" style="2938"/>
    <col min="15114" max="15114" width="9.33203125" style="2938" bestFit="1" customWidth="1"/>
    <col min="15115" max="15115" width="4" style="2938" customWidth="1"/>
    <col min="15116" max="15116" width="5.109375" style="2938" customWidth="1"/>
    <col min="15117" max="15117" width="13.77734375" style="2938" customWidth="1"/>
    <col min="15118" max="15360" width="9" style="2938"/>
    <col min="15361" max="15361" width="4.88671875" style="2938" customWidth="1"/>
    <col min="15362" max="15362" width="13.21875" style="2938" customWidth="1"/>
    <col min="15363" max="15363" width="15.6640625" style="2938" customWidth="1"/>
    <col min="15364" max="15364" width="9.33203125" style="2938" bestFit="1" customWidth="1"/>
    <col min="15365" max="15365" width="13.44140625" style="2938" customWidth="1"/>
    <col min="15366" max="15366" width="9" style="2938"/>
    <col min="15367" max="15367" width="9.33203125" style="2938" bestFit="1" customWidth="1"/>
    <col min="15368" max="15369" width="9" style="2938"/>
    <col min="15370" max="15370" width="9.33203125" style="2938" bestFit="1" customWidth="1"/>
    <col min="15371" max="15371" width="4" style="2938" customWidth="1"/>
    <col min="15372" max="15372" width="5.109375" style="2938" customWidth="1"/>
    <col min="15373" max="15373" width="13.77734375" style="2938" customWidth="1"/>
    <col min="15374" max="15616" width="9" style="2938"/>
    <col min="15617" max="15617" width="4.88671875" style="2938" customWidth="1"/>
    <col min="15618" max="15618" width="13.21875" style="2938" customWidth="1"/>
    <col min="15619" max="15619" width="15.6640625" style="2938" customWidth="1"/>
    <col min="15620" max="15620" width="9.33203125" style="2938" bestFit="1" customWidth="1"/>
    <col min="15621" max="15621" width="13.44140625" style="2938" customWidth="1"/>
    <col min="15622" max="15622" width="9" style="2938"/>
    <col min="15623" max="15623" width="9.33203125" style="2938" bestFit="1" customWidth="1"/>
    <col min="15624" max="15625" width="9" style="2938"/>
    <col min="15626" max="15626" width="9.33203125" style="2938" bestFit="1" customWidth="1"/>
    <col min="15627" max="15627" width="4" style="2938" customWidth="1"/>
    <col min="15628" max="15628" width="5.109375" style="2938" customWidth="1"/>
    <col min="15629" max="15629" width="13.77734375" style="2938" customWidth="1"/>
    <col min="15630" max="15872" width="9" style="2938"/>
    <col min="15873" max="15873" width="4.88671875" style="2938" customWidth="1"/>
    <col min="15874" max="15874" width="13.21875" style="2938" customWidth="1"/>
    <col min="15875" max="15875" width="15.6640625" style="2938" customWidth="1"/>
    <col min="15876" max="15876" width="9.33203125" style="2938" bestFit="1" customWidth="1"/>
    <col min="15877" max="15877" width="13.44140625" style="2938" customWidth="1"/>
    <col min="15878" max="15878" width="9" style="2938"/>
    <col min="15879" max="15879" width="9.33203125" style="2938" bestFit="1" customWidth="1"/>
    <col min="15880" max="15881" width="9" style="2938"/>
    <col min="15882" max="15882" width="9.33203125" style="2938" bestFit="1" customWidth="1"/>
    <col min="15883" max="15883" width="4" style="2938" customWidth="1"/>
    <col min="15884" max="15884" width="5.109375" style="2938" customWidth="1"/>
    <col min="15885" max="15885" width="13.77734375" style="2938" customWidth="1"/>
    <col min="15886" max="16128" width="9" style="2938"/>
    <col min="16129" max="16129" width="4.88671875" style="2938" customWidth="1"/>
    <col min="16130" max="16130" width="13.21875" style="2938" customWidth="1"/>
    <col min="16131" max="16131" width="15.6640625" style="2938" customWidth="1"/>
    <col min="16132" max="16132" width="9.33203125" style="2938" bestFit="1" customWidth="1"/>
    <col min="16133" max="16133" width="13.44140625" style="2938" customWidth="1"/>
    <col min="16134" max="16134" width="9" style="2938"/>
    <col min="16135" max="16135" width="9.33203125" style="2938" bestFit="1" customWidth="1"/>
    <col min="16136" max="16137" width="9" style="2938"/>
    <col min="16138" max="16138" width="9.33203125" style="2938" bestFit="1" customWidth="1"/>
    <col min="16139" max="16139" width="4" style="2938" customWidth="1"/>
    <col min="16140" max="16140" width="5.109375" style="2938" customWidth="1"/>
    <col min="16141" max="16141" width="13.77734375" style="2938" customWidth="1"/>
    <col min="16142" max="16384" width="9" style="2938"/>
  </cols>
  <sheetData>
    <row r="1" spans="1:257" s="2998" customFormat="1" ht="15" thickBot="1">
      <c r="A1" s="2997"/>
      <c r="B1" s="2999" t="s">
        <v>2750</v>
      </c>
      <c r="C1" s="3003">
        <f>项目基本情况!D3</f>
        <v>43458</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6" thickTop="1" thickBot="1">
      <c r="A2" s="2939"/>
      <c r="B2" s="3000" t="s">
        <v>2781</v>
      </c>
      <c r="C2" s="3004">
        <f>'数据-取费表'!B22</f>
        <v>1.5</v>
      </c>
      <c r="D2" s="2999" t="s">
        <v>2751</v>
      </c>
      <c r="E2" s="3002">
        <f ca="1">INDIRECT("I"&amp;$I$1)/100</f>
        <v>4.7500000000000001E-2</v>
      </c>
      <c r="G2" s="2939"/>
      <c r="H2" s="2939"/>
      <c r="I2" s="2939" t="s">
        <v>2752</v>
      </c>
      <c r="K2" s="2939"/>
      <c r="L2" s="2939"/>
      <c r="M2" s="2939"/>
      <c r="N2" s="2939" t="s">
        <v>2753</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2783</v>
      </c>
      <c r="C3" s="3001">
        <f>'数据-取费表'!B19</f>
        <v>0</v>
      </c>
      <c r="D3" s="2999" t="s">
        <v>2751</v>
      </c>
      <c r="E3" s="3002">
        <f ca="1">INDIRECT("J"&amp;$J$1)/100</f>
        <v>0</v>
      </c>
      <c r="G3" s="2941" t="s">
        <v>2754</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2782</v>
      </c>
      <c r="C4" s="3002">
        <f ca="1">N4/100</f>
        <v>1.4999999999999999E-2</v>
      </c>
      <c r="G4" s="2947" t="s">
        <v>2755</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2756</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2757</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5" thickBot="1">
      <c r="A7" s="2940"/>
      <c r="G7" s="2952" t="s">
        <v>2758</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399999999999999">
      <c r="A9" s="2960"/>
      <c r="B9" s="2961" t="s">
        <v>2759</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2">
      <c r="A10" s="2966"/>
      <c r="B10" s="2967" t="s">
        <v>2760</v>
      </c>
      <c r="C10" s="2966"/>
      <c r="D10" s="2966"/>
      <c r="E10" s="2966"/>
      <c r="F10" s="2966"/>
      <c r="G10" s="2966"/>
      <c r="H10" s="2966"/>
      <c r="I10" s="2940"/>
      <c r="J10" s="2940"/>
      <c r="K10" s="2966"/>
      <c r="L10" s="2967" t="s">
        <v>2761</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2762</v>
      </c>
      <c r="C11" s="2971" t="s">
        <v>2763</v>
      </c>
      <c r="D11" s="2972" t="s">
        <v>2764</v>
      </c>
      <c r="E11" s="2973"/>
      <c r="F11" s="2972" t="s">
        <v>2765</v>
      </c>
      <c r="G11" s="2974"/>
      <c r="H11" s="2973"/>
      <c r="I11" s="2972" t="s">
        <v>2766</v>
      </c>
      <c r="J11" s="2973"/>
      <c r="K11" s="2969"/>
      <c r="L11" s="2970" t="s">
        <v>2762</v>
      </c>
      <c r="M11" s="2971" t="s">
        <v>2763</v>
      </c>
      <c r="N11" s="2970" t="s">
        <v>2767</v>
      </c>
      <c r="O11" s="2972" t="s">
        <v>2768</v>
      </c>
      <c r="P11" s="2974"/>
      <c r="Q11" s="2974"/>
      <c r="R11" s="2974"/>
      <c r="S11" s="2974"/>
      <c r="T11" s="2973"/>
      <c r="U11" s="2972" t="s">
        <v>2769</v>
      </c>
      <c r="V11" s="2974"/>
      <c r="W11" s="2973"/>
      <c r="X11" s="2970" t="s">
        <v>2770</v>
      </c>
      <c r="Y11" s="2970" t="s">
        <v>2771</v>
      </c>
      <c r="Z11" s="2970" t="s">
        <v>2772</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2773</v>
      </c>
      <c r="E12" s="2979" t="s">
        <v>2774</v>
      </c>
      <c r="F12" s="2979" t="s">
        <v>2775</v>
      </c>
      <c r="G12" s="2979" t="s">
        <v>2776</v>
      </c>
      <c r="H12" s="2979" t="s">
        <v>2758</v>
      </c>
      <c r="I12" s="2980" t="s">
        <v>2777</v>
      </c>
      <c r="J12" s="2980" t="s">
        <v>2777</v>
      </c>
      <c r="K12" s="2976"/>
      <c r="L12" s="2977"/>
      <c r="M12" s="2978"/>
      <c r="N12" s="2977"/>
      <c r="O12" s="2980" t="s">
        <v>2778</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31.2">
      <c r="A13" s="2982"/>
      <c r="B13" s="2983" t="s">
        <v>2779</v>
      </c>
      <c r="C13" s="2984">
        <v>42301</v>
      </c>
      <c r="D13" s="2985">
        <v>4.3499999999999996</v>
      </c>
      <c r="E13" s="2985">
        <v>4.3499999999999996</v>
      </c>
      <c r="F13" s="2985">
        <v>4.75</v>
      </c>
      <c r="G13" s="2985">
        <v>4.75</v>
      </c>
      <c r="H13" s="2985">
        <v>4.9000000000000004</v>
      </c>
      <c r="I13" s="2985">
        <v>2.75</v>
      </c>
      <c r="J13" s="2985">
        <v>3.25</v>
      </c>
      <c r="K13" s="2982"/>
      <c r="L13" s="2983" t="s">
        <v>2779</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6.8">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2780</v>
      </c>
      <c r="Y42" s="2989" t="s">
        <v>2780</v>
      </c>
      <c r="Z42" s="2989" t="s">
        <v>2780</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2780</v>
      </c>
      <c r="Y43" s="2989" t="s">
        <v>2780</v>
      </c>
      <c r="Z43" s="2989" t="s">
        <v>2780</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2780</v>
      </c>
      <c r="Y44" s="2989" t="s">
        <v>2780</v>
      </c>
      <c r="Z44" s="2989" t="s">
        <v>2780</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2780</v>
      </c>
      <c r="Y45" s="2989" t="s">
        <v>2780</v>
      </c>
      <c r="Z45" s="2989" t="s">
        <v>2780</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2780</v>
      </c>
      <c r="Y46" s="2989" t="s">
        <v>2780</v>
      </c>
      <c r="Z46" s="2989" t="s">
        <v>2780</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2780</v>
      </c>
      <c r="Y47" s="2989" t="s">
        <v>2780</v>
      </c>
      <c r="Z47" s="2989" t="s">
        <v>2780</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2780</v>
      </c>
      <c r="Y48" s="2989" t="s">
        <v>2780</v>
      </c>
      <c r="Z48" s="2989" t="s">
        <v>2780</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2780</v>
      </c>
      <c r="Y49" s="2989" t="s">
        <v>2780</v>
      </c>
      <c r="Z49" s="2989" t="s">
        <v>2780</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2780</v>
      </c>
      <c r="Y50" s="2989" t="s">
        <v>2780</v>
      </c>
      <c r="Z50" s="2989" t="s">
        <v>2780</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2780</v>
      </c>
      <c r="V51" s="2989" t="s">
        <v>2780</v>
      </c>
      <c r="W51" s="2989" t="s">
        <v>2780</v>
      </c>
      <c r="X51" s="2989" t="s">
        <v>2780</v>
      </c>
      <c r="Y51" s="2989" t="s">
        <v>2780</v>
      </c>
      <c r="Z51" s="2989" t="s">
        <v>2780</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2780</v>
      </c>
      <c r="J55" s="2989" t="s">
        <v>2780</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2"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32"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土地案例</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2019-01-07T02:31:49Z</dcterms:modified>
</cp:coreProperties>
</file>