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33585C9-099B-4B3E-9FA5-87B011849BE9}" xr6:coauthVersionLast="47" xr6:coauthVersionMax="47" xr10:uidLastSave="{00000000-0000-0000-0000-000000000000}"/>
  <bookViews>
    <workbookView xWindow="-108" yWindow="-108" windowWidth="20376" windowHeight="12216" tabRatio="899" firstSheet="15"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中指文成商务中心" sheetId="83"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成本法" sheetId="68" state="hidden" r:id="rId19"/>
    <sheet name="假设开发法" sheetId="12" state="hidden" r:id="rId20"/>
    <sheet name="收益法" sheetId="15" state="hidden" r:id="rId21"/>
    <sheet name="中指辉煌云上" sheetId="82" r:id="rId22"/>
    <sheet name="信息" sheetId="80" r:id="rId23"/>
    <sheet name="案例" sheetId="81" r:id="rId24"/>
    <sheet name="结果表1号" sheetId="9" state="hidden" r:id="rId25"/>
    <sheet name="比较法-商业1号" sheetId="33" state="hidden" r:id="rId26"/>
    <sheet name="收益法 (元)1号"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结果表2号" sheetId="86" r:id="rId39"/>
    <sheet name="比较法-商业2号" sheetId="84" r:id="rId40"/>
    <sheet name="收益法 (元)2号" sheetId="85" r:id="rId41"/>
    <sheet name="成本法 (元)" sheetId="69" state="hidden" r:id="rId42"/>
    <sheet name="基准地价修正" sheetId="43" state="hidden" r:id="rId43"/>
    <sheet name="修正" sheetId="45" state="hidden" r:id="rId44"/>
    <sheet name="容积率修正" sheetId="46" state="hidden" r:id="rId45"/>
    <sheet name="成本法（废）" sheetId="11" state="hidden" r:id="rId46"/>
    <sheet name="区片价" sheetId="44" r:id="rId47"/>
    <sheet name="因素修正幅度" sheetId="65" state="hidden" r:id="rId48"/>
    <sheet name="区片价（范围）" sheetId="75" state="hidden" r:id="rId49"/>
    <sheet name="地价-分区" sheetId="79" r:id="rId50"/>
    <sheet name="地价" sheetId="71" r:id="rId51"/>
    <sheet name="存贷款利率" sheetId="73"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'比较法-商业1号'!$A$1:$L$49</definedName>
    <definedName name="_xlnm._FilterDatabase" localSheetId="39" hidden="1">'比较法-商业2号'!$A$1:$L$49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'比较法-商业1号'!$A$1:$K$54,'比较法-商业1号'!$A$57:$M$131</definedName>
    <definedName name="_xlnm.Print_Area" localSheetId="39">'比较法-商业2号'!$A$1:$K$54,'比较法-商业2号'!$A$57:$M$131</definedName>
    <definedName name="_xlnm.Print_Area" localSheetId="29">'比较法-住宅'!$A$1:$K$54,'比较法-住宅'!$A$57:$M$131</definedName>
    <definedName name="_xlnm.Print_Area" localSheetId="18">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2">基准地价修正!$A$1:$J$44,基准地价修正!$A$47:$H$101,基准地价修正!$R$1:$V$16</definedName>
    <definedName name="_xlnm.Print_Area" localSheetId="19">假设开发法!$A$1:$K$32</definedName>
    <definedName name="_xlnm.Print_Area" localSheetId="24">结果表1号!$A$1:$I$127</definedName>
    <definedName name="_xlnm.Print_Area" localSheetId="38">结果表2号!$A$1:$I$127</definedName>
    <definedName name="_xlnm.Print_Area" localSheetId="20">收益法!$A$1:$F$43,收益法!$H$3:$M$29,收益法!$A$46:$F$71,收益法!$I$46:$N$65</definedName>
    <definedName name="_xlnm.Print_Area" localSheetId="26">'收益法 (元)1号'!$A$1:$F$43,'收益法 (元)1号'!$H$3:$M$29,'收益法 (元)1号'!$A$45:$F$71,'收益法 (元)1号'!$I$46:$N$65</definedName>
    <definedName name="_xlnm.Print_Area" localSheetId="40">'收益法 (元)2号'!$A$1:$F$43,'收益法 (元)2号'!$H$3:$M$29,'收益法 (元)2号'!$A$45:$F$71,'收益法 (元)2号'!$I$46:$N$65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9">'比较法-商业2号'!$B$116:$M$116</definedName>
    <definedName name="商业层高">'比较法-商业1号'!$B$116:$M$116</definedName>
    <definedName name="商业成新度" localSheetId="39">'比较法-商业2号'!$B$109:$M$109</definedName>
    <definedName name="商业成新度">'比较法-商业1号'!$B$109:$M$109</definedName>
    <definedName name="商业繁华度">定义!$L$1:$L$6</definedName>
    <definedName name="商业公共部分装修" localSheetId="39">'比较法-商业2号'!$B$107:$M$107</definedName>
    <definedName name="商业公共部分装修">'比较法-商业1号'!$B$107:$M$107</definedName>
    <definedName name="商业基础设施水平" localSheetId="39">'比较法-商业2号'!$B$112:$M$112</definedName>
    <definedName name="商业基础设施水平">'比较法-商业1号'!$B$112:$M$112</definedName>
    <definedName name="商业建筑结构" localSheetId="39">'比较法-商业2号'!$B$105:$M$105</definedName>
    <definedName name="商业建筑结构">'比较法-商业1号'!$B$105:$M$105</definedName>
    <definedName name="商业交易情况" localSheetId="39">'比较法-商业2号'!$A$61:$M$61</definedName>
    <definedName name="商业交易情况">'比较法-商业1号'!$A$61:$M$61</definedName>
    <definedName name="商业街名称">修正!$C$71:$C$138</definedName>
    <definedName name="商业进深比" localSheetId="39">'比较法-商业2号'!$B$120:$M$120</definedName>
    <definedName name="商业进深比">'比较法-商业1号'!$B$120:$M$120</definedName>
    <definedName name="商业类型" localSheetId="39">'比较法-商业2号'!$B$100:$M$100</definedName>
    <definedName name="商业类型">'比较法-商业1号'!$B$100:$M$100</definedName>
    <definedName name="商业临街状况" localSheetId="39">'比较法-商业2号'!$B$86:$M$86</definedName>
    <definedName name="商业临街状况">'比较法-商业1号'!$B$86:$M$86</definedName>
    <definedName name="商业楼层" localSheetId="39">'比较法-商业2号'!$B$92:$M$92</definedName>
    <definedName name="商业楼层">'比较法-商业1号'!$B$92:$M$92</definedName>
    <definedName name="商业内部装修" localSheetId="39">'比较法-商业2号'!$B$122:$M$122</definedName>
    <definedName name="商业内部装修">'比较法-商业1号'!$B$122:$M$122</definedName>
    <definedName name="商业人流量" localSheetId="39">'比较法-商业2号'!$B$90:$M$90</definedName>
    <definedName name="商业人流量">'比较法-商业1号'!$B$90:$M$90</definedName>
    <definedName name="商业业态" localSheetId="39">'比较法-商业2号'!$B$114:$M$114</definedName>
    <definedName name="商业业态">'比较法-商业1号'!$B$114:$M$114</definedName>
    <definedName name="商业用途" localSheetId="39">'比较法-商业2号'!$B$63:$M$63</definedName>
    <definedName name="商业用途">'比较法-商业1号'!$B$63:$M$63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A124" i="86"/>
  <c r="A120" i="86"/>
  <c r="A118" i="86"/>
  <c r="E111" i="86"/>
  <c r="H112" i="86" s="1"/>
  <c r="H109" i="86"/>
  <c r="D124" i="86" s="1"/>
  <c r="D125" i="86" s="1"/>
  <c r="E109" i="86"/>
  <c r="E107" i="86"/>
  <c r="A122" i="86" s="1"/>
  <c r="H106" i="86"/>
  <c r="H105" i="86"/>
  <c r="H104" i="86"/>
  <c r="H103" i="86"/>
  <c r="D120" i="86" s="1"/>
  <c r="D101" i="86"/>
  <c r="C101" i="86"/>
  <c r="D93" i="86"/>
  <c r="C91" i="86"/>
  <c r="E90" i="86"/>
  <c r="D89" i="86"/>
  <c r="C89" i="86" s="1"/>
  <c r="C87" i="86" s="1"/>
  <c r="D78" i="86"/>
  <c r="H77" i="86"/>
  <c r="D77" i="86"/>
  <c r="C77" i="86"/>
  <c r="C76" i="86"/>
  <c r="C74" i="86"/>
  <c r="D68" i="86"/>
  <c r="F59" i="86"/>
  <c r="E59" i="86"/>
  <c r="N55" i="86" s="1"/>
  <c r="N56" i="86"/>
  <c r="M56" i="86"/>
  <c r="K56" i="86"/>
  <c r="J56" i="86"/>
  <c r="J57" i="86" s="1"/>
  <c r="J59" i="86" s="1"/>
  <c r="J61" i="86" s="1"/>
  <c r="F56" i="86"/>
  <c r="O55" i="86"/>
  <c r="K55" i="86"/>
  <c r="J55" i="86"/>
  <c r="I55" i="86"/>
  <c r="F55" i="86"/>
  <c r="O54" i="86"/>
  <c r="N54" i="86"/>
  <c r="F54" i="86"/>
  <c r="O53" i="86"/>
  <c r="N53" i="86"/>
  <c r="F53" i="86"/>
  <c r="F52" i="86"/>
  <c r="M49" i="86"/>
  <c r="L66" i="86" s="1"/>
  <c r="M66" i="86" s="1"/>
  <c r="K49" i="86"/>
  <c r="F48" i="86"/>
  <c r="O52" i="86" s="1"/>
  <c r="E48" i="86"/>
  <c r="N52" i="86" s="1"/>
  <c r="D48" i="86"/>
  <c r="M52" i="86" s="1"/>
  <c r="M47" i="86"/>
  <c r="C35" i="86"/>
  <c r="G118" i="86" s="1"/>
  <c r="C34" i="86"/>
  <c r="E118" i="86" s="1"/>
  <c r="F33" i="86"/>
  <c r="D27" i="86"/>
  <c r="C25" i="86"/>
  <c r="C24" i="86"/>
  <c r="M19" i="86"/>
  <c r="C118" i="86" s="1"/>
  <c r="L19" i="86"/>
  <c r="M18" i="86"/>
  <c r="B118" i="86" s="1"/>
  <c r="L18" i="86"/>
  <c r="C18" i="86"/>
  <c r="D18" i="86" s="1"/>
  <c r="D17" i="86"/>
  <c r="C17" i="86"/>
  <c r="L4" i="86"/>
  <c r="K4" i="86"/>
  <c r="A2" i="86"/>
  <c r="H1" i="86"/>
  <c r="C33" i="84"/>
  <c r="Q72" i="85"/>
  <c r="C62" i="85"/>
  <c r="C61" i="85"/>
  <c r="C60" i="85"/>
  <c r="Q59" i="85"/>
  <c r="K59" i="85"/>
  <c r="P74" i="85" s="1"/>
  <c r="Q58" i="85"/>
  <c r="Q51" i="85"/>
  <c r="J50" i="85"/>
  <c r="J49" i="85"/>
  <c r="M47" i="85"/>
  <c r="D46" i="85"/>
  <c r="F34" i="85"/>
  <c r="F62" i="85" s="1"/>
  <c r="C34" i="85"/>
  <c r="F33" i="85"/>
  <c r="F61" i="85" s="1"/>
  <c r="C33" i="85"/>
  <c r="F32" i="85"/>
  <c r="F60" i="85" s="1"/>
  <c r="C32" i="85"/>
  <c r="F28" i="85"/>
  <c r="C28" i="85"/>
  <c r="F23" i="85"/>
  <c r="D24" i="85" s="1"/>
  <c r="D23" i="85"/>
  <c r="D22" i="85"/>
  <c r="F21" i="85"/>
  <c r="M20" i="85"/>
  <c r="F20" i="85"/>
  <c r="M19" i="85"/>
  <c r="M18" i="85"/>
  <c r="F18" i="85"/>
  <c r="F17" i="85"/>
  <c r="F15" i="85"/>
  <c r="G1" i="85"/>
  <c r="B130" i="84"/>
  <c r="B128" i="84"/>
  <c r="B126" i="84"/>
  <c r="G125" i="84"/>
  <c r="D125" i="84"/>
  <c r="E125" i="84" s="1"/>
  <c r="F125" i="84" s="1"/>
  <c r="E123" i="84"/>
  <c r="F123" i="84" s="1"/>
  <c r="D123" i="84"/>
  <c r="D121" i="84"/>
  <c r="E121" i="84" s="1"/>
  <c r="F121" i="84" s="1"/>
  <c r="G121" i="84" s="1"/>
  <c r="H121" i="84" s="1"/>
  <c r="I121" i="84" s="1"/>
  <c r="J121" i="84" s="1"/>
  <c r="K121" i="84" s="1"/>
  <c r="L121" i="84" s="1"/>
  <c r="M121" i="84" s="1"/>
  <c r="D117" i="84"/>
  <c r="E117" i="84" s="1"/>
  <c r="F117" i="84" s="1"/>
  <c r="G117" i="84" s="1"/>
  <c r="I115" i="84"/>
  <c r="J115" i="84" s="1"/>
  <c r="K115" i="84" s="1"/>
  <c r="L115" i="84" s="1"/>
  <c r="M115" i="84" s="1"/>
  <c r="E115" i="84"/>
  <c r="F115" i="84" s="1"/>
  <c r="G115" i="84" s="1"/>
  <c r="H115" i="84" s="1"/>
  <c r="D115" i="84"/>
  <c r="G113" i="84"/>
  <c r="H113" i="84" s="1"/>
  <c r="I113" i="84" s="1"/>
  <c r="J113" i="84" s="1"/>
  <c r="K113" i="84" s="1"/>
  <c r="L113" i="84" s="1"/>
  <c r="M113" i="84" s="1"/>
  <c r="D113" i="84"/>
  <c r="E113" i="84" s="1"/>
  <c r="F113" i="84" s="1"/>
  <c r="E111" i="84"/>
  <c r="F111" i="84" s="1"/>
  <c r="G111" i="84" s="1"/>
  <c r="H111" i="84" s="1"/>
  <c r="I111" i="84" s="1"/>
  <c r="J111" i="84" s="1"/>
  <c r="K111" i="84" s="1"/>
  <c r="L111" i="84" s="1"/>
  <c r="M111" i="84" s="1"/>
  <c r="D111" i="84"/>
  <c r="G109" i="84"/>
  <c r="F109" i="84"/>
  <c r="E109" i="84"/>
  <c r="D109" i="84"/>
  <c r="C109" i="84"/>
  <c r="H108" i="84"/>
  <c r="I108" i="84" s="1"/>
  <c r="J108" i="84" s="1"/>
  <c r="K108" i="84" s="1"/>
  <c r="L108" i="84" s="1"/>
  <c r="M108" i="84" s="1"/>
  <c r="D108" i="84"/>
  <c r="E108" i="84" s="1"/>
  <c r="F108" i="84" s="1"/>
  <c r="G108" i="84" s="1"/>
  <c r="F106" i="84"/>
  <c r="G106" i="84" s="1"/>
  <c r="H106" i="84" s="1"/>
  <c r="I106" i="84" s="1"/>
  <c r="J106" i="84" s="1"/>
  <c r="K106" i="84" s="1"/>
  <c r="L106" i="84" s="1"/>
  <c r="M106" i="84" s="1"/>
  <c r="E106" i="84"/>
  <c r="D106" i="84"/>
  <c r="F104" i="84"/>
  <c r="G104" i="84" s="1"/>
  <c r="E104" i="84"/>
  <c r="D104"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E93" i="84"/>
  <c r="D93" i="84"/>
  <c r="B92" i="84"/>
  <c r="G91" i="84"/>
  <c r="H91" i="84" s="1"/>
  <c r="I91" i="84" s="1"/>
  <c r="J91" i="84" s="1"/>
  <c r="K91" i="84" s="1"/>
  <c r="L91" i="84" s="1"/>
  <c r="M91" i="84" s="1"/>
  <c r="D91" i="84"/>
  <c r="E91" i="84" s="1"/>
  <c r="F91" i="84" s="1"/>
  <c r="B90" i="84"/>
  <c r="J27" i="84" s="1"/>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E54" i="84"/>
  <c r="F54" i="84" s="1"/>
  <c r="P49" i="84"/>
  <c r="P48" i="84"/>
  <c r="K48" i="84"/>
  <c r="P47" i="84"/>
  <c r="I47" i="84"/>
  <c r="V47" i="84" s="1"/>
  <c r="G47" i="84"/>
  <c r="E47" i="84"/>
  <c r="R47" i="84" s="1"/>
  <c r="Q46" i="84"/>
  <c r="Z46" i="84" s="1"/>
  <c r="J46" i="84"/>
  <c r="AC46" i="84" s="1"/>
  <c r="H46" i="84"/>
  <c r="U46" i="84" s="1"/>
  <c r="F46" i="84"/>
  <c r="AA46" i="84" s="1"/>
  <c r="Q45" i="84"/>
  <c r="Z45" i="84" s="1"/>
  <c r="J45" i="84"/>
  <c r="AC45" i="84" s="1"/>
  <c r="H45" i="84"/>
  <c r="AB45" i="84" s="1"/>
  <c r="F45" i="84"/>
  <c r="AA45" i="84" s="1"/>
  <c r="Z44" i="84"/>
  <c r="Q44" i="84"/>
  <c r="J44" i="84"/>
  <c r="AC44" i="84" s="1"/>
  <c r="H44" i="84"/>
  <c r="AB44" i="84" s="1"/>
  <c r="F44" i="84"/>
  <c r="AA44" i="84" s="1"/>
  <c r="Q43" i="84"/>
  <c r="Z43" i="84" s="1"/>
  <c r="J43" i="84"/>
  <c r="AC43" i="84" s="1"/>
  <c r="H43" i="84"/>
  <c r="AB43" i="84" s="1"/>
  <c r="F43" i="84"/>
  <c r="AA43" i="84" s="1"/>
  <c r="U42" i="84"/>
  <c r="Q42" i="84"/>
  <c r="Z42" i="84" s="1"/>
  <c r="H42" i="84"/>
  <c r="AB42" i="84" s="1"/>
  <c r="Q41" i="84"/>
  <c r="Z41" i="84" s="1"/>
  <c r="J41" i="84"/>
  <c r="AC41" i="84" s="1"/>
  <c r="H41" i="84"/>
  <c r="AB41" i="84" s="1"/>
  <c r="F41" i="84"/>
  <c r="AA41" i="84" s="1"/>
  <c r="Q40" i="84"/>
  <c r="Z40" i="84" s="1"/>
  <c r="J40" i="84"/>
  <c r="AC40" i="84" s="1"/>
  <c r="H40" i="84"/>
  <c r="AB40" i="84" s="1"/>
  <c r="F40" i="84"/>
  <c r="AA40" i="84" s="1"/>
  <c r="AC39" i="84"/>
  <c r="Q39" i="84"/>
  <c r="Z39" i="84" s="1"/>
  <c r="J39" i="84"/>
  <c r="W39" i="84" s="1"/>
  <c r="H39" i="84"/>
  <c r="AB39" i="84" s="1"/>
  <c r="F39" i="84"/>
  <c r="AA39" i="84" s="1"/>
  <c r="Q38" i="84"/>
  <c r="Z38" i="84" s="1"/>
  <c r="J38" i="84"/>
  <c r="AC38" i="84" s="1"/>
  <c r="H38" i="84"/>
  <c r="U38" i="84" s="1"/>
  <c r="F38" i="84"/>
  <c r="AA38" i="84" s="1"/>
  <c r="Q37" i="84"/>
  <c r="Z37" i="84" s="1"/>
  <c r="J37" i="84"/>
  <c r="AC37" i="84" s="1"/>
  <c r="H37" i="84"/>
  <c r="AB37" i="84" s="1"/>
  <c r="F37" i="84"/>
  <c r="AA37" i="84" s="1"/>
  <c r="AA36" i="84"/>
  <c r="Q36" i="84"/>
  <c r="Z36" i="84" s="1"/>
  <c r="H36" i="84"/>
  <c r="G36" i="84"/>
  <c r="C36" i="84"/>
  <c r="Z35" i="84"/>
  <c r="Q35" i="84"/>
  <c r="J35" i="84"/>
  <c r="W35" i="84" s="1"/>
  <c r="H35" i="84"/>
  <c r="AB35" i="84" s="1"/>
  <c r="F35" i="84"/>
  <c r="AA35" i="84" s="1"/>
  <c r="W34" i="84"/>
  <c r="Q34" i="84"/>
  <c r="Z34" i="84" s="1"/>
  <c r="J34" i="84"/>
  <c r="AC34" i="84" s="1"/>
  <c r="H34" i="84"/>
  <c r="U34" i="84" s="1"/>
  <c r="F34" i="84"/>
  <c r="AA34" i="84" s="1"/>
  <c r="Q33" i="84"/>
  <c r="Z33" i="84" s="1"/>
  <c r="N33" i="84"/>
  <c r="I36" i="84" s="1"/>
  <c r="J36" i="84" s="1"/>
  <c r="J33" i="84"/>
  <c r="I33" i="84"/>
  <c r="G33" i="84"/>
  <c r="H33" i="84" s="1"/>
  <c r="AB33" i="84" s="1"/>
  <c r="E33" i="84"/>
  <c r="F33" i="84" s="1"/>
  <c r="AA32" i="84"/>
  <c r="Q32" i="84"/>
  <c r="Z32" i="84" s="1"/>
  <c r="J32" i="84"/>
  <c r="AC32" i="84" s="1"/>
  <c r="H32" i="84"/>
  <c r="AB32" i="84" s="1"/>
  <c r="F32" i="84"/>
  <c r="S32" i="84" s="1"/>
  <c r="Z31" i="84"/>
  <c r="S31" i="84"/>
  <c r="Q31" i="84"/>
  <c r="F31" i="84"/>
  <c r="AA31" i="84" s="1"/>
  <c r="AC30" i="84"/>
  <c r="Z30" i="84"/>
  <c r="W30" i="84"/>
  <c r="Q30" i="84"/>
  <c r="N30" i="84"/>
  <c r="E36" i="84" s="1"/>
  <c r="F36" i="84" s="1"/>
  <c r="S36" i="84" s="1"/>
  <c r="J30" i="84"/>
  <c r="H30" i="84"/>
  <c r="AB30" i="84" s="1"/>
  <c r="F30" i="84"/>
  <c r="Z29" i="84"/>
  <c r="Q29" i="84"/>
  <c r="J29" i="84"/>
  <c r="W29" i="84" s="1"/>
  <c r="H29" i="84"/>
  <c r="AB29" i="84" s="1"/>
  <c r="F29" i="84"/>
  <c r="AA29" i="84" s="1"/>
  <c r="W28" i="84"/>
  <c r="Q28" i="84"/>
  <c r="Z28" i="84" s="1"/>
  <c r="J28" i="84"/>
  <c r="AC28" i="84" s="1"/>
  <c r="H28" i="84"/>
  <c r="U28" i="84" s="1"/>
  <c r="F28" i="84"/>
  <c r="AA28" i="84" s="1"/>
  <c r="U27" i="84"/>
  <c r="Q27" i="84"/>
  <c r="Z27" i="84" s="1"/>
  <c r="H27" i="84"/>
  <c r="AB27" i="84" s="1"/>
  <c r="F27" i="84"/>
  <c r="S27" i="84" s="1"/>
  <c r="Q26" i="84"/>
  <c r="Z26" i="84" s="1"/>
  <c r="J26" i="84"/>
  <c r="AC26" i="84" s="1"/>
  <c r="H26" i="84"/>
  <c r="AB26" i="84" s="1"/>
  <c r="F26" i="84"/>
  <c r="AA26" i="84" s="1"/>
  <c r="Z25" i="84"/>
  <c r="W25" i="84"/>
  <c r="Q25" i="84"/>
  <c r="J25" i="84"/>
  <c r="AC25" i="84" s="1"/>
  <c r="H25" i="84"/>
  <c r="AB25" i="84" s="1"/>
  <c r="F25" i="84"/>
  <c r="S25" i="84" s="1"/>
  <c r="Q23" i="84"/>
  <c r="Z23" i="84" s="1"/>
  <c r="J23" i="84"/>
  <c r="AC23" i="84" s="1"/>
  <c r="H23" i="84"/>
  <c r="AB23" i="84" s="1"/>
  <c r="F23" i="84"/>
  <c r="AA23" i="84" s="1"/>
  <c r="C23" i="84"/>
  <c r="Q21" i="84"/>
  <c r="Z21" i="84" s="1"/>
  <c r="J21" i="84"/>
  <c r="AC21" i="84" s="1"/>
  <c r="H21" i="84"/>
  <c r="AB21" i="84" s="1"/>
  <c r="F21" i="84"/>
  <c r="S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E7" i="84"/>
  <c r="C7" i="84"/>
  <c r="C58" i="84" s="1"/>
  <c r="G5" i="84"/>
  <c r="I5" i="84" s="1"/>
  <c r="E5" i="84"/>
  <c r="D3" i="84"/>
  <c r="N22" i="1"/>
  <c r="E47" i="33"/>
  <c r="G4" i="81"/>
  <c r="N20" i="1"/>
  <c r="C20" i="86"/>
  <c r="C19" i="86"/>
  <c r="F8" i="85"/>
  <c r="D2" i="84"/>
  <c r="D118" i="86" l="1"/>
  <c r="D119" i="86" s="1"/>
  <c r="C102" i="86"/>
  <c r="C21" i="86"/>
  <c r="C103" i="86"/>
  <c r="D121" i="86"/>
  <c r="K120" i="86"/>
  <c r="F118" i="86"/>
  <c r="F119" i="86" s="1"/>
  <c r="C92" i="86"/>
  <c r="C94" i="86"/>
  <c r="L63" i="86"/>
  <c r="M63" i="86" s="1"/>
  <c r="M69" i="86" s="1"/>
  <c r="N69" i="86" s="1"/>
  <c r="L65" i="86"/>
  <c r="M65" i="86" s="1"/>
  <c r="H111" i="86"/>
  <c r="D126" i="86" s="1"/>
  <c r="D127" i="86" s="1"/>
  <c r="A126" i="86"/>
  <c r="L67" i="86"/>
  <c r="M67" i="86" s="1"/>
  <c r="L68" i="86"/>
  <c r="M68" i="86" s="1"/>
  <c r="L64" i="86"/>
  <c r="M64" i="86" s="1"/>
  <c r="H110" i="86"/>
  <c r="U33" i="84"/>
  <c r="F51" i="85"/>
  <c r="P61" i="85"/>
  <c r="J51" i="85"/>
  <c r="S33" i="84"/>
  <c r="AA33" i="84"/>
  <c r="S15" i="84"/>
  <c r="S23" i="84"/>
  <c r="S26" i="84"/>
  <c r="U32" i="84"/>
  <c r="AC33" i="84"/>
  <c r="W33" i="84"/>
  <c r="AB36" i="84"/>
  <c r="U36" i="84"/>
  <c r="AB38" i="84"/>
  <c r="S41" i="84"/>
  <c r="AB46" i="84"/>
  <c r="AC27" i="84"/>
  <c r="W27" i="84"/>
  <c r="F42" i="84"/>
  <c r="G123" i="84"/>
  <c r="H123" i="84" s="1"/>
  <c r="I123" i="84" s="1"/>
  <c r="J123" i="84" s="1"/>
  <c r="K123" i="84" s="1"/>
  <c r="L123" i="84" s="1"/>
  <c r="M123" i="84" s="1"/>
  <c r="J42" i="84"/>
  <c r="U11" i="84"/>
  <c r="S19" i="84"/>
  <c r="AA21" i="84"/>
  <c r="U10" i="84"/>
  <c r="S13" i="84"/>
  <c r="U14" i="84"/>
  <c r="U19" i="84"/>
  <c r="U26" i="84"/>
  <c r="AA27" i="84"/>
  <c r="AB28" i="84"/>
  <c r="AC29" i="84"/>
  <c r="AC36" i="84"/>
  <c r="W36" i="84"/>
  <c r="AB34" i="84"/>
  <c r="AC35" i="84"/>
  <c r="S37" i="84"/>
  <c r="S45" i="84"/>
  <c r="D58" i="84"/>
  <c r="E58" i="84" s="1"/>
  <c r="F58" i="84" s="1"/>
  <c r="G58" i="84" s="1"/>
  <c r="H58" i="84" s="1"/>
  <c r="I58" i="84" s="1"/>
  <c r="J58" i="84" s="1"/>
  <c r="K58" i="84" s="1"/>
  <c r="L58" i="84" s="1"/>
  <c r="M58" i="84" s="1"/>
  <c r="N58" i="84" s="1"/>
  <c r="O58" i="84" s="1"/>
  <c r="J31" i="84"/>
  <c r="H31" i="84"/>
  <c r="S10" i="84"/>
  <c r="S17" i="84"/>
  <c r="U15" i="84"/>
  <c r="U21" i="84"/>
  <c r="AA8" i="84"/>
  <c r="W10" i="84"/>
  <c r="S12" i="84"/>
  <c r="U13" i="84"/>
  <c r="W14" i="84"/>
  <c r="W15" i="84"/>
  <c r="W17" i="84"/>
  <c r="W19" i="84"/>
  <c r="W21" i="84"/>
  <c r="W23" i="84"/>
  <c r="AA25" i="84"/>
  <c r="AA30" i="84"/>
  <c r="S30" i="84"/>
  <c r="W43" i="84"/>
  <c r="G54" i="84"/>
  <c r="H54" i="84" s="1"/>
  <c r="W12" i="84"/>
  <c r="S14" i="84"/>
  <c r="S9" i="84"/>
  <c r="W11" i="84"/>
  <c r="U17" i="84"/>
  <c r="U23" i="84"/>
  <c r="U9" i="84"/>
  <c r="W9" i="84"/>
  <c r="S11" i="84"/>
  <c r="U12" i="84"/>
  <c r="W13" i="84"/>
  <c r="I54" i="84"/>
  <c r="J54" i="84" s="1"/>
  <c r="U37" i="84"/>
  <c r="W38" i="84"/>
  <c r="S40" i="84"/>
  <c r="U41" i="84"/>
  <c r="S44" i="84"/>
  <c r="U45" i="84"/>
  <c r="W46" i="84"/>
  <c r="S29" i="84"/>
  <c r="W32" i="84"/>
  <c r="S35" i="84"/>
  <c r="W37" i="84"/>
  <c r="S39" i="84"/>
  <c r="U40" i="84"/>
  <c r="W41" i="84"/>
  <c r="S43" i="84"/>
  <c r="U44" i="84"/>
  <c r="W45" i="84"/>
  <c r="U25" i="84"/>
  <c r="W26" i="84"/>
  <c r="S28" i="84"/>
  <c r="U29" i="84"/>
  <c r="U30" i="84"/>
  <c r="S34" i="84"/>
  <c r="U35" i="84"/>
  <c r="S38" i="84"/>
  <c r="U39" i="84"/>
  <c r="W40" i="84"/>
  <c r="U43" i="84"/>
  <c r="W44" i="84"/>
  <c r="S46" i="84"/>
  <c r="T47" i="84"/>
  <c r="B16" i="81"/>
  <c r="J8" i="81" s="1"/>
  <c r="J6" i="81"/>
  <c r="B14" i="81"/>
  <c r="C12" i="81" s="1"/>
  <c r="I7" i="33"/>
  <c r="M24" i="85"/>
  <c r="F9" i="85"/>
  <c r="F26" i="85"/>
  <c r="F16" i="85"/>
  <c r="M28" i="85"/>
  <c r="F40" i="85"/>
  <c r="M27" i="85"/>
  <c r="M26" i="85"/>
  <c r="L47" i="85"/>
  <c r="F37" i="85"/>
  <c r="F6" i="85"/>
  <c r="M23" i="85"/>
  <c r="M22" i="85"/>
  <c r="F43" i="85"/>
  <c r="C76" i="85"/>
  <c r="M29" i="85"/>
  <c r="J15" i="85"/>
  <c r="M6" i="85"/>
  <c r="F7" i="85"/>
  <c r="F36" i="85"/>
  <c r="M8" i="85"/>
  <c r="L48" i="85"/>
  <c r="F42" i="85"/>
  <c r="F38" i="85"/>
  <c r="M9" i="85"/>
  <c r="F13" i="85"/>
  <c r="F31" i="85" l="1"/>
  <c r="C6" i="85"/>
  <c r="F68" i="85"/>
  <c r="F64" i="85"/>
  <c r="Q71" i="85"/>
  <c r="F65" i="85"/>
  <c r="F66" i="85"/>
  <c r="F50" i="85"/>
  <c r="F59" i="85" s="1"/>
  <c r="M7" i="85"/>
  <c r="M17" i="85" s="1"/>
  <c r="N59" i="85"/>
  <c r="L58" i="85"/>
  <c r="M59" i="85"/>
  <c r="L59" i="85"/>
  <c r="C27" i="85"/>
  <c r="L57" i="85"/>
  <c r="L56" i="85"/>
  <c r="L60" i="85"/>
  <c r="F71" i="85"/>
  <c r="J57" i="85"/>
  <c r="J55" i="85" s="1"/>
  <c r="J58" i="85" s="1"/>
  <c r="Q50" i="85" s="1"/>
  <c r="J53" i="85"/>
  <c r="I54" i="85"/>
  <c r="AA42" i="84"/>
  <c r="S42" i="84"/>
  <c r="AB31" i="84"/>
  <c r="U31" i="84"/>
  <c r="H7" i="84"/>
  <c r="AC31" i="84"/>
  <c r="W31" i="84"/>
  <c r="AC42" i="84"/>
  <c r="W42" i="84"/>
  <c r="F7" i="84"/>
  <c r="J7" i="84"/>
  <c r="Q22" i="81"/>
  <c r="E93" i="33"/>
  <c r="K9" i="81"/>
  <c r="C11" i="81"/>
  <c r="D93" i="33" s="1"/>
  <c r="J9" i="81"/>
  <c r="K5" i="81"/>
  <c r="K6" i="81"/>
  <c r="K7" i="81"/>
  <c r="D104" i="33"/>
  <c r="E104" i="33" s="1"/>
  <c r="F104" i="33" s="1"/>
  <c r="G104" i="33" s="1"/>
  <c r="C14" i="85"/>
  <c r="C17" i="85"/>
  <c r="C16" i="85"/>
  <c r="J6" i="85" l="1"/>
  <c r="C15" i="85"/>
  <c r="C18" i="85"/>
  <c r="C19" i="85" s="1"/>
  <c r="C49" i="85"/>
  <c r="F1" i="85"/>
  <c r="Q52" i="85"/>
  <c r="Q66" i="85"/>
  <c r="Q57" i="85"/>
  <c r="Q73" i="85"/>
  <c r="Q60" i="85"/>
  <c r="J18" i="85"/>
  <c r="J17" i="85"/>
  <c r="J19" i="85"/>
  <c r="C31" i="85"/>
  <c r="Q61" i="85"/>
  <c r="Q74" i="85"/>
  <c r="S7" i="84"/>
  <c r="AA7" i="84"/>
  <c r="R48" i="84" s="1"/>
  <c r="AC7" i="84"/>
  <c r="V48" i="84" s="1"/>
  <c r="I48" i="84" s="1"/>
  <c r="W7" i="84"/>
  <c r="U7" i="84"/>
  <c r="AB7" i="84"/>
  <c r="T48" i="84" s="1"/>
  <c r="G48" i="84" s="1"/>
  <c r="Q30" i="81"/>
  <c r="P79" i="81"/>
  <c r="I47" i="33" s="1"/>
  <c r="E7" i="33"/>
  <c r="N33" i="33"/>
  <c r="I36" i="33" s="1"/>
  <c r="N30" i="33"/>
  <c r="E36" i="33" s="1"/>
  <c r="C20" i="85" l="1"/>
  <c r="C59" i="85"/>
  <c r="I52" i="84"/>
  <c r="J52" i="84" s="1"/>
  <c r="G53" i="84"/>
  <c r="H53" i="84" s="1"/>
  <c r="G52" i="84"/>
  <c r="H52" i="84" s="1"/>
  <c r="E48" i="84"/>
  <c r="R49" i="84"/>
  <c r="G36" i="33"/>
  <c r="G47" i="33"/>
  <c r="I33" i="33"/>
  <c r="G33" i="33"/>
  <c r="E33" i="33"/>
  <c r="G5" i="33"/>
  <c r="I5" i="33" s="1"/>
  <c r="E5" i="33"/>
  <c r="N77" i="81"/>
  <c r="C26" i="85" l="1"/>
  <c r="C49" i="84"/>
  <c r="C48" i="84"/>
  <c r="E53" i="84"/>
  <c r="F53" i="84" s="1"/>
  <c r="E52" i="84"/>
  <c r="F52" i="84" s="1"/>
  <c r="I53" i="84"/>
  <c r="J53" i="84" s="1"/>
  <c r="F4" i="81"/>
  <c r="P19" i="1"/>
  <c r="P20" i="1" s="1"/>
  <c r="J49" i="67"/>
  <c r="H7" i="1"/>
  <c r="I7" i="1"/>
  <c r="J7" i="1"/>
  <c r="L7" i="1"/>
  <c r="Q7" i="1"/>
  <c r="V7" i="1"/>
  <c r="W7" i="1"/>
  <c r="AK7" i="1"/>
  <c r="AL7" i="1"/>
  <c r="AM7" i="1"/>
  <c r="B59" i="1"/>
  <c r="N6" i="1"/>
  <c r="C36" i="33" s="1"/>
  <c r="K37" i="1"/>
  <c r="J36" i="1"/>
  <c r="K26" i="1"/>
  <c r="K38" i="1" s="1"/>
  <c r="J26" i="1"/>
  <c r="J37" i="1" s="1"/>
  <c r="I26" i="1"/>
  <c r="I36" i="1" s="1"/>
  <c r="B3" i="84" l="1"/>
  <c r="B2" i="84"/>
  <c r="U7" i="1"/>
  <c r="Y6" i="1"/>
  <c r="Y7" i="1" s="1"/>
  <c r="N7" i="1"/>
  <c r="I38" i="1"/>
  <c r="I37" i="1"/>
  <c r="J38" i="1"/>
  <c r="K36" i="1"/>
  <c r="C20" i="6" l="1"/>
  <c r="C19" i="6"/>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T30" i="79"/>
  <c r="W30" i="79" s="1"/>
  <c r="AD37" i="79"/>
  <c r="U40" i="79"/>
  <c r="AD41" i="79"/>
  <c r="V17" i="79"/>
  <c r="M26" i="79"/>
  <c r="P26" i="79" s="1"/>
  <c r="Z3" i="79"/>
  <c r="R13" i="79"/>
  <c r="V13" i="79"/>
  <c r="S14" i="79"/>
  <c r="T15" i="79"/>
  <c r="W15" i="79" s="1"/>
  <c r="U17" i="79"/>
  <c r="S28" i="79"/>
  <c r="AA26" i="79"/>
  <c r="AD26" i="79" s="1"/>
  <c r="U36" i="79"/>
  <c r="S38"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Q37" i="71"/>
  <c r="P37" i="71"/>
  <c r="O37" i="71"/>
  <c r="N37" i="71"/>
  <c r="B38" i="71" s="1"/>
  <c r="B39" i="71" s="1"/>
  <c r="B40" i="71" s="1"/>
  <c r="S40" i="71" s="1"/>
  <c r="D37" i="71"/>
  <c r="Q36" i="71"/>
  <c r="P36" i="71"/>
  <c r="O36" i="71"/>
  <c r="N36" i="71"/>
  <c r="Q35" i="71"/>
  <c r="P35" i="71"/>
  <c r="O35" i="71"/>
  <c r="N35" i="71"/>
  <c r="Q34" i="71"/>
  <c r="AB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E34" i="71"/>
  <c r="C34" i="71"/>
  <c r="D34" i="71" s="1"/>
  <c r="C35" i="71"/>
  <c r="C36" i="71" s="1"/>
  <c r="Y27" i="71"/>
  <c r="Z27" i="71" s="1"/>
  <c r="P28" i="71"/>
  <c r="E28" i="71" s="1"/>
  <c r="U68" i="71"/>
  <c r="E67" i="71"/>
  <c r="Q28" i="71"/>
  <c r="F28" i="71" s="1"/>
  <c r="F27" i="71" s="1"/>
  <c r="F26" i="71" s="1"/>
  <c r="D58" i="71"/>
  <c r="D62" i="71"/>
  <c r="T68" i="71"/>
  <c r="O68" i="71"/>
  <c r="D68" i="71"/>
  <c r="C67" i="71"/>
  <c r="D67" i="71" s="1"/>
  <c r="Q68" i="71"/>
  <c r="E71" i="71"/>
  <c r="E70" i="71" s="1"/>
  <c r="D72" i="71"/>
  <c r="C75" i="71"/>
  <c r="D75" i="71" s="1"/>
  <c r="D76" i="71"/>
  <c r="E79" i="71"/>
  <c r="E78" i="71" s="1"/>
  <c r="D80" i="71"/>
  <c r="C87" i="71"/>
  <c r="C86" i="71" s="1"/>
  <c r="D86" i="71" s="1"/>
  <c r="AA3"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4"/>
  <c r="AC18" i="35"/>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F36" i="33" s="1"/>
  <c r="AA36"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J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c r="D64" i="36"/>
  <c r="E64" i="36" s="1"/>
  <c r="F64" i="36" s="1"/>
  <c r="G64" i="36" s="1"/>
  <c r="J16" i="36"/>
  <c r="W16" i="36" s="1"/>
  <c r="D62" i="36"/>
  <c r="E62" i="36"/>
  <c r="F62" i="36" s="1"/>
  <c r="G62" i="36" s="1"/>
  <c r="B59" i="36"/>
  <c r="B57" i="36"/>
  <c r="H12" i="36" s="1"/>
  <c r="J12"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c r="J23" i="36"/>
  <c r="AC23" i="36" s="1"/>
  <c r="Q22" i="36"/>
  <c r="Z22" i="36" s="1"/>
  <c r="J22" i="36"/>
  <c r="AC22" i="36"/>
  <c r="Q20" i="36"/>
  <c r="Z20" i="36" s="1"/>
  <c r="Q16" i="36"/>
  <c r="Z16" i="36"/>
  <c r="Q14" i="36"/>
  <c r="Z14" i="36" s="1"/>
  <c r="Q13" i="36"/>
  <c r="Z13" i="36"/>
  <c r="Q12" i="36"/>
  <c r="Z12" i="36" s="1"/>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F23" i="35" s="1"/>
  <c r="AA23" i="35" s="1"/>
  <c r="B57" i="35"/>
  <c r="B61" i="35"/>
  <c r="B59" i="35"/>
  <c r="B131" i="34"/>
  <c r="B129" i="34"/>
  <c r="F46" i="34" s="1"/>
  <c r="B127" i="34"/>
  <c r="B99" i="34"/>
  <c r="B97" i="34"/>
  <c r="H31" i="34" s="1"/>
  <c r="B95" i="34"/>
  <c r="B93" i="34"/>
  <c r="B75" i="34"/>
  <c r="B73" i="34"/>
  <c r="H13" i="34" s="1"/>
  <c r="U13" i="34" s="1"/>
  <c r="B71" i="34"/>
  <c r="B130" i="33"/>
  <c r="B128" i="33"/>
  <c r="B126" i="33"/>
  <c r="H44" i="33" s="1"/>
  <c r="B98" i="33"/>
  <c r="H31" i="33" s="1"/>
  <c r="B96" i="33"/>
  <c r="B94" i="33"/>
  <c r="B74" i="33"/>
  <c r="J14" i="33" s="1"/>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F19" i="33" s="1"/>
  <c r="S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s="1"/>
  <c r="Q37" i="33"/>
  <c r="Z37" i="33"/>
  <c r="Q36" i="33"/>
  <c r="Z36" i="33" s="1"/>
  <c r="Q35" i="33"/>
  <c r="Z35" i="33"/>
  <c r="H35" i="33"/>
  <c r="AB35" i="33" s="1"/>
  <c r="Q34" i="33"/>
  <c r="Z34" i="33"/>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c r="Q14" i="33"/>
  <c r="Z14" i="33" s="1"/>
  <c r="Q13" i="33"/>
  <c r="Z13" i="33" s="1"/>
  <c r="Q12" i="33"/>
  <c r="Z12" i="33" s="1"/>
  <c r="H12" i="33"/>
  <c r="U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B96" i="21"/>
  <c r="B94" i="21"/>
  <c r="J29" i="21"/>
  <c r="AC29" i="21" s="1"/>
  <c r="B92" i="21"/>
  <c r="B90" i="21"/>
  <c r="H27" i="21" s="1"/>
  <c r="B74" i="21"/>
  <c r="B72" i="21"/>
  <c r="H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AB36" i="39"/>
  <c r="J35" i="39"/>
  <c r="AC35" i="39" s="1"/>
  <c r="F35" i="39"/>
  <c r="AA35" i="39" s="1"/>
  <c r="J36" i="39"/>
  <c r="AC36" i="39" s="1"/>
  <c r="U9" i="39"/>
  <c r="W40" i="39"/>
  <c r="U30" i="37"/>
  <c r="W31" i="37"/>
  <c r="F39" i="37"/>
  <c r="S39" i="37" s="1"/>
  <c r="F29" i="36"/>
  <c r="AA29" i="36" s="1"/>
  <c r="F16" i="36"/>
  <c r="AA16" i="36" s="1"/>
  <c r="W28" i="36"/>
  <c r="U31" i="36"/>
  <c r="H22" i="35"/>
  <c r="AB22" i="35" s="1"/>
  <c r="AC27" i="35"/>
  <c r="W28" i="35"/>
  <c r="U31" i="35"/>
  <c r="S31" i="35"/>
  <c r="F36" i="34"/>
  <c r="J35" i="34"/>
  <c r="U34" i="34"/>
  <c r="H39" i="33"/>
  <c r="AB39" i="33" s="1"/>
  <c r="F26" i="33"/>
  <c r="AA26" i="33" s="1"/>
  <c r="S40" i="33"/>
  <c r="H39" i="37"/>
  <c r="AB39" i="37"/>
  <c r="S27" i="35"/>
  <c r="F11" i="40"/>
  <c r="AA11" i="40" s="1"/>
  <c r="H11" i="40"/>
  <c r="AB11" i="40"/>
  <c r="W8" i="40"/>
  <c r="U9" i="40"/>
  <c r="S34"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F29" i="35"/>
  <c r="S29" i="35" s="1"/>
  <c r="H29" i="35"/>
  <c r="AB29" i="35" s="1"/>
  <c r="H33" i="37"/>
  <c r="F33" i="37"/>
  <c r="AA33" i="37" s="1"/>
  <c r="U34" i="37"/>
  <c r="S34" i="37"/>
  <c r="AA34" i="37"/>
  <c r="J43" i="34"/>
  <c r="AB42" i="34"/>
  <c r="J40" i="34"/>
  <c r="H38" i="34"/>
  <c r="AB38" i="34" s="1"/>
  <c r="J36" i="34"/>
  <c r="AC36" i="34" s="1"/>
  <c r="H37" i="34"/>
  <c r="U37" i="34" s="1"/>
  <c r="H25" i="34"/>
  <c r="AB25" i="34" s="1"/>
  <c r="J25" i="34"/>
  <c r="AC25" i="34" s="1"/>
  <c r="F23" i="34"/>
  <c r="AA23" i="34"/>
  <c r="J19" i="34"/>
  <c r="AC19" i="34" s="1"/>
  <c r="F17" i="34"/>
  <c r="AA17" i="34" s="1"/>
  <c r="J17" i="34"/>
  <c r="W17" i="34" s="1"/>
  <c r="H37" i="33"/>
  <c r="AB37" i="33" s="1"/>
  <c r="H11" i="33"/>
  <c r="AB11" i="33" s="1"/>
  <c r="F28" i="40"/>
  <c r="AA28" i="40" s="1"/>
  <c r="AA42" i="34"/>
  <c r="S42" i="34"/>
  <c r="AC38" i="34"/>
  <c r="AA38" i="34"/>
  <c r="J37" i="34"/>
  <c r="AC37" i="34" s="1"/>
  <c r="J11" i="33"/>
  <c r="W11" i="33" s="1"/>
  <c r="S28" i="34"/>
  <c r="J42" i="21"/>
  <c r="AC42" i="21"/>
  <c r="H42" i="21"/>
  <c r="U42" i="21"/>
  <c r="J44" i="34"/>
  <c r="F44" i="34"/>
  <c r="S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F31" i="21"/>
  <c r="S31" i="21"/>
  <c r="F45" i="21"/>
  <c r="AA45" i="21" s="1"/>
  <c r="J13" i="33"/>
  <c r="H13" i="33"/>
  <c r="U13" i="33" s="1"/>
  <c r="F13" i="33"/>
  <c r="S13" i="33" s="1"/>
  <c r="J29" i="33"/>
  <c r="H29" i="33"/>
  <c r="U29" i="33" s="1"/>
  <c r="F29" i="33"/>
  <c r="S29" i="33" s="1"/>
  <c r="J31" i="33"/>
  <c r="W31" i="33" s="1"/>
  <c r="F31" i="33"/>
  <c r="H45" i="33"/>
  <c r="U45" i="33" s="1"/>
  <c r="J45" i="33"/>
  <c r="W45" i="33" s="1"/>
  <c r="F45" i="33"/>
  <c r="AA45" i="33"/>
  <c r="J14" i="34"/>
  <c r="W14" i="34" s="1"/>
  <c r="F14" i="34"/>
  <c r="S14" i="34" s="1"/>
  <c r="H14" i="34"/>
  <c r="H30" i="34"/>
  <c r="F30" i="34"/>
  <c r="S30" i="34" s="1"/>
  <c r="J30" i="34"/>
  <c r="H32" i="34"/>
  <c r="F32" i="34"/>
  <c r="J32" i="34"/>
  <c r="W32" i="34" s="1"/>
  <c r="H46" i="34"/>
  <c r="U46" i="34" s="1"/>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40" i="37"/>
  <c r="F40" i="37"/>
  <c r="AA40" i="37" s="1"/>
  <c r="AC12" i="40"/>
  <c r="W12" i="40"/>
  <c r="H14" i="33"/>
  <c r="U14" i="33" s="1"/>
  <c r="F14" i="33"/>
  <c r="S14" i="33" s="1"/>
  <c r="H30" i="33"/>
  <c r="U30" i="33" s="1"/>
  <c r="F30" i="33"/>
  <c r="J30" i="33"/>
  <c r="J44" i="33"/>
  <c r="AC44" i="33" s="1"/>
  <c r="F44" i="33"/>
  <c r="S44" i="33" s="1"/>
  <c r="J46" i="33"/>
  <c r="AC46" i="33" s="1"/>
  <c r="F46" i="33"/>
  <c r="AA46" i="33" s="1"/>
  <c r="H46" i="33"/>
  <c r="AB46" i="33"/>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AC47" i="34" s="1"/>
  <c r="F13" i="35"/>
  <c r="J13" i="35"/>
  <c r="W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J27" i="37"/>
  <c r="AC27" i="37" s="1"/>
  <c r="AA44" i="33"/>
  <c r="U46" i="33"/>
  <c r="J36" i="37"/>
  <c r="AC36" i="37" s="1"/>
  <c r="J10" i="36"/>
  <c r="AC10" i="36" s="1"/>
  <c r="W31" i="34"/>
  <c r="S11" i="36"/>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BA552" i="3"/>
  <c r="AZ552" i="3" s="1"/>
  <c r="BA548" i="3"/>
  <c r="BA546" i="3"/>
  <c r="BA544" i="3"/>
  <c r="BA542" i="3"/>
  <c r="AZ542" i="3" s="1"/>
  <c r="BA540" i="3"/>
  <c r="BA538" i="3"/>
  <c r="AZ538" i="3" s="1"/>
  <c r="BA536" i="3"/>
  <c r="AZ536" i="3"/>
  <c r="BA534" i="3"/>
  <c r="AZ534" i="3" s="1"/>
  <c r="BA532" i="3"/>
  <c r="AZ532" i="3"/>
  <c r="BA530" i="3"/>
  <c r="BA528" i="3"/>
  <c r="BA526" i="3"/>
  <c r="AZ526" i="3" s="1"/>
  <c r="BA524" i="3"/>
  <c r="AZ524" i="3" s="1"/>
  <c r="BA522" i="3"/>
  <c r="BA520" i="3"/>
  <c r="BA518" i="3"/>
  <c r="BA516" i="3"/>
  <c r="AZ516" i="3" s="1"/>
  <c r="BA514" i="3"/>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c r="AT6" i="3"/>
  <c r="H5" i="3"/>
  <c r="H19" i="40"/>
  <c r="U19" i="40" s="1"/>
  <c r="F88" i="40"/>
  <c r="G88" i="40" s="1"/>
  <c r="F19" i="40"/>
  <c r="S19" i="40" s="1"/>
  <c r="S14" i="40"/>
  <c r="AC1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BL358" i="3"/>
  <c r="G359" i="3"/>
  <c r="BA361" i="3"/>
  <c r="BL362" i="3"/>
  <c r="G363" i="3"/>
  <c r="BA365" i="3"/>
  <c r="BL366" i="3"/>
  <c r="AZ366" i="3" s="1"/>
  <c r="G367" i="3"/>
  <c r="BA369" i="3"/>
  <c r="AZ369" i="3" s="1"/>
  <c r="BL370" i="3"/>
  <c r="G371" i="3"/>
  <c r="BA373" i="3"/>
  <c r="AZ373" i="3" s="1"/>
  <c r="BL374" i="3"/>
  <c r="G375" i="3"/>
  <c r="BA377" i="3"/>
  <c r="BA379" i="3"/>
  <c r="AZ379" i="3" s="1"/>
  <c r="BL380" i="3"/>
  <c r="AZ380" i="3" s="1"/>
  <c r="G381" i="3"/>
  <c r="BA383" i="3"/>
  <c r="BL384" i="3"/>
  <c r="G385" i="3"/>
  <c r="BA387" i="3"/>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BA15" i="3"/>
  <c r="BB5" i="3"/>
  <c r="BR5" i="3"/>
  <c r="AZ509" i="3"/>
  <c r="G509" i="3"/>
  <c r="BL493" i="3"/>
  <c r="AZ493" i="3" s="1"/>
  <c r="U36" i="40"/>
  <c r="F83" i="43"/>
  <c r="H85" i="43" s="1"/>
  <c r="F50" i="43"/>
  <c r="H54" i="43" s="1"/>
  <c r="F72" i="43"/>
  <c r="H75" i="43" s="1"/>
  <c r="U17" i="39"/>
  <c r="S14" i="35"/>
  <c r="U43" i="21"/>
  <c r="U35" i="21"/>
  <c r="AC35" i="21"/>
  <c r="G10" i="1"/>
  <c r="AC11" i="39"/>
  <c r="AZ501" i="3"/>
  <c r="W37" i="37"/>
  <c r="W44" i="34"/>
  <c r="AC44" i="34"/>
  <c r="U13" i="37"/>
  <c r="U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F23" i="39"/>
  <c r="AA23" i="39" s="1"/>
  <c r="H27" i="36"/>
  <c r="U27" i="36" s="1"/>
  <c r="F27" i="36"/>
  <c r="AA27" i="36" s="1"/>
  <c r="H33" i="34"/>
  <c r="U33" i="34" s="1"/>
  <c r="F32" i="37"/>
  <c r="S32"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A32" i="36"/>
  <c r="S32" i="36"/>
  <c r="AZ437" i="3"/>
  <c r="BL14" i="3"/>
  <c r="AC13" i="34"/>
  <c r="AA47" i="34"/>
  <c r="W28" i="37"/>
  <c r="S19" i="39"/>
  <c r="F12" i="33"/>
  <c r="H12" i="39"/>
  <c r="U12" i="39" s="1"/>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AC29" i="37"/>
  <c r="U29" i="37"/>
  <c r="AB31" i="37"/>
  <c r="W30" i="37"/>
  <c r="S36"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H41" i="33"/>
  <c r="U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W43" i="33"/>
  <c r="H27" i="33"/>
  <c r="AB27" i="33" s="1"/>
  <c r="F87" i="33"/>
  <c r="H25" i="33"/>
  <c r="U25" i="33" s="1"/>
  <c r="F25" i="33"/>
  <c r="AA25" i="33" s="1"/>
  <c r="J23" i="33"/>
  <c r="AC23" i="33" s="1"/>
  <c r="F85" i="33"/>
  <c r="H23" i="33"/>
  <c r="AB23" i="33" s="1"/>
  <c r="F81" i="33"/>
  <c r="G81"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U39" i="33"/>
  <c r="U44" i="33"/>
  <c r="AB44" i="33"/>
  <c r="S30" i="33"/>
  <c r="AA30" i="33"/>
  <c r="AC14" i="33"/>
  <c r="W14" i="33"/>
  <c r="AC30" i="33"/>
  <c r="W30" i="33"/>
  <c r="S31" i="33"/>
  <c r="AA31" i="33"/>
  <c r="W13" i="33"/>
  <c r="AC13"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6" i="21"/>
  <c r="AB29" i="21"/>
  <c r="S28" i="21"/>
  <c r="AC34" i="21"/>
  <c r="AB36" i="21"/>
  <c r="W30" i="40"/>
  <c r="C19" i="39"/>
  <c r="C15" i="40"/>
  <c r="C17" i="40"/>
  <c r="C23" i="40"/>
  <c r="C21" i="40"/>
  <c r="U30" i="40"/>
  <c r="B56" i="43"/>
  <c r="B67" i="43"/>
  <c r="B54" i="43"/>
  <c r="B62" i="43"/>
  <c r="B65" i="43"/>
  <c r="D23" i="15"/>
  <c r="D22" i="15"/>
  <c r="E4" i="4"/>
  <c r="B5" i="62" s="1"/>
  <c r="B73" i="72" s="1"/>
  <c r="C4" i="4"/>
  <c r="AA39" i="40"/>
  <c r="S39" i="40"/>
  <c r="S12" i="33"/>
  <c r="AA12" i="33"/>
  <c r="J32" i="39"/>
  <c r="H32" i="39"/>
  <c r="AB32" i="39" s="1"/>
  <c r="AA32"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AC35" i="33"/>
  <c r="J27" i="33"/>
  <c r="W27" i="33" s="1"/>
  <c r="G87" i="33"/>
  <c r="H87" i="33" s="1"/>
  <c r="I87" i="33" s="1"/>
  <c r="J87" i="33" s="1"/>
  <c r="K87" i="33" s="1"/>
  <c r="L87" i="33" s="1"/>
  <c r="M87" i="33" s="1"/>
  <c r="J25" i="33"/>
  <c r="W25" i="33" s="1"/>
  <c r="F23" i="33"/>
  <c r="G85" i="33"/>
  <c r="H17" i="33"/>
  <c r="U17" i="33" s="1"/>
  <c r="F17" i="33"/>
  <c r="S17" i="33" s="1"/>
  <c r="S37" i="21"/>
  <c r="AA23" i="21"/>
  <c r="AB15" i="21"/>
  <c r="J23" i="21"/>
  <c r="W23" i="21" s="1"/>
  <c r="H23" i="21"/>
  <c r="AB23" i="21" s="1"/>
  <c r="D6" i="52"/>
  <c r="AP7" i="1"/>
  <c r="AB45" i="21"/>
  <c r="U9" i="21"/>
  <c r="AA32" i="21"/>
  <c r="S32" i="21"/>
  <c r="AB32" i="21"/>
  <c r="U32" i="21"/>
  <c r="A18" i="62"/>
  <c r="B64" i="72" s="1"/>
  <c r="AC32" i="39"/>
  <c r="W32" i="39"/>
  <c r="AC23" i="37"/>
  <c r="J11" i="37"/>
  <c r="AC11" i="37" s="1"/>
  <c r="J11" i="34"/>
  <c r="W11" i="34" s="1"/>
  <c r="H109" i="9"/>
  <c r="M49" i="9" s="1"/>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26" i="67"/>
  <c r="F40" i="67"/>
  <c r="B10" i="76"/>
  <c r="F6" i="73"/>
  <c r="F20" i="31"/>
  <c r="AO13" i="1"/>
  <c r="F37" i="67"/>
  <c r="B13" i="76"/>
  <c r="B12" i="76"/>
  <c r="F6" i="67"/>
  <c r="E12" i="76"/>
  <c r="E13" i="76"/>
  <c r="E11" i="76"/>
  <c r="B7" i="76"/>
  <c r="M23" i="67"/>
  <c r="F16" i="67"/>
  <c r="E9" i="76"/>
  <c r="B8" i="76"/>
  <c r="E8" i="76"/>
  <c r="F42" i="67"/>
  <c r="F7" i="73"/>
  <c r="F3" i="73"/>
  <c r="M8" i="67"/>
  <c r="E2" i="69"/>
  <c r="L47" i="67"/>
  <c r="E7" i="76"/>
  <c r="D6" i="73"/>
  <c r="F5" i="73"/>
  <c r="M6" i="67"/>
  <c r="B11" i="76"/>
  <c r="J15" i="67"/>
  <c r="M24" i="67"/>
  <c r="F4" i="73"/>
  <c r="E2" i="68"/>
  <c r="E10" i="76"/>
  <c r="B9" i="76"/>
  <c r="B51" i="43" l="1"/>
  <c r="H19" i="33"/>
  <c r="AB19" i="33" s="1"/>
  <c r="AZ500" i="3"/>
  <c r="AZ540" i="3"/>
  <c r="H31" i="21"/>
  <c r="J31" i="21"/>
  <c r="J12" i="34"/>
  <c r="H12" i="34"/>
  <c r="F12" i="34"/>
  <c r="S12" i="34" s="1"/>
  <c r="AC22" i="35"/>
  <c r="W22" i="35"/>
  <c r="H45" i="39"/>
  <c r="J45" i="39"/>
  <c r="W45" i="39" s="1"/>
  <c r="S9" i="40"/>
  <c r="AA9" i="40"/>
  <c r="S30" i="40"/>
  <c r="AZ326" i="3"/>
  <c r="AZ344" i="3"/>
  <c r="AC12" i="37"/>
  <c r="AZ497" i="3"/>
  <c r="AZ505" i="3"/>
  <c r="AZ515" i="3"/>
  <c r="AZ561" i="3"/>
  <c r="AZ569" i="3"/>
  <c r="AZ527" i="3"/>
  <c r="E115" i="33"/>
  <c r="F115" i="33" s="1"/>
  <c r="G115" i="33" s="1"/>
  <c r="H115" i="33" s="1"/>
  <c r="I115" i="33" s="1"/>
  <c r="J115" i="33" s="1"/>
  <c r="K115" i="33" s="1"/>
  <c r="L115" i="33" s="1"/>
  <c r="M115" i="33" s="1"/>
  <c r="J38" i="33"/>
  <c r="AC38" i="33" s="1"/>
  <c r="H23" i="36"/>
  <c r="F23" i="36"/>
  <c r="U32" i="39"/>
  <c r="W33" i="34"/>
  <c r="AB33" i="34"/>
  <c r="AA40" i="34"/>
  <c r="AB27" i="40"/>
  <c r="S15" i="37"/>
  <c r="AZ345" i="3"/>
  <c r="AZ389" i="3"/>
  <c r="AZ377" i="3"/>
  <c r="AZ372" i="3"/>
  <c r="AZ361" i="3"/>
  <c r="AZ356" i="3"/>
  <c r="AZ329" i="3"/>
  <c r="AZ376" i="3"/>
  <c r="AZ327" i="3"/>
  <c r="AZ309" i="3"/>
  <c r="AA11" i="39"/>
  <c r="AZ499" i="3"/>
  <c r="AZ521" i="3"/>
  <c r="AZ525" i="3"/>
  <c r="AZ577" i="3"/>
  <c r="AZ496" i="3"/>
  <c r="AZ504" i="3"/>
  <c r="AZ520" i="3"/>
  <c r="AZ528" i="3"/>
  <c r="AZ544" i="3"/>
  <c r="AZ554" i="3"/>
  <c r="AZ584" i="3"/>
  <c r="J33" i="36"/>
  <c r="AC33" i="36" s="1"/>
  <c r="J27" i="21"/>
  <c r="AA40" i="39"/>
  <c r="S40" i="39"/>
  <c r="S27" i="40"/>
  <c r="F29" i="6"/>
  <c r="AZ355" i="3"/>
  <c r="AZ503" i="3"/>
  <c r="AZ575" i="3"/>
  <c r="AA14" i="33"/>
  <c r="W11" i="35"/>
  <c r="AC11" i="35"/>
  <c r="H44" i="39"/>
  <c r="F44" i="39"/>
  <c r="J44" i="39"/>
  <c r="BA400" i="3"/>
  <c r="BA406" i="3"/>
  <c r="AZ406" i="3" s="1"/>
  <c r="BA407" i="3"/>
  <c r="BL411" i="3"/>
  <c r="BL419" i="3"/>
  <c r="BL424" i="3"/>
  <c r="G427" i="3"/>
  <c r="BA433" i="3"/>
  <c r="AZ433" i="3" s="1"/>
  <c r="BA435" i="3"/>
  <c r="BA452" i="3"/>
  <c r="BL452" i="3"/>
  <c r="BL453" i="3"/>
  <c r="BL454" i="3"/>
  <c r="BL458" i="3"/>
  <c r="BL459" i="3"/>
  <c r="G462" i="3"/>
  <c r="BA469" i="3"/>
  <c r="BL472" i="3"/>
  <c r="BL475" i="3"/>
  <c r="BL316" i="3"/>
  <c r="BL383" i="3"/>
  <c r="AZ383" i="3" s="1"/>
  <c r="BA392" i="3"/>
  <c r="AZ392" i="3" s="1"/>
  <c r="BL211" i="3"/>
  <c r="BA217" i="3"/>
  <c r="G220" i="3"/>
  <c r="BA225" i="3"/>
  <c r="BA227" i="3"/>
  <c r="AZ227" i="3" s="1"/>
  <c r="BL230" i="3"/>
  <c r="BA235" i="3"/>
  <c r="BL235" i="3"/>
  <c r="BL236" i="3"/>
  <c r="G237" i="3"/>
  <c r="BL242" i="3"/>
  <c r="BL243" i="3"/>
  <c r="BA250" i="3"/>
  <c r="BL254" i="3"/>
  <c r="BA258" i="3"/>
  <c r="G287" i="3"/>
  <c r="BA168" i="3"/>
  <c r="AZ168" i="3" s="1"/>
  <c r="C64" i="71"/>
  <c r="D63" i="71"/>
  <c r="G13" i="3"/>
  <c r="F19" i="6"/>
  <c r="E19" i="6" s="1"/>
  <c r="G399" i="3"/>
  <c r="BL409" i="3"/>
  <c r="BL413" i="3"/>
  <c r="G416" i="3"/>
  <c r="BA420" i="3"/>
  <c r="BL423" i="3"/>
  <c r="G430" i="3"/>
  <c r="BA431" i="3"/>
  <c r="BA449" i="3"/>
  <c r="BL451" i="3"/>
  <c r="G458" i="3"/>
  <c r="BA463" i="3"/>
  <c r="BA465" i="3"/>
  <c r="AZ465" i="3" s="1"/>
  <c r="BA478" i="3"/>
  <c r="BL484" i="3"/>
  <c r="G489" i="3"/>
  <c r="BA489" i="3"/>
  <c r="BL340" i="3"/>
  <c r="AZ340" i="3" s="1"/>
  <c r="BA348" i="3"/>
  <c r="BA350" i="3"/>
  <c r="AZ350" i="3" s="1"/>
  <c r="BA354" i="3"/>
  <c r="BL381" i="3"/>
  <c r="AZ381" i="3" s="1"/>
  <c r="BA214" i="3"/>
  <c r="BA216" i="3"/>
  <c r="AZ216" i="3" s="1"/>
  <c r="BL219" i="3"/>
  <c r="BL224" i="3"/>
  <c r="BA233" i="3"/>
  <c r="BL233" i="3"/>
  <c r="BA249" i="3"/>
  <c r="BL249" i="3"/>
  <c r="BA253" i="3"/>
  <c r="BA270" i="3"/>
  <c r="BL272" i="3"/>
  <c r="BL294" i="3"/>
  <c r="BA297" i="3"/>
  <c r="BL297" i="3"/>
  <c r="G585" i="3"/>
  <c r="BL586" i="3"/>
  <c r="AZ586" i="3" s="1"/>
  <c r="BL400" i="3"/>
  <c r="G403" i="3"/>
  <c r="G408" i="3"/>
  <c r="G409" i="3"/>
  <c r="BL412" i="3"/>
  <c r="G413" i="3"/>
  <c r="G419" i="3"/>
  <c r="BA419" i="3"/>
  <c r="AZ419" i="3" s="1"/>
  <c r="BA424" i="3"/>
  <c r="BL427" i="3"/>
  <c r="G428" i="3"/>
  <c r="G432" i="3"/>
  <c r="BL440" i="3"/>
  <c r="BA441" i="3"/>
  <c r="G447" i="3"/>
  <c r="BL447" i="3"/>
  <c r="BL455" i="3"/>
  <c r="G466" i="3"/>
  <c r="BA467" i="3"/>
  <c r="BA468" i="3"/>
  <c r="G470" i="3"/>
  <c r="G471" i="3"/>
  <c r="BL471" i="3"/>
  <c r="BA477" i="3"/>
  <c r="BA481" i="3"/>
  <c r="G484" i="3"/>
  <c r="BA487" i="3"/>
  <c r="AZ487" i="3" s="1"/>
  <c r="BL490" i="3"/>
  <c r="G318" i="3"/>
  <c r="G323" i="3"/>
  <c r="BA331" i="3"/>
  <c r="AZ331" i="3" s="1"/>
  <c r="BA335" i="3"/>
  <c r="AZ335" i="3" s="1"/>
  <c r="BA339" i="3"/>
  <c r="AZ339" i="3" s="1"/>
  <c r="BL359" i="3"/>
  <c r="AZ359" i="3" s="1"/>
  <c r="BL367" i="3"/>
  <c r="BL375" i="3"/>
  <c r="AZ375" i="3" s="1"/>
  <c r="BA385" i="3"/>
  <c r="BL386" i="3"/>
  <c r="G392" i="3"/>
  <c r="BL395" i="3"/>
  <c r="G396" i="3"/>
  <c r="BA397" i="3"/>
  <c r="AZ397" i="3" s="1"/>
  <c r="BL397" i="3"/>
  <c r="BA212" i="3"/>
  <c r="G216" i="3"/>
  <c r="BL222" i="3"/>
  <c r="BL223" i="3"/>
  <c r="G224" i="3"/>
  <c r="G229" i="3"/>
  <c r="BA229" i="3"/>
  <c r="AZ229" i="3" s="1"/>
  <c r="BL229" i="3"/>
  <c r="BA231" i="3"/>
  <c r="BL231" i="3"/>
  <c r="G233" i="3"/>
  <c r="G241" i="3"/>
  <c r="BA248" i="3"/>
  <c r="BL252" i="3"/>
  <c r="BA256" i="3"/>
  <c r="AZ256" i="3" s="1"/>
  <c r="BL256" i="3"/>
  <c r="BL259" i="3"/>
  <c r="BA265" i="3"/>
  <c r="G268" i="3"/>
  <c r="BL269" i="3"/>
  <c r="G276" i="3"/>
  <c r="BL280" i="3"/>
  <c r="BL283" i="3"/>
  <c r="BL284" i="3"/>
  <c r="G285" i="3"/>
  <c r="G134" i="3"/>
  <c r="H39" i="40"/>
  <c r="G582" i="3"/>
  <c r="G574" i="3"/>
  <c r="G14" i="3"/>
  <c r="F20" i="6"/>
  <c r="E20" i="6" s="1"/>
  <c r="K7" i="1" s="1"/>
  <c r="M7" i="1" s="1"/>
  <c r="O7" i="1" s="1"/>
  <c r="P7" i="1" s="1"/>
  <c r="BL16" i="3"/>
  <c r="AZ16" i="3" s="1"/>
  <c r="AZ402" i="3"/>
  <c r="AZ413" i="3"/>
  <c r="G66" i="3"/>
  <c r="D46" i="71"/>
  <c r="C47" i="71"/>
  <c r="D47" i="71" s="1"/>
  <c r="X36" i="71"/>
  <c r="BA301" i="3"/>
  <c r="BL122" i="3"/>
  <c r="BA124" i="3"/>
  <c r="AZ124" i="3" s="1"/>
  <c r="BL139" i="3"/>
  <c r="AZ139" i="3" s="1"/>
  <c r="BL141" i="3"/>
  <c r="BL143" i="3"/>
  <c r="AZ143" i="3" s="1"/>
  <c r="BL154" i="3"/>
  <c r="BA157" i="3"/>
  <c r="BL161" i="3"/>
  <c r="BL177" i="3"/>
  <c r="BA189" i="3"/>
  <c r="BL205" i="3"/>
  <c r="BA207" i="3"/>
  <c r="BL24" i="3"/>
  <c r="BL29" i="3"/>
  <c r="BL34" i="3"/>
  <c r="BA40" i="3"/>
  <c r="G50" i="3"/>
  <c r="BA50" i="3"/>
  <c r="BA51" i="3"/>
  <c r="G55" i="3"/>
  <c r="BL67" i="3"/>
  <c r="BL74" i="3"/>
  <c r="BL75" i="3"/>
  <c r="BL79" i="3"/>
  <c r="BL81" i="3"/>
  <c r="BA82" i="3"/>
  <c r="AZ82" i="3" s="1"/>
  <c r="BA92" i="3"/>
  <c r="BL93" i="3"/>
  <c r="G95" i="3"/>
  <c r="BA97" i="3"/>
  <c r="BA105" i="3"/>
  <c r="P27" i="6"/>
  <c r="D35" i="71"/>
  <c r="D50" i="71"/>
  <c r="C31" i="71"/>
  <c r="X25" i="71"/>
  <c r="AB35" i="71"/>
  <c r="AA35" i="71"/>
  <c r="Y35" i="71"/>
  <c r="Z35" i="71" s="1"/>
  <c r="G256" i="3"/>
  <c r="BA257" i="3"/>
  <c r="G260" i="3"/>
  <c r="G261" i="3"/>
  <c r="BL266" i="3"/>
  <c r="BL273" i="3"/>
  <c r="G274" i="3"/>
  <c r="BA275" i="3"/>
  <c r="BA279" i="3"/>
  <c r="G294" i="3"/>
  <c r="G299" i="3"/>
  <c r="BL133" i="3"/>
  <c r="BL135" i="3"/>
  <c r="AZ135" i="3" s="1"/>
  <c r="G143" i="3"/>
  <c r="G150" i="3"/>
  <c r="G154" i="3"/>
  <c r="BA156" i="3"/>
  <c r="AZ156" i="3" s="1"/>
  <c r="BL166" i="3"/>
  <c r="G167" i="3"/>
  <c r="G172" i="3"/>
  <c r="BL181" i="3"/>
  <c r="BL186" i="3"/>
  <c r="AZ186" i="3" s="1"/>
  <c r="BA188" i="3"/>
  <c r="AZ188" i="3" s="1"/>
  <c r="BL195" i="3"/>
  <c r="AZ195" i="3" s="1"/>
  <c r="G196" i="3"/>
  <c r="BA197" i="3"/>
  <c r="BA201" i="3"/>
  <c r="AZ201" i="3" s="1"/>
  <c r="BL23" i="3"/>
  <c r="G48" i="3"/>
  <c r="BL48" i="3"/>
  <c r="BL57" i="3"/>
  <c r="G59" i="3"/>
  <c r="G62" i="3"/>
  <c r="G63" i="3"/>
  <c r="BL65" i="3"/>
  <c r="BL66" i="3"/>
  <c r="BL72" i="3"/>
  <c r="G74" i="3"/>
  <c r="G79" i="3"/>
  <c r="G84" i="3"/>
  <c r="G89" i="3"/>
  <c r="G93" i="3"/>
  <c r="BA94" i="3"/>
  <c r="G98" i="3"/>
  <c r="BA100" i="3"/>
  <c r="G102" i="3"/>
  <c r="G103" i="3"/>
  <c r="BA109" i="3"/>
  <c r="D54" i="43"/>
  <c r="AC21" i="37"/>
  <c r="U21" i="37"/>
  <c r="C29" i="39"/>
  <c r="AA18" i="35"/>
  <c r="C38" i="71"/>
  <c r="D38" i="71" s="1"/>
  <c r="Y26" i="71"/>
  <c r="Z26" i="71" s="1"/>
  <c r="AB36" i="71"/>
  <c r="AA37" i="71"/>
  <c r="C43" i="71"/>
  <c r="E51" i="71"/>
  <c r="E52" i="71" s="1"/>
  <c r="U52" i="71" s="1"/>
  <c r="C23" i="71"/>
  <c r="B22" i="71"/>
  <c r="B21" i="71" s="1"/>
  <c r="B20" i="71" s="1"/>
  <c r="G292" i="3"/>
  <c r="BA126" i="3"/>
  <c r="BA145" i="3"/>
  <c r="BL146" i="3"/>
  <c r="G147" i="3"/>
  <c r="BL157" i="3"/>
  <c r="BL159" i="3"/>
  <c r="AZ159" i="3" s="1"/>
  <c r="G160" i="3"/>
  <c r="BA177" i="3"/>
  <c r="AZ177" i="3" s="1"/>
  <c r="G190" i="3"/>
  <c r="G195" i="3"/>
  <c r="BL198" i="3"/>
  <c r="G18" i="3"/>
  <c r="G32" i="3"/>
  <c r="G46" i="3"/>
  <c r="G51" i="3"/>
  <c r="BA62" i="3"/>
  <c r="BL64" i="3"/>
  <c r="G65" i="3"/>
  <c r="BL70" i="3"/>
  <c r="BL71" i="3"/>
  <c r="G78" i="3"/>
  <c r="BL86" i="3"/>
  <c r="G87" i="3"/>
  <c r="BL91" i="3"/>
  <c r="BA98" i="3"/>
  <c r="BL100" i="3"/>
  <c r="BL105" i="3"/>
  <c r="G107" i="3"/>
  <c r="BL107" i="3"/>
  <c r="BL110" i="3"/>
  <c r="K13" i="1"/>
  <c r="M13" i="1" s="1"/>
  <c r="O13" i="1" s="1"/>
  <c r="P13" i="1" s="1"/>
  <c r="D53" i="43"/>
  <c r="U25" i="40"/>
  <c r="B68" i="43"/>
  <c r="AA34" i="71"/>
  <c r="B51" i="71"/>
  <c r="B52" i="71" s="1"/>
  <c r="S52" i="71" s="1"/>
  <c r="F79" i="71"/>
  <c r="F78" i="71" s="1"/>
  <c r="F6" i="1"/>
  <c r="G6" i="1" s="1"/>
  <c r="AC21" i="33"/>
  <c r="W8" i="33"/>
  <c r="G123" i="33"/>
  <c r="H123" i="33" s="1"/>
  <c r="I123" i="33" s="1"/>
  <c r="J123" i="33" s="1"/>
  <c r="K123" i="33" s="1"/>
  <c r="L123" i="33" s="1"/>
  <c r="M123" i="33" s="1"/>
  <c r="H42" i="33"/>
  <c r="AB42" i="33" s="1"/>
  <c r="H15" i="33"/>
  <c r="AB15" i="33" s="1"/>
  <c r="F15" i="33"/>
  <c r="AA15" i="33" s="1"/>
  <c r="G111" i="33"/>
  <c r="J36" i="33" s="1"/>
  <c r="W36" i="33" s="1"/>
  <c r="F42" i="33"/>
  <c r="AA42" i="33" s="1"/>
  <c r="J42" i="33"/>
  <c r="AC42" i="33" s="1"/>
  <c r="H38" i="33"/>
  <c r="U38" i="33" s="1"/>
  <c r="F38" i="33"/>
  <c r="AA38" i="33" s="1"/>
  <c r="S39" i="33"/>
  <c r="W39" i="33"/>
  <c r="H36" i="33"/>
  <c r="U36" i="33" s="1"/>
  <c r="H111" i="33"/>
  <c r="I111" i="33" s="1"/>
  <c r="J111" i="33" s="1"/>
  <c r="K111" i="33" s="1"/>
  <c r="L111" i="33" s="1"/>
  <c r="M111" i="33" s="1"/>
  <c r="AC28" i="33"/>
  <c r="AB28" i="33"/>
  <c r="S28" i="33"/>
  <c r="W26" i="33"/>
  <c r="C18" i="9"/>
  <c r="D18" i="9" s="1"/>
  <c r="B58" i="43"/>
  <c r="C25" i="39"/>
  <c r="B69" i="43"/>
  <c r="AB26" i="33"/>
  <c r="S26" i="33"/>
  <c r="AB29" i="33"/>
  <c r="AA29" i="33"/>
  <c r="AA37" i="33"/>
  <c r="U37" i="33"/>
  <c r="S43" i="33"/>
  <c r="AC37" i="33"/>
  <c r="S36" i="33"/>
  <c r="U35" i="33"/>
  <c r="AB25" i="33"/>
  <c r="AC25" i="33"/>
  <c r="S25" i="33"/>
  <c r="AC27" i="33"/>
  <c r="U27" i="33"/>
  <c r="S27" i="33"/>
  <c r="S32" i="33"/>
  <c r="U23" i="33"/>
  <c r="W15" i="33"/>
  <c r="U15" i="33"/>
  <c r="S15" i="33"/>
  <c r="AB34" i="33"/>
  <c r="AC34" i="33"/>
  <c r="W32" i="33"/>
  <c r="U32" i="33"/>
  <c r="U19" i="33"/>
  <c r="AA19" i="33"/>
  <c r="W19" i="33"/>
  <c r="W17" i="33"/>
  <c r="S11" i="33"/>
  <c r="F32" i="67"/>
  <c r="F60" i="67" s="1"/>
  <c r="F52" i="9"/>
  <c r="F54" i="9"/>
  <c r="F28" i="67"/>
  <c r="C28" i="67" s="1"/>
  <c r="F28" i="15"/>
  <c r="F32" i="15"/>
  <c r="F60" i="15" s="1"/>
  <c r="F30" i="68"/>
  <c r="F48" i="68" s="1"/>
  <c r="M18" i="15"/>
  <c r="M18" i="67"/>
  <c r="F30" i="11"/>
  <c r="C48" i="11" s="1"/>
  <c r="D68" i="9"/>
  <c r="F30" i="69"/>
  <c r="F48" i="69" s="1"/>
  <c r="F31" i="12"/>
  <c r="C21" i="68"/>
  <c r="G1" i="69"/>
  <c r="G1" i="15"/>
  <c r="G29" i="6"/>
  <c r="F7" i="1"/>
  <c r="G7" i="1" s="1"/>
  <c r="F16" i="4"/>
  <c r="A18" i="51" s="1"/>
  <c r="B13" i="72" s="1"/>
  <c r="U23" i="21"/>
  <c r="AZ14" i="3"/>
  <c r="AZ304" i="3"/>
  <c r="AZ306" i="3"/>
  <c r="AA14" i="37"/>
  <c r="S14" i="37"/>
  <c r="AC23" i="21"/>
  <c r="AC9" i="21"/>
  <c r="S13" i="21"/>
  <c r="AA32" i="37"/>
  <c r="AC5" i="3"/>
  <c r="G521" i="3"/>
  <c r="AZ513" i="3"/>
  <c r="S34" i="33"/>
  <c r="AA34" i="33"/>
  <c r="U33" i="40"/>
  <c r="AB33" i="40"/>
  <c r="AA12" i="40"/>
  <c r="S12" i="40"/>
  <c r="AB34" i="35"/>
  <c r="U34" i="35"/>
  <c r="AA17" i="33"/>
  <c r="AA20" i="35"/>
  <c r="S20" i="35"/>
  <c r="S22" i="36"/>
  <c r="AA22" i="36"/>
  <c r="AZ523" i="3"/>
  <c r="AZ547" i="3"/>
  <c r="AZ571" i="3"/>
  <c r="AZ579" i="3"/>
  <c r="AB46" i="34"/>
  <c r="AB30" i="21"/>
  <c r="S41" i="33"/>
  <c r="AB23" i="34"/>
  <c r="BL585" i="3"/>
  <c r="AZ585" i="3" s="1"/>
  <c r="B75" i="43"/>
  <c r="H9" i="33"/>
  <c r="G556" i="3"/>
  <c r="AZ387" i="3"/>
  <c r="AZ362" i="3"/>
  <c r="AZ338" i="3"/>
  <c r="AZ390" i="3"/>
  <c r="AZ371" i="3"/>
  <c r="AZ351" i="3"/>
  <c r="AZ336" i="3"/>
  <c r="AZ305" i="3"/>
  <c r="AZ360" i="3"/>
  <c r="AC31" i="33"/>
  <c r="AZ539" i="3"/>
  <c r="AZ529" i="3"/>
  <c r="AZ537" i="3"/>
  <c r="AZ518" i="3"/>
  <c r="AZ546" i="3"/>
  <c r="AB45" i="33"/>
  <c r="S38" i="37"/>
  <c r="AC13" i="35"/>
  <c r="AB30" i="33"/>
  <c r="AA44" i="34"/>
  <c r="AA29" i="35"/>
  <c r="AB17" i="34"/>
  <c r="W36" i="34"/>
  <c r="B79" i="43"/>
  <c r="BL587" i="3"/>
  <c r="AZ587" i="3" s="1"/>
  <c r="J23" i="35"/>
  <c r="H23" i="35"/>
  <c r="H25" i="37"/>
  <c r="F25" i="37"/>
  <c r="F38" i="40"/>
  <c r="H38" i="40"/>
  <c r="AZ384" i="3"/>
  <c r="AZ357" i="3"/>
  <c r="AZ322" i="3"/>
  <c r="AZ313" i="3"/>
  <c r="AZ394" i="3"/>
  <c r="AA25" i="21"/>
  <c r="AZ519" i="3"/>
  <c r="AZ531" i="3"/>
  <c r="AZ573" i="3"/>
  <c r="AZ583" i="3"/>
  <c r="AZ568" i="3"/>
  <c r="AZ576" i="3"/>
  <c r="AA14" i="34"/>
  <c r="G587" i="3"/>
  <c r="J9" i="34"/>
  <c r="F12" i="35"/>
  <c r="J12" i="35"/>
  <c r="J25" i="37"/>
  <c r="BL428" i="3"/>
  <c r="BL429" i="3"/>
  <c r="BL432" i="3"/>
  <c r="BL435" i="3"/>
  <c r="BL436" i="3"/>
  <c r="BA439" i="3"/>
  <c r="BA440" i="3"/>
  <c r="AZ440" i="3" s="1"/>
  <c r="BA443" i="3"/>
  <c r="AZ443" i="3" s="1"/>
  <c r="AZ444" i="3"/>
  <c r="BA445" i="3"/>
  <c r="BA447" i="3"/>
  <c r="AZ447" i="3" s="1"/>
  <c r="AZ451"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G441" i="3"/>
  <c r="BL441" i="3"/>
  <c r="AZ441" i="3" s="1"/>
  <c r="G448" i="3"/>
  <c r="G449" i="3"/>
  <c r="BL449" i="3"/>
  <c r="BL450" i="3"/>
  <c r="AZ466" i="3"/>
  <c r="BL15" i="3"/>
  <c r="AZ15"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AZ435" i="3"/>
  <c r="AZ448" i="3"/>
  <c r="AZ469" i="3"/>
  <c r="AZ217" i="3"/>
  <c r="BA551" i="3"/>
  <c r="AZ551" i="3" s="1"/>
  <c r="BA550" i="3"/>
  <c r="AZ550" i="3" s="1"/>
  <c r="BL548" i="3"/>
  <c r="AZ548" i="3" s="1"/>
  <c r="BA401" i="3"/>
  <c r="AZ401" i="3" s="1"/>
  <c r="BA403" i="3"/>
  <c r="AZ403" i="3" s="1"/>
  <c r="BA404" i="3"/>
  <c r="BA405" i="3"/>
  <c r="BL410" i="3"/>
  <c r="AZ410" i="3" s="1"/>
  <c r="G412" i="3"/>
  <c r="G418" i="3"/>
  <c r="BA422" i="3"/>
  <c r="AZ422" i="3" s="1"/>
  <c r="BL431" i="3"/>
  <c r="BL434" i="3"/>
  <c r="G437" i="3"/>
  <c r="BL438" i="3"/>
  <c r="BL439" i="3"/>
  <c r="AZ439" i="3" s="1"/>
  <c r="BA442" i="3"/>
  <c r="BL442" i="3"/>
  <c r="BL444" i="3"/>
  <c r="G446" i="3"/>
  <c r="BL448" i="3"/>
  <c r="G450" i="3"/>
  <c r="BA454" i="3"/>
  <c r="AZ454" i="3" s="1"/>
  <c r="BA457" i="3"/>
  <c r="BA459" i="3"/>
  <c r="AZ459" i="3" s="1"/>
  <c r="BA460" i="3"/>
  <c r="BA461" i="3"/>
  <c r="BL464" i="3"/>
  <c r="BL466" i="3"/>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86" i="3"/>
  <c r="AZ286" i="3" s="1"/>
  <c r="BL298" i="3"/>
  <c r="G116" i="3"/>
  <c r="G454" i="3"/>
  <c r="BL456" i="3"/>
  <c r="AZ456" i="3" s="1"/>
  <c r="BA464" i="3"/>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60" i="3"/>
  <c r="G262" i="3"/>
  <c r="BL263" i="3"/>
  <c r="G264" i="3"/>
  <c r="BL270" i="3"/>
  <c r="AZ270" i="3" s="1"/>
  <c r="BA272" i="3"/>
  <c r="AZ272" i="3" s="1"/>
  <c r="BL275" i="3"/>
  <c r="AZ275" i="3" s="1"/>
  <c r="G277" i="3"/>
  <c r="BA282" i="3"/>
  <c r="BL282" i="3"/>
  <c r="BA134" i="3"/>
  <c r="AZ458" i="3"/>
  <c r="AZ462" i="3"/>
  <c r="BL214" i="3"/>
  <c r="AZ214" i="3" s="1"/>
  <c r="BL225" i="3"/>
  <c r="BL226" i="3"/>
  <c r="BA239" i="3"/>
  <c r="BL239" i="3"/>
  <c r="BA241" i="3"/>
  <c r="BL241" i="3"/>
  <c r="BA244" i="3"/>
  <c r="BL244" i="3"/>
  <c r="BA246" i="3"/>
  <c r="BA252" i="3"/>
  <c r="AZ252" i="3" s="1"/>
  <c r="BA254" i="3"/>
  <c r="AZ254" i="3" s="1"/>
  <c r="BA277" i="3"/>
  <c r="AZ277" i="3" s="1"/>
  <c r="BL277" i="3"/>
  <c r="BA281" i="3"/>
  <c r="BA288" i="3"/>
  <c r="BL290" i="3"/>
  <c r="AZ290" i="3" s="1"/>
  <c r="BL291" i="3"/>
  <c r="AZ291" i="3" s="1"/>
  <c r="BL293" i="3"/>
  <c r="G127" i="3"/>
  <c r="BA133" i="3"/>
  <c r="AZ133" i="3" s="1"/>
  <c r="G136" i="3"/>
  <c r="BA434" i="3"/>
  <c r="BA436" i="3"/>
  <c r="BA438" i="3"/>
  <c r="AZ438" i="3" s="1"/>
  <c r="G442" i="3"/>
  <c r="G443" i="3"/>
  <c r="BA446" i="3"/>
  <c r="BA450" i="3"/>
  <c r="AZ450" i="3" s="1"/>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BL271" i="3"/>
  <c r="BA274" i="3"/>
  <c r="BL274" i="3"/>
  <c r="BA296" i="3"/>
  <c r="BL300" i="3"/>
  <c r="G126" i="3"/>
  <c r="BA132" i="3"/>
  <c r="AZ132" i="3" s="1"/>
  <c r="BA61" i="3"/>
  <c r="BA67" i="3"/>
  <c r="AZ67" i="3" s="1"/>
  <c r="C44" i="71"/>
  <c r="D43" i="71"/>
  <c r="V24" i="71"/>
  <c r="E23" i="71"/>
  <c r="E22" i="71" s="1"/>
  <c r="E21" i="71" s="1"/>
  <c r="E20" i="71" s="1"/>
  <c r="V20" i="71" s="1"/>
  <c r="G288" i="3"/>
  <c r="BL292" i="3"/>
  <c r="BA294" i="3"/>
  <c r="AZ294" i="3" s="1"/>
  <c r="BL295" i="3"/>
  <c r="BA298" i="3"/>
  <c r="AZ298" i="3" s="1"/>
  <c r="BL301" i="3"/>
  <c r="AZ301" i="3" s="1"/>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BA41" i="3"/>
  <c r="BA42" i="3"/>
  <c r="BL45" i="3"/>
  <c r="BA48" i="3"/>
  <c r="AZ48" i="3" s="1"/>
  <c r="BA49" i="3"/>
  <c r="BL62" i="3"/>
  <c r="BL63" i="3"/>
  <c r="BA65" i="3"/>
  <c r="AZ65" i="3" s="1"/>
  <c r="BA72" i="3"/>
  <c r="AZ72" i="3" s="1"/>
  <c r="BA78"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BA38" i="3"/>
  <c r="BL40" i="3"/>
  <c r="BL41" i="3"/>
  <c r="BA52" i="3"/>
  <c r="AZ52" i="3" s="1"/>
  <c r="BA53" i="3"/>
  <c r="BA54" i="3"/>
  <c r="BA70" i="3"/>
  <c r="AZ70" i="3" s="1"/>
  <c r="C52" i="71"/>
  <c r="D51" i="71"/>
  <c r="C55" i="71"/>
  <c r="D54" i="71"/>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BL31" i="3"/>
  <c r="G35" i="3"/>
  <c r="G36" i="3"/>
  <c r="BA43" i="3"/>
  <c r="BL47" i="3"/>
  <c r="AZ47" i="3" s="1"/>
  <c r="G49" i="3"/>
  <c r="BL54" i="3"/>
  <c r="BL55" i="3"/>
  <c r="AZ55" i="3" s="1"/>
  <c r="G57" i="3"/>
  <c r="G58" i="3"/>
  <c r="BA59" i="3"/>
  <c r="AZ59" i="3" s="1"/>
  <c r="AZ62" i="3"/>
  <c r="D31" i="71"/>
  <c r="C32" i="71"/>
  <c r="C60" i="71"/>
  <c r="D59" i="71"/>
  <c r="N67" i="71"/>
  <c r="B66" i="71"/>
  <c r="F66" i="71"/>
  <c r="Q67" i="7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AZ106" i="3" s="1"/>
  <c r="BA108" i="3"/>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8" i="3"/>
  <c r="AZ68" i="3" s="1"/>
  <c r="BA73" i="3"/>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38" i="71"/>
  <c r="F39" i="71" s="1"/>
  <c r="F40" i="71" s="1"/>
  <c r="V40" i="71" s="1"/>
  <c r="AB38" i="71"/>
  <c r="AA39" i="71"/>
  <c r="F75" i="71"/>
  <c r="F74" i="71" s="1"/>
  <c r="B79" i="71"/>
  <c r="B78" i="71" s="1"/>
  <c r="BA37" i="3"/>
  <c r="G39" i="3"/>
  <c r="BL39" i="3"/>
  <c r="G43" i="3"/>
  <c r="G44" i="3"/>
  <c r="BA45" i="3"/>
  <c r="AZ45" i="3" s="1"/>
  <c r="BA46" i="3"/>
  <c r="AZ46" i="3" s="1"/>
  <c r="BL49" i="3"/>
  <c r="BL50" i="3"/>
  <c r="AZ50" i="3"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G108" i="3"/>
  <c r="G109" i="3"/>
  <c r="BL112" i="3"/>
  <c r="AB21" i="33"/>
  <c r="S21" i="34"/>
  <c r="B88" i="43"/>
  <c r="BA90" i="3"/>
  <c r="AZ90" i="3" s="1"/>
  <c r="BL94" i="3"/>
  <c r="AZ94" i="3" s="1"/>
  <c r="AZ100" i="3"/>
  <c r="AB28" i="71"/>
  <c r="AB33" i="71"/>
  <c r="AA30" i="71"/>
  <c r="E35" i="71"/>
  <c r="E36" i="71" s="1"/>
  <c r="U36" i="71" s="1"/>
  <c r="AB31" i="71"/>
  <c r="AA36" i="71"/>
  <c r="B47" i="71"/>
  <c r="B48" i="71" s="1"/>
  <c r="S48"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67" i="3"/>
  <c r="AZ468" i="3"/>
  <c r="W35" i="39"/>
  <c r="F27" i="34"/>
  <c r="C21" i="39"/>
  <c r="U9" i="36"/>
  <c r="U14" i="37"/>
  <c r="H12" i="21"/>
  <c r="G526" i="3"/>
  <c r="AZ420" i="3"/>
  <c r="AZ424" i="3"/>
  <c r="AZ434" i="3"/>
  <c r="AZ436"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73"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AZ22" i="3" s="1"/>
  <c r="BL33" i="3"/>
  <c r="AZ33" i="3" s="1"/>
  <c r="BL43" i="3"/>
  <c r="BL46" i="3"/>
  <c r="AZ54"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C27" i="67"/>
  <c r="N59" i="67"/>
  <c r="L59" i="67"/>
  <c r="M59" i="67"/>
  <c r="B13" i="70"/>
  <c r="F68" i="67"/>
  <c r="C36" i="68"/>
  <c r="D9" i="68"/>
  <c r="D9" i="69"/>
  <c r="L47" i="15"/>
  <c r="D4" i="73"/>
  <c r="D5" i="73"/>
  <c r="M6" i="15"/>
  <c r="M29" i="15"/>
  <c r="M8" i="15"/>
  <c r="F40" i="15"/>
  <c r="F38" i="67"/>
  <c r="F9" i="15"/>
  <c r="J15" i="15"/>
  <c r="F26" i="15"/>
  <c r="F27" i="69"/>
  <c r="F36" i="15"/>
  <c r="C36" i="69"/>
  <c r="L48" i="67"/>
  <c r="C76" i="67"/>
  <c r="M28" i="15"/>
  <c r="F13" i="67"/>
  <c r="M24" i="15"/>
  <c r="F16" i="15"/>
  <c r="M26" i="67"/>
  <c r="F38" i="15"/>
  <c r="F43" i="15"/>
  <c r="F37" i="15"/>
  <c r="F6" i="15"/>
  <c r="F13" i="15"/>
  <c r="D7" i="73"/>
  <c r="F8" i="15"/>
  <c r="F8" i="67"/>
  <c r="M23" i="15"/>
  <c r="L48" i="15"/>
  <c r="M9" i="67"/>
  <c r="F7" i="15"/>
  <c r="F36" i="67"/>
  <c r="F9" i="67"/>
  <c r="M9" i="15"/>
  <c r="M26" i="15"/>
  <c r="F42" i="15"/>
  <c r="M28" i="67"/>
  <c r="C76" i="15"/>
  <c r="M22" i="67"/>
  <c r="M22" i="15"/>
  <c r="D3" i="73"/>
  <c r="M11" i="85" l="1"/>
  <c r="J10" i="85" s="1"/>
  <c r="J5" i="85" s="1"/>
  <c r="F11" i="85"/>
  <c r="W38" i="33"/>
  <c r="AB38" i="33"/>
  <c r="I24" i="43"/>
  <c r="C24" i="43" s="1"/>
  <c r="Q71" i="67"/>
  <c r="F66" i="67"/>
  <c r="F51" i="67"/>
  <c r="F64" i="67"/>
  <c r="AZ112" i="3"/>
  <c r="AZ300" i="3"/>
  <c r="AZ209" i="3"/>
  <c r="AZ234" i="3"/>
  <c r="E19" i="71"/>
  <c r="E18" i="71" s="1"/>
  <c r="E17" i="71" s="1"/>
  <c r="E16" i="71" s="1"/>
  <c r="AZ101" i="3"/>
  <c r="AZ130" i="3"/>
  <c r="AZ27" i="3"/>
  <c r="AZ118" i="3"/>
  <c r="AZ25" i="3"/>
  <c r="AZ5" i="3" s="1"/>
  <c r="AZ274" i="3"/>
  <c r="AZ241" i="3"/>
  <c r="AZ249" i="3"/>
  <c r="AC44" i="39"/>
  <c r="W44" i="39"/>
  <c r="S23" i="36"/>
  <c r="AA23" i="36"/>
  <c r="AC31" i="21"/>
  <c r="W31" i="21"/>
  <c r="B19" i="71"/>
  <c r="B18" i="71" s="1"/>
  <c r="B17" i="71" s="1"/>
  <c r="B16" i="71" s="1"/>
  <c r="S20" i="71"/>
  <c r="U39" i="40"/>
  <c r="AB39" i="40"/>
  <c r="C33" i="33"/>
  <c r="U3" i="43"/>
  <c r="U2" i="43"/>
  <c r="K6" i="1"/>
  <c r="AA44" i="39"/>
  <c r="S44" i="39"/>
  <c r="W27" i="21"/>
  <c r="AC27" i="21"/>
  <c r="AB23" i="36"/>
  <c r="U23" i="36"/>
  <c r="AB31" i="21"/>
  <c r="U31" i="21"/>
  <c r="E28" i="6"/>
  <c r="K14" i="1" s="1"/>
  <c r="AZ87" i="3"/>
  <c r="AZ43" i="3"/>
  <c r="AZ32" i="3"/>
  <c r="AZ138" i="3"/>
  <c r="AZ114" i="3"/>
  <c r="AZ215" i="3"/>
  <c r="AZ137" i="3"/>
  <c r="AZ31" i="3"/>
  <c r="AZ38" i="3"/>
  <c r="AZ61" i="3"/>
  <c r="AZ271" i="3"/>
  <c r="AZ368" i="3"/>
  <c r="AZ353" i="3"/>
  <c r="AZ244" i="3"/>
  <c r="AZ239" i="3"/>
  <c r="AZ282" i="3"/>
  <c r="C31" i="12"/>
  <c r="C22" i="71"/>
  <c r="D23" i="71"/>
  <c r="AZ105" i="3"/>
  <c r="AZ157" i="3"/>
  <c r="AZ297" i="3"/>
  <c r="AZ233" i="3"/>
  <c r="AB44" i="39"/>
  <c r="U44" i="39"/>
  <c r="U45" i="39"/>
  <c r="AB45" i="39"/>
  <c r="AB12" i="34"/>
  <c r="U12" i="34"/>
  <c r="AZ295" i="3"/>
  <c r="AZ28" i="3"/>
  <c r="AZ460" i="3"/>
  <c r="S38" i="33"/>
  <c r="AZ235" i="3"/>
  <c r="AZ400" i="3"/>
  <c r="W12" i="34"/>
  <c r="AC12" i="34"/>
  <c r="I54" i="67"/>
  <c r="J57" i="67"/>
  <c r="J55" i="67" s="1"/>
  <c r="J58" i="67" s="1"/>
  <c r="Q50" i="67" s="1"/>
  <c r="L56" i="67"/>
  <c r="L58" i="67"/>
  <c r="Q60" i="67" s="1"/>
  <c r="J53" i="67"/>
  <c r="Q52" i="67" s="1"/>
  <c r="U42" i="33"/>
  <c r="S42" i="33"/>
  <c r="W42" i="33"/>
  <c r="AB36" i="33"/>
  <c r="A19" i="51"/>
  <c r="B14" i="72" s="1"/>
  <c r="C48" i="69"/>
  <c r="F31" i="15"/>
  <c r="C6" i="15"/>
  <c r="N59" i="15"/>
  <c r="L58" i="15"/>
  <c r="Q60" i="15" s="1"/>
  <c r="M59" i="15"/>
  <c r="L59" i="15"/>
  <c r="Q61" i="15" s="1"/>
  <c r="M7" i="15"/>
  <c r="J6" i="15" s="1"/>
  <c r="J18" i="15" s="1"/>
  <c r="F50" i="15"/>
  <c r="C27" i="15"/>
  <c r="F68" i="15"/>
  <c r="F71" i="15"/>
  <c r="F65" i="15"/>
  <c r="F66" i="15"/>
  <c r="F51" i="15"/>
  <c r="Q71" i="15"/>
  <c r="I54" i="15"/>
  <c r="J53" i="15"/>
  <c r="L56" i="15" s="1"/>
  <c r="J57" i="15"/>
  <c r="J55" i="15" s="1"/>
  <c r="J58" i="15" s="1"/>
  <c r="Q50" i="15" s="1"/>
  <c r="F64" i="15"/>
  <c r="P6" i="1"/>
  <c r="C13" i="12" s="1"/>
  <c r="K16" i="1"/>
  <c r="N370" i="46"/>
  <c r="E59" i="40"/>
  <c r="G26" i="43"/>
  <c r="J26" i="43"/>
  <c r="N94" i="46"/>
  <c r="F26" i="43"/>
  <c r="E26" i="43"/>
  <c r="C70" i="71"/>
  <c r="D70" i="71" s="1"/>
  <c r="D71" i="71"/>
  <c r="T52" i="71"/>
  <c r="D52" i="71"/>
  <c r="AZ39" i="3"/>
  <c r="AZ263" i="3"/>
  <c r="AZ415" i="3"/>
  <c r="AZ432" i="3"/>
  <c r="AA38" i="40"/>
  <c r="S38" i="40"/>
  <c r="AC23" i="35"/>
  <c r="W23" i="35"/>
  <c r="T28" i="71"/>
  <c r="D28" i="71"/>
  <c r="U28" i="71" s="1"/>
  <c r="C27" i="71"/>
  <c r="D79" i="71"/>
  <c r="C78" i="71"/>
  <c r="D78" i="71" s="1"/>
  <c r="D60" i="71"/>
  <c r="T60" i="71"/>
  <c r="AZ457" i="3"/>
  <c r="AC9" i="34"/>
  <c r="W9" i="34"/>
  <c r="AA25" i="37"/>
  <c r="S25" i="37"/>
  <c r="J7" i="36"/>
  <c r="D83" i="71"/>
  <c r="C82" i="71"/>
  <c r="D82" i="71" s="1"/>
  <c r="O65" i="71"/>
  <c r="D66" i="71"/>
  <c r="O66" i="71"/>
  <c r="N65" i="71"/>
  <c r="N66" i="71"/>
  <c r="T32" i="71"/>
  <c r="D32" i="71"/>
  <c r="C56" i="71"/>
  <c r="D55" i="71"/>
  <c r="AZ150" i="3"/>
  <c r="AZ332" i="3"/>
  <c r="AZ461" i="3"/>
  <c r="AZ405" i="3"/>
  <c r="AZ429" i="3"/>
  <c r="AC25" i="37"/>
  <c r="W25" i="37"/>
  <c r="U25" i="37"/>
  <c r="AB25" i="37"/>
  <c r="J7" i="37"/>
  <c r="G5" i="3"/>
  <c r="B3" i="3" s="1"/>
  <c r="E248" i="3" s="1"/>
  <c r="C40" i="71"/>
  <c r="D39" i="71"/>
  <c r="AZ108" i="3"/>
  <c r="AZ53" i="3"/>
  <c r="AZ178" i="3"/>
  <c r="AZ49" i="3"/>
  <c r="AZ41" i="3"/>
  <c r="D44" i="71"/>
  <c r="T44" i="71"/>
  <c r="AZ464" i="3"/>
  <c r="AZ404" i="3"/>
  <c r="AZ425" i="3"/>
  <c r="AZ428" i="3"/>
  <c r="W12" i="35"/>
  <c r="AC12" i="35"/>
  <c r="AB38" i="40"/>
  <c r="U38" i="40"/>
  <c r="U23" i="35"/>
  <c r="AB23" i="35"/>
  <c r="AB9" i="33"/>
  <c r="U9" i="33"/>
  <c r="K1" i="73"/>
  <c r="E537" i="3"/>
  <c r="E382" i="3"/>
  <c r="E271" i="3"/>
  <c r="E530" i="3"/>
  <c r="E528" i="3"/>
  <c r="E472" i="3"/>
  <c r="E89" i="3"/>
  <c r="E70" i="3"/>
  <c r="E526" i="3"/>
  <c r="E201" i="3"/>
  <c r="E215" i="3"/>
  <c r="E161" i="3"/>
  <c r="X6" i="3"/>
  <c r="E242" i="3"/>
  <c r="AA26" i="37"/>
  <c r="S26" i="37"/>
  <c r="BA5" i="3"/>
  <c r="E27" i="6" s="1"/>
  <c r="K26" i="6" s="1"/>
  <c r="M26" i="6" s="1"/>
  <c r="I26" i="6" s="1"/>
  <c r="S26" i="6" s="1"/>
  <c r="E219" i="3"/>
  <c r="W40" i="40"/>
  <c r="AC40" i="40"/>
  <c r="AC12" i="21"/>
  <c r="W12" i="21"/>
  <c r="AB12" i="21"/>
  <c r="U12" i="21"/>
  <c r="AA27" i="34"/>
  <c r="S27" i="34"/>
  <c r="AC26" i="37"/>
  <c r="W26" i="37"/>
  <c r="BL5" i="3"/>
  <c r="B15" i="71"/>
  <c r="B14" i="71" s="1"/>
  <c r="B13" i="71" s="1"/>
  <c r="B12" i="71" s="1"/>
  <c r="S16" i="71"/>
  <c r="F7" i="36"/>
  <c r="S7" i="36" s="1"/>
  <c r="H7" i="36"/>
  <c r="U7" i="36" s="1"/>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67" i="39"/>
  <c r="E69" i="39"/>
  <c r="H7" i="37"/>
  <c r="AB7" i="37" s="1"/>
  <c r="T42" i="37" s="1"/>
  <c r="G42" i="37" s="1"/>
  <c r="H7" i="33"/>
  <c r="J7" i="33"/>
  <c r="D65" i="40"/>
  <c r="E63" i="40"/>
  <c r="F48" i="35"/>
  <c r="AC7" i="37"/>
  <c r="W7" i="37"/>
  <c r="F7" i="33"/>
  <c r="E58" i="21"/>
  <c r="AC7" i="36"/>
  <c r="V36" i="36" s="1"/>
  <c r="I36" i="36" s="1"/>
  <c r="W7" i="36"/>
  <c r="F7" i="37"/>
  <c r="P28" i="43"/>
  <c r="B66" i="40" s="1"/>
  <c r="P25" i="43"/>
  <c r="P29" i="43"/>
  <c r="P27" i="43"/>
  <c r="B70" i="39" s="1"/>
  <c r="C32" i="67"/>
  <c r="M11" i="67"/>
  <c r="J10" i="67" s="1"/>
  <c r="F11" i="15"/>
  <c r="M11" i="15"/>
  <c r="J10" i="15" s="1"/>
  <c r="F11" i="67"/>
  <c r="C32" i="15"/>
  <c r="F1" i="67"/>
  <c r="Q61" i="67"/>
  <c r="Q74" i="67"/>
  <c r="AE11" i="1"/>
  <c r="AE9" i="1"/>
  <c r="AE8" i="1"/>
  <c r="AE12" i="1"/>
  <c r="AE10" i="1"/>
  <c r="M29" i="67"/>
  <c r="F7" i="67"/>
  <c r="AE6" i="1"/>
  <c r="F43" i="67"/>
  <c r="AE7" i="1"/>
  <c r="C16" i="15"/>
  <c r="G1" i="73"/>
  <c r="C53" i="85" l="1"/>
  <c r="C48" i="85" s="1"/>
  <c r="C10" i="85"/>
  <c r="C5" i="85" s="1"/>
  <c r="J24" i="85"/>
  <c r="J26" i="85"/>
  <c r="F71" i="67"/>
  <c r="F31" i="67"/>
  <c r="M7" i="67"/>
  <c r="F50" i="67"/>
  <c r="F59" i="67" s="1"/>
  <c r="C6" i="67"/>
  <c r="AA7" i="36"/>
  <c r="R36" i="36" s="1"/>
  <c r="R37" i="36" s="1"/>
  <c r="D26" i="43"/>
  <c r="C25" i="43" s="1"/>
  <c r="AP6" i="1"/>
  <c r="M6" i="1"/>
  <c r="O6" i="1" s="1"/>
  <c r="Q16" i="1"/>
  <c r="H16" i="1"/>
  <c r="H33" i="33"/>
  <c r="F33" i="33"/>
  <c r="J33" i="33"/>
  <c r="G16" i="1"/>
  <c r="C21" i="71"/>
  <c r="D22" i="71"/>
  <c r="Q73" i="67"/>
  <c r="F1" i="15"/>
  <c r="Q74" i="15"/>
  <c r="Q52" i="15"/>
  <c r="F59" i="15"/>
  <c r="J5" i="15"/>
  <c r="J24" i="15" s="1"/>
  <c r="Q73" i="15"/>
  <c r="C49" i="15"/>
  <c r="M17" i="15"/>
  <c r="E275" i="3"/>
  <c r="E246" i="3"/>
  <c r="E535" i="3"/>
  <c r="E335" i="3"/>
  <c r="E247" i="3"/>
  <c r="E217" i="3"/>
  <c r="E28" i="3"/>
  <c r="E362" i="3"/>
  <c r="E181" i="3"/>
  <c r="E231" i="3"/>
  <c r="E384" i="3"/>
  <c r="E72" i="3"/>
  <c r="E415" i="3"/>
  <c r="E419" i="3"/>
  <c r="E139" i="3"/>
  <c r="E369" i="3"/>
  <c r="E119" i="3"/>
  <c r="E423" i="3"/>
  <c r="E563" i="3"/>
  <c r="M6" i="3"/>
  <c r="E509" i="3"/>
  <c r="E377" i="3"/>
  <c r="E557" i="3"/>
  <c r="E146" i="3"/>
  <c r="E399" i="3"/>
  <c r="E561" i="3"/>
  <c r="AS6" i="3"/>
  <c r="E457" i="3"/>
  <c r="E334" i="3"/>
  <c r="E131" i="3"/>
  <c r="E148" i="3"/>
  <c r="E263" i="3"/>
  <c r="E278" i="3"/>
  <c r="E570" i="3"/>
  <c r="AJ6" i="3"/>
  <c r="E273" i="3"/>
  <c r="AO6" i="3"/>
  <c r="E577" i="3"/>
  <c r="E350" i="3"/>
  <c r="E388" i="3"/>
  <c r="E478" i="3"/>
  <c r="E45" i="3"/>
  <c r="E437" i="3"/>
  <c r="E378" i="3"/>
  <c r="AY6" i="3"/>
  <c r="E56" i="3"/>
  <c r="E308" i="3"/>
  <c r="E276" i="3"/>
  <c r="E62" i="3"/>
  <c r="E446" i="3"/>
  <c r="E87" i="3"/>
  <c r="E14" i="3"/>
  <c r="E285" i="3"/>
  <c r="E302" i="3"/>
  <c r="E238" i="3"/>
  <c r="E481" i="3"/>
  <c r="E394" i="3"/>
  <c r="AG6" i="3"/>
  <c r="E88" i="3"/>
  <c r="E125" i="3"/>
  <c r="E396" i="3"/>
  <c r="E320" i="3"/>
  <c r="E550" i="3"/>
  <c r="E293" i="3"/>
  <c r="E85" i="3"/>
  <c r="E519" i="3"/>
  <c r="E562" i="3"/>
  <c r="E111"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92" i="3"/>
  <c r="E177" i="3"/>
  <c r="E236" i="3"/>
  <c r="E316" i="3"/>
  <c r="E245" i="3"/>
  <c r="E99" i="3"/>
  <c r="E433" i="3"/>
  <c r="E269" i="3"/>
  <c r="E505" i="3"/>
  <c r="E331" i="3"/>
  <c r="E508" i="3"/>
  <c r="AR6" i="3"/>
  <c r="E380" i="3"/>
  <c r="E503" i="3"/>
  <c r="E124" i="3"/>
  <c r="E560" i="3"/>
  <c r="E106" i="3"/>
  <c r="E368" i="3"/>
  <c r="E345" i="3"/>
  <c r="E342" i="3"/>
  <c r="E473" i="3"/>
  <c r="E141" i="3"/>
  <c r="E149" i="3"/>
  <c r="E127" i="3"/>
  <c r="E411" i="3"/>
  <c r="E523" i="3"/>
  <c r="E159" i="3"/>
  <c r="E434" i="3"/>
  <c r="E429" i="3"/>
  <c r="E580" i="3"/>
  <c r="E448" i="3"/>
  <c r="E121" i="3"/>
  <c r="E366" i="3"/>
  <c r="E229" i="3"/>
  <c r="E294" i="3"/>
  <c r="E117" i="3"/>
  <c r="E336" i="3"/>
  <c r="E511" i="3"/>
  <c r="E573" i="3"/>
  <c r="E571"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R6" i="3"/>
  <c r="E493" i="3"/>
  <c r="E234" i="3"/>
  <c r="E58" i="3"/>
  <c r="E584" i="3"/>
  <c r="E224" i="3"/>
  <c r="E321" i="3"/>
  <c r="E303" i="3"/>
  <c r="E73" i="3"/>
  <c r="E558" i="3"/>
  <c r="N6" i="3"/>
  <c r="E114" i="3"/>
  <c r="E253" i="3"/>
  <c r="E458" i="3"/>
  <c r="E351" i="3"/>
  <c r="E515" i="3"/>
  <c r="E27" i="3"/>
  <c r="E175" i="3"/>
  <c r="E337" i="3"/>
  <c r="E261" i="3"/>
  <c r="E301" i="3"/>
  <c r="E228" i="3"/>
  <c r="E587" i="3"/>
  <c r="E315" i="3"/>
  <c r="Z6" i="3"/>
  <c r="E559" i="3"/>
  <c r="E568" i="3"/>
  <c r="E581" i="3"/>
  <c r="E280" i="3"/>
  <c r="E163" i="3"/>
  <c r="E492" i="3"/>
  <c r="E551" i="3"/>
  <c r="E252" i="3"/>
  <c r="E304" i="3"/>
  <c r="E244" i="3"/>
  <c r="E277" i="3"/>
  <c r="E180" i="3"/>
  <c r="E143" i="3"/>
  <c r="E162" i="3"/>
  <c r="E318" i="3"/>
  <c r="E453" i="3"/>
  <c r="E239" i="3"/>
  <c r="E203" i="3"/>
  <c r="E319" i="3"/>
  <c r="E112" i="3"/>
  <c r="E328" i="3"/>
  <c r="E317" i="3"/>
  <c r="E547" i="3"/>
  <c r="E207" i="3"/>
  <c r="E168" i="3"/>
  <c r="E474" i="3"/>
  <c r="E136" i="3"/>
  <c r="E187" i="3"/>
  <c r="AD6" i="3"/>
  <c r="E374" i="3"/>
  <c r="E297" i="3"/>
  <c r="E48" i="3"/>
  <c r="E500" i="3"/>
  <c r="E24" i="3"/>
  <c r="E460" i="3"/>
  <c r="E365" i="3"/>
  <c r="E340" i="3"/>
  <c r="E392" i="3"/>
  <c r="E38" i="3"/>
  <c r="L6" i="3"/>
  <c r="E108" i="3"/>
  <c r="E490" i="3"/>
  <c r="E83" i="3"/>
  <c r="E420" i="3"/>
  <c r="E332" i="3"/>
  <c r="E258" i="3"/>
  <c r="E237" i="3"/>
  <c r="S6" i="3"/>
  <c r="E426" i="3"/>
  <c r="E291" i="3"/>
  <c r="E367" i="3"/>
  <c r="E196" i="3"/>
  <c r="E54" i="3"/>
  <c r="E529" i="3"/>
  <c r="E461" i="3"/>
  <c r="E413" i="3"/>
  <c r="E179" i="3"/>
  <c r="E542" i="3"/>
  <c r="E436" i="3"/>
  <c r="E354" i="3"/>
  <c r="E416" i="3"/>
  <c r="E386" i="3"/>
  <c r="E566" i="3"/>
  <c r="E265" i="3"/>
  <c r="E289" i="3"/>
  <c r="E325" i="3"/>
  <c r="E79" i="3"/>
  <c r="E372" i="3"/>
  <c r="E25" i="3"/>
  <c r="E422" i="3"/>
  <c r="E158" i="3"/>
  <c r="E556" i="3"/>
  <c r="E513" i="3"/>
  <c r="E510" i="3"/>
  <c r="E430" i="3"/>
  <c r="E544" i="3"/>
  <c r="E144" i="3"/>
  <c r="E482" i="3"/>
  <c r="E525" i="3"/>
  <c r="E115" i="3"/>
  <c r="E49" i="3"/>
  <c r="E16" i="3"/>
  <c r="E543" i="3"/>
  <c r="E376" i="3"/>
  <c r="E401"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517" i="3"/>
  <c r="E425" i="3"/>
  <c r="E68" i="3"/>
  <c r="E383" i="3"/>
  <c r="E469" i="3"/>
  <c r="E428" i="3"/>
  <c r="E370" i="3"/>
  <c r="E223" i="3"/>
  <c r="E486" i="3"/>
  <c r="AH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98" i="3"/>
  <c r="E105" i="3"/>
  <c r="E220" i="3"/>
  <c r="E251" i="3"/>
  <c r="E160" i="3"/>
  <c r="E212" i="3"/>
  <c r="E507" i="3"/>
  <c r="E564" i="3"/>
  <c r="E116" i="3"/>
  <c r="E329" i="3"/>
  <c r="E80" i="3"/>
  <c r="E35" i="3"/>
  <c r="E190" i="3"/>
  <c r="E356" i="3"/>
  <c r="E41" i="3"/>
  <c r="E470" i="3"/>
  <c r="E360" i="3"/>
  <c r="E456" i="3"/>
  <c r="E197" i="3"/>
  <c r="E287" i="3"/>
  <c r="E206" i="3"/>
  <c r="E174" i="3"/>
  <c r="E75" i="3"/>
  <c r="E281" i="3"/>
  <c r="E283" i="3"/>
  <c r="E381" i="3"/>
  <c r="E33" i="3"/>
  <c r="E371" i="3"/>
  <c r="E103" i="3"/>
  <c r="E484" i="3"/>
  <c r="E349" i="3"/>
  <c r="E192" i="3"/>
  <c r="E479" i="3"/>
  <c r="AP6" i="3"/>
  <c r="E541" i="3"/>
  <c r="E499" i="3"/>
  <c r="E539" i="3"/>
  <c r="E3" i="6"/>
  <c r="E78" i="3"/>
  <c r="E243" i="3"/>
  <c r="E104" i="3"/>
  <c r="E452" i="3"/>
  <c r="E451" i="3"/>
  <c r="T6" i="3"/>
  <c r="E140" i="3"/>
  <c r="E113" i="3"/>
  <c r="E86" i="3"/>
  <c r="E129" i="3"/>
  <c r="E42" i="3"/>
  <c r="E494" i="3"/>
  <c r="E264" i="3"/>
  <c r="E355" i="3"/>
  <c r="E84" i="3"/>
  <c r="E300" i="3"/>
  <c r="E46" i="3"/>
  <c r="E59" i="3"/>
  <c r="E363" i="3"/>
  <c r="E152" i="3"/>
  <c r="E491" i="3"/>
  <c r="I3" i="6"/>
  <c r="E466" i="3"/>
  <c r="E286" i="3"/>
  <c r="E463" i="3"/>
  <c r="J6" i="3"/>
  <c r="E440" i="3"/>
  <c r="E427" i="3"/>
  <c r="E393" i="3"/>
  <c r="E188" i="3"/>
  <c r="E326" i="3"/>
  <c r="E232" i="3"/>
  <c r="E324" i="3"/>
  <c r="E412" i="3"/>
  <c r="E225" i="3"/>
  <c r="E26" i="3"/>
  <c r="E13" i="3"/>
  <c r="E512" i="3"/>
  <c r="E534" i="3"/>
  <c r="E205" i="3"/>
  <c r="AF6" i="3"/>
  <c r="E522" i="3"/>
  <c r="E96" i="3"/>
  <c r="E391" i="3"/>
  <c r="E21" i="3"/>
  <c r="E81" i="3"/>
  <c r="E184" i="3"/>
  <c r="E23" i="3"/>
  <c r="E249" i="3"/>
  <c r="E467" i="3"/>
  <c r="E76" i="3"/>
  <c r="E292" i="3"/>
  <c r="E37" i="3"/>
  <c r="E435" i="3"/>
  <c r="E255" i="3"/>
  <c r="E502" i="3"/>
  <c r="E199" i="3"/>
  <c r="AB7" i="36"/>
  <c r="T36" i="36" s="1"/>
  <c r="G36" i="36" s="1"/>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40" i="71"/>
  <c r="D40" i="71"/>
  <c r="D56" i="71"/>
  <c r="T56" i="71"/>
  <c r="C26" i="71"/>
  <c r="D26" i="71" s="1"/>
  <c r="D27"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C35" i="9"/>
  <c r="F41" i="85"/>
  <c r="M27" i="67"/>
  <c r="F41" i="67"/>
  <c r="M27" i="15"/>
  <c r="F41" i="15"/>
  <c r="C16" i="67"/>
  <c r="F69" i="85" l="1"/>
  <c r="J29" i="85"/>
  <c r="C38" i="85"/>
  <c r="C66" i="85"/>
  <c r="L36" i="43"/>
  <c r="L37" i="43" s="1"/>
  <c r="O37" i="43" s="1"/>
  <c r="F24" i="85"/>
  <c r="C49" i="67"/>
  <c r="C48" i="67" s="1"/>
  <c r="C66" i="67" s="1"/>
  <c r="E36" i="36"/>
  <c r="D21" i="71"/>
  <c r="C20" i="71"/>
  <c r="AB33" i="33"/>
  <c r="U33" i="33"/>
  <c r="F10" i="39"/>
  <c r="J10" i="39"/>
  <c r="J10" i="40"/>
  <c r="H10" i="40"/>
  <c r="F10" i="40"/>
  <c r="H10" i="39"/>
  <c r="T48" i="33"/>
  <c r="G48" i="33" s="1"/>
  <c r="AA33" i="33"/>
  <c r="R48" i="33" s="1"/>
  <c r="S33" i="33"/>
  <c r="J6" i="67"/>
  <c r="M17" i="67"/>
  <c r="M16" i="1"/>
  <c r="AC33" i="33"/>
  <c r="V48" i="33" s="1"/>
  <c r="I48" i="33" s="1"/>
  <c r="W33" i="33"/>
  <c r="F28" i="12"/>
  <c r="C29" i="12" s="1"/>
  <c r="D28" i="12" s="1"/>
  <c r="F27" i="68"/>
  <c r="F27" i="11"/>
  <c r="F69" i="67"/>
  <c r="V2" i="43"/>
  <c r="C6" i="69"/>
  <c r="C7" i="69" s="1"/>
  <c r="C48" i="15"/>
  <c r="C66" i="15" s="1"/>
  <c r="H6" i="3"/>
  <c r="AC6" i="3"/>
  <c r="F22" i="11"/>
  <c r="C24" i="11" s="1"/>
  <c r="F24" i="67"/>
  <c r="C24" i="67" s="1"/>
  <c r="F24" i="15"/>
  <c r="C24" i="15" s="1"/>
  <c r="F22" i="69"/>
  <c r="F41" i="69" s="1"/>
  <c r="F22" i="68"/>
  <c r="C26" i="68" s="1"/>
  <c r="D22" i="68" s="1"/>
  <c r="F25" i="12"/>
  <c r="C26" i="12" s="1"/>
  <c r="D25" i="12" s="1"/>
  <c r="D116" i="43"/>
  <c r="N36" i="43"/>
  <c r="M36" i="43"/>
  <c r="M37" i="43"/>
  <c r="Q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G52" i="33"/>
  <c r="H52" i="33" s="1"/>
  <c r="H48" i="35"/>
  <c r="C49" i="34"/>
  <c r="C50" i="34"/>
  <c r="I41" i="36"/>
  <c r="J41" i="36" s="1"/>
  <c r="R43" i="37"/>
  <c r="E42" i="37"/>
  <c r="G63" i="40"/>
  <c r="F65" i="40"/>
  <c r="C37" i="36"/>
  <c r="C36" i="36"/>
  <c r="G58" i="21"/>
  <c r="C60" i="15"/>
  <c r="C34" i="9"/>
  <c r="C60" i="67"/>
  <c r="D10" i="68"/>
  <c r="D10" i="69"/>
  <c r="C17" i="15"/>
  <c r="C34" i="69"/>
  <c r="C14" i="67"/>
  <c r="C17" i="67"/>
  <c r="F41" i="68" l="1"/>
  <c r="N37" i="43"/>
  <c r="P37" i="43"/>
  <c r="Q36" i="43"/>
  <c r="P36" i="43"/>
  <c r="O36" i="43"/>
  <c r="C24" i="85"/>
  <c r="C23" i="85"/>
  <c r="I52" i="33"/>
  <c r="J52" i="33" s="1"/>
  <c r="G53" i="33"/>
  <c r="H53" i="33" s="1"/>
  <c r="E48" i="33"/>
  <c r="I53" i="33" s="1"/>
  <c r="J53" i="33" s="1"/>
  <c r="R49" i="33"/>
  <c r="C48" i="33" s="1"/>
  <c r="C29" i="11"/>
  <c r="D27" i="11" s="1"/>
  <c r="C47" i="11"/>
  <c r="D45" i="11" s="1"/>
  <c r="S10" i="40"/>
  <c r="AA10" i="40"/>
  <c r="AA10" i="39"/>
  <c r="S10" i="39"/>
  <c r="M19" i="9"/>
  <c r="C118" i="9" s="1"/>
  <c r="B2" i="74" s="1"/>
  <c r="D8" i="74" s="1"/>
  <c r="F45" i="68"/>
  <c r="C47" i="68"/>
  <c r="D45" i="68" s="1"/>
  <c r="C29" i="68"/>
  <c r="D27" i="68" s="1"/>
  <c r="AB10" i="40"/>
  <c r="U10" i="40"/>
  <c r="AC10" i="40"/>
  <c r="W10" i="40"/>
  <c r="C28" i="11"/>
  <c r="C27" i="11" s="1"/>
  <c r="J18" i="67"/>
  <c r="J5" i="67"/>
  <c r="J24" i="67" s="1"/>
  <c r="U10" i="39"/>
  <c r="AB10" i="39"/>
  <c r="W10" i="39"/>
  <c r="AC10" i="39"/>
  <c r="C19" i="71"/>
  <c r="D20" i="71"/>
  <c r="U20" i="71" s="1"/>
  <c r="T20" i="71"/>
  <c r="C23" i="11"/>
  <c r="C26" i="11"/>
  <c r="D22" i="11" s="1"/>
  <c r="C25" i="11"/>
  <c r="C23" i="68"/>
  <c r="C44" i="11"/>
  <c r="D41" i="11" s="1"/>
  <c r="C44" i="68"/>
  <c r="D41" i="68" s="1"/>
  <c r="E6" i="3"/>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C14" i="15"/>
  <c r="E6" i="76"/>
  <c r="B6" i="76"/>
  <c r="C29" i="85" l="1"/>
  <c r="C36" i="85" s="1"/>
  <c r="Q49" i="85"/>
  <c r="C13" i="85"/>
  <c r="J14" i="85"/>
  <c r="J59" i="85"/>
  <c r="J60" i="85" s="1"/>
  <c r="C49" i="33"/>
  <c r="C18" i="71"/>
  <c r="D19" i="71"/>
  <c r="D7" i="74"/>
  <c r="E53" i="33"/>
  <c r="F53" i="33" s="1"/>
  <c r="E52" i="33"/>
  <c r="F52" i="33"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7" i="85" l="1"/>
  <c r="C64" i="85" s="1"/>
  <c r="C56" i="85"/>
  <c r="C65" i="85" s="1"/>
  <c r="C58" i="85" s="1"/>
  <c r="C67" i="85" s="1"/>
  <c r="C68" i="85" s="1"/>
  <c r="C75" i="85"/>
  <c r="Q70" i="85"/>
  <c r="C37" i="85"/>
  <c r="C30" i="85" s="1"/>
  <c r="C39" i="85" s="1"/>
  <c r="Q48" i="85"/>
  <c r="L46" i="85"/>
  <c r="J22" i="85"/>
  <c r="J13" i="85"/>
  <c r="J23" i="85"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71" i="85" l="1"/>
  <c r="C40" i="85"/>
  <c r="Q69" i="85"/>
  <c r="Q68" i="85" s="1"/>
  <c r="H41" i="85"/>
  <c r="C80" i="85"/>
  <c r="C79" i="85" s="1"/>
  <c r="J16" i="85"/>
  <c r="J25" i="85"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85"/>
  <c r="M21" i="15"/>
  <c r="F35" i="85"/>
  <c r="M21" i="67"/>
  <c r="F35" i="15"/>
  <c r="L51" i="85"/>
  <c r="F35" i="67"/>
  <c r="Q67" i="85" l="1"/>
  <c r="F63" i="85"/>
  <c r="J20" i="85"/>
  <c r="Q47" i="85"/>
  <c r="Q53" i="85" s="1"/>
  <c r="C43" i="85"/>
  <c r="Q65" i="85"/>
  <c r="Q75" i="85" s="1"/>
  <c r="Q56" i="85"/>
  <c r="Q62" i="85" s="1"/>
  <c r="D2" i="85"/>
  <c r="C83" i="85"/>
  <c r="C82" i="85" s="1"/>
  <c r="C45" i="85"/>
  <c r="C46" i="85" s="1"/>
  <c r="M23" i="43"/>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2" i="85" l="1"/>
  <c r="B3" i="85"/>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2" i="35"/>
  <c r="D2" i="37"/>
  <c r="D2" i="36"/>
  <c r="L51" i="15"/>
  <c r="D19" i="9"/>
  <c r="D19" i="86"/>
  <c r="D21" i="86" l="1"/>
  <c r="D102" i="86"/>
  <c r="D22" i="86"/>
  <c r="G19" i="86"/>
  <c r="G21" i="86" s="1"/>
  <c r="D12" i="71"/>
  <c r="U12" i="71" s="1"/>
  <c r="T12" i="71"/>
  <c r="C11" i="71"/>
  <c r="C102" i="9"/>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6" i="1"/>
  <c r="AO10" i="1"/>
  <c r="AO8" i="1"/>
  <c r="D20" i="9"/>
  <c r="AO9" i="1"/>
  <c r="D20" i="86"/>
  <c r="AO12" i="1"/>
  <c r="AO11" i="1"/>
  <c r="D103" i="86" l="1"/>
  <c r="G20" i="86"/>
  <c r="C32" i="86" s="1"/>
  <c r="C10" i="71"/>
  <c r="D11"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18" i="86" l="1"/>
  <c r="E14" i="74" s="1"/>
  <c r="D34" i="86"/>
  <c r="D35" i="86"/>
  <c r="D10" i="71"/>
  <c r="C9" i="71"/>
  <c r="D35" i="9"/>
  <c r="D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5" i="86" l="1"/>
  <c r="H118" i="86"/>
  <c r="D14" i="74" s="1"/>
  <c r="H102" i="86"/>
  <c r="D9" i="71"/>
  <c r="C8" i="71"/>
  <c r="C42" i="40"/>
  <c r="C43" i="40"/>
  <c r="E47" i="40"/>
  <c r="F47" i="40" s="1"/>
  <c r="E46" i="40"/>
  <c r="F46" i="40" s="1"/>
  <c r="I47" i="40"/>
  <c r="J47" i="40" s="1"/>
  <c r="H119" i="86" l="1"/>
  <c r="H101" i="86"/>
  <c r="C104" i="86"/>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M48" i="86" l="1"/>
  <c r="D45" i="86"/>
  <c r="H107" i="86"/>
  <c r="D7" i="71"/>
  <c r="C6" i="71"/>
  <c r="B6" i="74"/>
  <c r="D6" i="74" s="1"/>
  <c r="I118" i="9"/>
  <c r="H102" i="9" s="1"/>
  <c r="G118" i="9"/>
  <c r="G4" i="52" s="1"/>
  <c r="B52" i="72" s="1"/>
  <c r="D122" i="86" l="1"/>
  <c r="D123" i="86" s="1"/>
  <c r="H108" i="86"/>
  <c r="C72" i="86"/>
  <c r="C64" i="86"/>
  <c r="C63" i="86" s="1"/>
  <c r="C67" i="86" s="1"/>
  <c r="D53" i="86"/>
  <c r="C78" i="86"/>
  <c r="C73" i="86" s="1"/>
  <c r="D52" i="86"/>
  <c r="C93" i="86"/>
  <c r="C86" i="86" s="1"/>
  <c r="C85" i="86"/>
  <c r="D55" i="86"/>
  <c r="M53" i="86" s="1"/>
  <c r="D6" i="71"/>
  <c r="C5" i="71"/>
  <c r="D5" i="71" s="1"/>
  <c r="M24" i="43" s="1"/>
  <c r="D7" i="53"/>
  <c r="B21" i="72" s="1"/>
  <c r="F118" i="9"/>
  <c r="I4" i="52"/>
  <c r="E118" i="9"/>
  <c r="H118" i="9"/>
  <c r="C105" i="9"/>
  <c r="C79" i="86" l="1"/>
  <c r="C95" i="86"/>
  <c r="C96" i="86" s="1"/>
  <c r="E96" i="86" s="1"/>
  <c r="E97" i="86" s="1"/>
  <c r="D59" i="86"/>
  <c r="M55" i="86" s="1"/>
  <c r="C68" i="86"/>
  <c r="D54" i="86" s="1"/>
  <c r="C80" i="86"/>
  <c r="E80" i="86" s="1"/>
  <c r="E81" i="86" s="1"/>
  <c r="F119" i="9"/>
  <c r="F5" i="52" s="1"/>
  <c r="B53" i="72" s="1"/>
  <c r="F4" i="52"/>
  <c r="B51" i="72" s="1"/>
  <c r="H4" i="52"/>
  <c r="H101" i="9"/>
  <c r="H119" i="9"/>
  <c r="H5" i="52" s="1"/>
  <c r="C104" i="9"/>
  <c r="D118" i="9"/>
  <c r="E4" i="52"/>
  <c r="B48" i="72" s="1"/>
  <c r="C81" i="86" l="1"/>
  <c r="C97" i="86"/>
  <c r="D58" i="86" s="1"/>
  <c r="D56" i="86" s="1"/>
  <c r="M54" i="86" s="1"/>
  <c r="N57" i="86" s="1"/>
  <c r="F14" i="74"/>
  <c r="B5" i="74"/>
  <c r="H107" i="9"/>
  <c r="M48" i="9"/>
  <c r="D5" i="53"/>
  <c r="D45" i="9"/>
  <c r="D119" i="9"/>
  <c r="D5" i="52" s="1"/>
  <c r="B49" i="72" s="1"/>
  <c r="D4" i="52"/>
  <c r="B47" i="72" s="1"/>
  <c r="N58" i="86" l="1"/>
  <c r="P57" i="86"/>
  <c r="N59" i="86"/>
  <c r="D5" i="74"/>
  <c r="C5" i="74"/>
  <c r="D6" i="53"/>
  <c r="B22" i="72" s="1"/>
  <c r="B20" i="72"/>
  <c r="C85" i="9"/>
  <c r="D53" i="9"/>
  <c r="C72" i="9"/>
  <c r="D52" i="9"/>
  <c r="C93" i="9"/>
  <c r="C86" i="9" s="1"/>
  <c r="D55" i="9"/>
  <c r="M53" i="9" s="1"/>
  <c r="C64" i="9"/>
  <c r="C63" i="9" s="1"/>
  <c r="C67" i="9" s="1"/>
  <c r="C78" i="9"/>
  <c r="C73" i="9" s="1"/>
  <c r="D122" i="9"/>
  <c r="D13" i="53"/>
  <c r="H108" i="9"/>
  <c r="N61" i="86" l="1"/>
  <c r="N60" i="86"/>
  <c r="C95" i="9"/>
  <c r="D14" i="53"/>
  <c r="B32" i="72" s="1"/>
  <c r="B30" i="72"/>
  <c r="D8" i="52"/>
  <c r="D123" i="9"/>
  <c r="D9" i="52" s="1"/>
  <c r="D15" i="53"/>
  <c r="B31" i="72" s="1"/>
  <c r="C6" i="74"/>
  <c r="C68" i="9"/>
  <c r="D54" i="9" s="1"/>
  <c r="D59" i="9"/>
  <c r="M55" i="9" s="1"/>
  <c r="C79" i="9"/>
  <c r="C80" i="9" l="1"/>
  <c r="E80" i="9" s="1"/>
  <c r="E81" i="9" s="1"/>
  <c r="C96" i="9"/>
  <c r="E96" i="9" s="1"/>
  <c r="E97"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9BD8C31-77AC-4EA1-B979-014D42A411E2}">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F0769CF-796C-4CA3-B5FB-8C51A068100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EA05E88-E761-447E-9C58-D74609085EBE}">
      <text>
        <r>
          <rPr>
            <sz val="11"/>
            <color indexed="81"/>
            <rFont val="宋体"/>
            <family val="3"/>
            <charset val="134"/>
          </rPr>
          <t>需在下方列示计算过程</t>
        </r>
        <r>
          <rPr>
            <sz val="9"/>
            <color indexed="81"/>
            <rFont val="宋体"/>
            <family val="3"/>
            <charset val="134"/>
          </rPr>
          <t xml:space="preserve">
</t>
        </r>
      </text>
    </comment>
    <comment ref="H75" authorId="2" shapeId="0" xr:uid="{0A8DF420-B9A9-4306-A273-5A28EFB8660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D60EC867-4077-4B43-9F18-0556096FF7E4}">
      <text>
        <r>
          <rPr>
            <b/>
            <sz val="9"/>
            <color indexed="81"/>
            <rFont val="宋体"/>
            <family val="3"/>
            <charset val="134"/>
          </rPr>
          <t>权重验证</t>
        </r>
        <r>
          <rPr>
            <sz val="9"/>
            <color indexed="81"/>
            <rFont val="宋体"/>
            <family val="3"/>
            <charset val="134"/>
          </rPr>
          <t xml:space="preserve">
</t>
        </r>
      </text>
    </comment>
    <comment ref="C58" authorId="1" shapeId="0" xr:uid="{B290C5C2-A6BC-4D0C-849A-E3331308CA14}">
      <text>
        <r>
          <rPr>
            <b/>
            <sz val="12"/>
            <color indexed="81"/>
            <rFont val="宋体"/>
            <family val="3"/>
            <charset val="134"/>
          </rPr>
          <t>价值时点所在月度</t>
        </r>
        <r>
          <rPr>
            <sz val="12"/>
            <color indexed="81"/>
            <rFont val="宋体"/>
            <family val="3"/>
            <charset val="134"/>
          </rPr>
          <t xml:space="preserve">
</t>
        </r>
      </text>
    </comment>
    <comment ref="B102" authorId="1" shapeId="0" xr:uid="{08907F92-CD3E-4577-9972-2DA5E8DB04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7BD5E33-1AF9-4B25-AA6C-8E1C29D9C82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14465034-3D85-4FEC-903F-69063C4230AD}">
      <text>
        <r>
          <rPr>
            <sz val="10"/>
            <color indexed="81"/>
            <rFont val="宋体"/>
            <family val="3"/>
            <charset val="134"/>
          </rPr>
          <t xml:space="preserve">需注意，采用基准地价系数修正法中土地结果计算时，土地报酬率应采用该方法中报酬率（还原率）。
</t>
        </r>
      </text>
    </comment>
    <comment ref="L55" authorId="0" shapeId="0" xr:uid="{7E6CD612-E372-4BBE-B878-8CFE0AA41FC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A71D0EE-32C2-4F56-A7CB-8AF2D4341077}">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<sst xmlns="http://schemas.openxmlformats.org/spreadsheetml/2006/main" count="9199" uniqueCount="3557">
  <si>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</si>
  <si>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</si>
  <si>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</si>
  <si>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</si>
  <si>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</si>
  <si>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</si>
  <si>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</si>
  <si>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</si>
  <si>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</si>
  <si>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</si>
  <si>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</si>
  <si>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</si>
  <si>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</si>
  <si>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</si>
  <si>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</si>
  <si>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</si>
  <si>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</si>
  <si>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</si>
  <si>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</si>
  <si>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</si>
  <si>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</si>
  <si>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</si>
  <si>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</si>
  <si>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</si>
  <si>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</si>
  <si>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</si>
  <si>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</si>
  <si>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</si>
  <si>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</si>
  <si>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</si>
  <si>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</si>
  <si>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</si>
  <si>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</si>
  <si>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</si>
  <si>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</si>
  <si>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</si>
  <si>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</si>
  <si>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</si>
  <si>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</si>
  <si>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</si>
  <si>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</si>
  <si>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</si>
  <si>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</si>
  <si>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</si>
  <si>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</si>
  <si>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</si>
  <si>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</si>
  <si>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</si>
  <si>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</si>
  <si>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</si>
  <si>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</si>
  <si>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</si>
  <si>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</si>
  <si>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</si>
  <si>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</si>
  <si>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</si>
  <si>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</si>
  <si>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</si>
  <si>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</si>
  <si>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</si>
  <si>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</si>
  <si>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</si>
  <si>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</si>
  <si>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</si>
  <si>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</si>
  <si>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</si>
  <si>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</si>
  <si>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</si>
  <si>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</si>
  <si>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</si>
  <si>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</si>
  <si>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</si>
  <si>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</si>
  <si>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</si>
  <si>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</si>
  <si>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</si>
  <si>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</si>
  <si>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</si>
  <si>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</si>
  <si>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</si>
  <si>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</si>
  <si>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</si>
  <si>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</si>
  <si>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</si>
  <si>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</si>
  <si>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</si>
  <si>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</si>
  <si>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</si>
  <si>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</si>
  <si>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</si>
  <si>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</si>
  <si>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</si>
  <si>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</si>
  <si>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</si>
  <si>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</si>
  <si>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</si>
  <si>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</si>
  <si>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</si>
  <si>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</si>
  <si>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</si>
  <si>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</si>
  <si>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</si>
  <si>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</si>
  <si>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</si>
  <si>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</si>
  <si>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</si>
  <si>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</si>
  <si>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</si>
  <si>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</si>
  <si>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</si>
  <si>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</si>
  <si>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</si>
  <si>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</si>
  <si>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</si>
  <si>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</si>
  <si>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</si>
  <si>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</si>
  <si>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</si>
  <si>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</si>
  <si>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</si>
  <si>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</si>
  <si>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</si>
  <si>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</si>
  <si>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</si>
  <si>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</si>
  <si>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</si>
  <si>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</si>
  <si>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</si>
  <si>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</si>
  <si>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</si>
  <si>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</si>
  <si>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</si>
  <si>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</si>
  <si>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</si>
  <si>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</si>
  <si>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</si>
  <si>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</si>
  <si>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</si>
  <si>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</si>
  <si>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</si>
  <si>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</si>
  <si>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</si>
  <si>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</si>
  <si>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</si>
  <si>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</si>
  <si>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</si>
  <si>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</si>
  <si>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</si>
  <si>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</si>
  <si>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</si>
  <si>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</si>
  <si>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</si>
  <si>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</si>
  <si>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</si>
  <si>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</si>
  <si>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</si>
  <si>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</si>
  <si>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</si>
  <si>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</si>
  <si>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</si>
  <si>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</si>
  <si>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</si>
  <si>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</si>
  <si>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</si>
  <si>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</si>
  <si>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</si>
  <si>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</si>
  <si>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</si>
  <si>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</si>
  <si>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</si>
  <si>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</si>
  <si>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</si>
  <si>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</si>
  <si>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</si>
  <si>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</si>
  <si>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</si>
  <si>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</si>
  <si>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</si>
  <si>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</si>
  <si>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</si>
  <si>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</si>
  <si>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</si>
  <si>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</si>
  <si>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</si>
  <si>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</si>
  <si>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</si>
  <si>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</si>
  <si>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</si>
  <si>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</si>
  <si>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</si>
  <si>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</si>
  <si>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</si>
  <si>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</si>
  <si>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</si>
  <si>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</si>
  <si>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</si>
  <si>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</si>
  <si>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</si>
  <si>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</si>
  <si>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</si>
  <si>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</si>
  <si>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</si>
  <si>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</si>
  <si>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</si>
  <si>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</si>
  <si>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</si>
  <si>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</si>
  <si>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</si>
  <si>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</si>
  <si>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</si>
  <si>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</si>
  <si>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</si>
  <si>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</si>
  <si>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</si>
  <si>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</si>
  <si>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</si>
  <si>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</si>
  <si>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</si>
  <si>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</si>
  <si>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</si>
  <si>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</si>
  <si>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</si>
  <si>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</si>
  <si>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</si>
  <si>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</si>
  <si>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</si>
  <si>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</si>
  <si>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</si>
  <si>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</si>
  <si>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</si>
  <si>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</si>
  <si>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</si>
  <si>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</si>
  <si>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</si>
  <si>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</si>
  <si>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</si>
  <si>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</si>
  <si>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</si>
  <si>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</si>
  <si>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</si>
  <si>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</si>
  <si>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</si>
  <si>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</si>
  <si>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</si>
  <si>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</si>
  <si>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</si>
  <si>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</si>
  <si>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</si>
  <si>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</si>
  <si>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</si>
  <si>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</si>
  <si>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</si>
  <si>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</si>
  <si>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</si>
  <si>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</si>
  <si>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</si>
  <si>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</si>
  <si>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</si>
  <si>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</si>
  <si>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</si>
  <si>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</si>
  <si>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</si>
  <si>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</si>
  <si>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</si>
  <si>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</si>
  <si>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</si>
  <si>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</si>
  <si>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</si>
  <si>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</si>
  <si>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</si>
  <si>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</si>
  <si>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</si>
  <si>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</si>
  <si>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</si>
  <si>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</si>
  <si>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</si>
  <si>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</si>
  <si>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</si>
  <si>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</si>
  <si>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</si>
  <si>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</si>
  <si>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</si>
  <si>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</si>
  <si>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</si>
  <si>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</si>
  <si>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</si>
  <si>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</si>
  <si>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</si>
  <si>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</si>
  <si>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</si>
  <si>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</si>
  <si>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</si>
  <si>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</si>
  <si>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</si>
  <si>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</si>
  <si>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</si>
  <si>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</si>
  <si>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</si>
  <si>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</si>
  <si>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</si>
  <si>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</si>
  <si>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</si>
  <si>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</si>
  <si>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</si>
  <si>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</si>
  <si>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</si>
  <si>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</si>
  <si>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</si>
  <si>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</si>
  <si>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</si>
  <si>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</si>
  <si>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</si>
  <si>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</si>
  <si>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</si>
  <si>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</si>
  <si>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</si>
  <si>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</si>
  <si>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</si>
  <si>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</si>
  <si>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</si>
  <si>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</si>
  <si>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</si>
  <si>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</si>
  <si>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</si>
  <si>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</si>
  <si>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</si>
  <si>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</si>
  <si>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</si>
  <si>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</si>
  <si>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</si>
  <si>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</si>
  <si>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</si>
  <si>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</si>
  <si>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</si>
  <si>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</si>
  <si>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</si>
  <si>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</si>
  <si>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</si>
  <si>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</si>
  <si>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</si>
  <si>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</si>
  <si>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</si>
  <si>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</si>
  <si>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</si>
  <si>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</si>
  <si>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</si>
  <si>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</si>
  <si>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</si>
  <si>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</si>
  <si>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</si>
  <si>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</si>
  <si>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</si>
  <si>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</si>
  <si>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</si>
  <si>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</si>
  <si>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</si>
  <si>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</si>
  <si>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</si>
  <si>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</si>
  <si>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</si>
  <si>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</si>
  <si>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</si>
  <si>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</si>
  <si>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</si>
  <si>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</si>
  <si>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</si>
  <si>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</si>
  <si>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</si>
  <si>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</si>
  <si>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</si>
  <si>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</si>
  <si>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</si>
  <si>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</si>
  <si>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</si>
  <si>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</si>
  <si>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</si>
  <si>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</si>
  <si>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</si>
  <si>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</si>
  <si>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</si>
  <si>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</si>
  <si>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</si>
  <si>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</si>
  <si>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</si>
  <si>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</si>
  <si>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</si>
  <si>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</si>
  <si>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</si>
  <si>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</si>
  <si>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</si>
  <si>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</si>
  <si>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</si>
  <si>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</si>
  <si>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</si>
  <si>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</si>
  <si>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</si>
  <si>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</si>
  <si>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</si>
  <si>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</si>
  <si>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</si>
  <si>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</si>
  <si>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</si>
  <si>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</si>
  <si>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</si>
  <si>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</si>
  <si>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</si>
  <si>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</si>
  <si>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</si>
  <si>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</si>
  <si>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</si>
  <si>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</si>
  <si>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</si>
  <si>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</si>
  <si>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</si>
  <si>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</si>
  <si>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</si>
  <si>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</si>
  <si>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</si>
  <si>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</si>
  <si>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</si>
  <si>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</si>
  <si>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</si>
  <si>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</si>
  <si>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</si>
  <si>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</si>
  <si>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</si>
  <si>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</si>
  <si>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</si>
  <si>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</si>
  <si>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</si>
  <si>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</si>
  <si>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</si>
  <si>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</si>
  <si>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</si>
  <si>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</si>
  <si>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</si>
  <si>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</si>
  <si>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</si>
  <si>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</si>
  <si>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</si>
  <si>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</si>
  <si>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</si>
  <si>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</si>
  <si>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</si>
  <si>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</si>
  <si>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</si>
  <si>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</si>
  <si>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</si>
  <si>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</si>
  <si>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</si>
  <si>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</si>
  <si>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</si>
  <si>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</si>
  <si>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</si>
  <si>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</si>
  <si>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</si>
  <si>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</si>
  <si>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</si>
  <si>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</si>
  <si>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</si>
  <si>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</si>
  <si>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</si>
  <si>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</si>
  <si>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</si>
  <si>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</si>
  <si>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</si>
  <si>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</si>
  <si>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</si>
  <si>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</si>
  <si>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</si>
  <si>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</si>
  <si>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</si>
  <si>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</si>
  <si>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</si>
  <si>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</si>
  <si>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</si>
  <si>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</si>
  <si>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</si>
  <si>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</si>
  <si>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</si>
  <si>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</si>
  <si>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</si>
  <si>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</si>
  <si>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</si>
  <si>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</si>
  <si>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</si>
  <si>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</si>
  <si>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</si>
  <si>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</si>
  <si>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</si>
  <si>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</si>
  <si>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</si>
  <si>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</si>
  <si>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</si>
  <si>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</si>
  <si>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</si>
  <si>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</si>
  <si>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</si>
  <si>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</si>
  <si>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</si>
  <si>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</si>
  <si>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</si>
  <si>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</si>
  <si>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</si>
  <si>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</si>
  <si>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</si>
  <si>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</si>
  <si>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</si>
  <si>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</si>
  <si>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</si>
  <si>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</si>
  <si>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</si>
  <si>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</si>
  <si>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</si>
  <si>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</si>
  <si>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</si>
  <si>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</si>
  <si>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</si>
  <si>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</si>
  <si>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</si>
  <si>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</si>
  <si>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</si>
  <si>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</si>
  <si>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</si>
  <si>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</si>
  <si>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</si>
  <si>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</si>
  <si>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</si>
  <si>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</si>
  <si>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</si>
  <si>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</si>
  <si>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</si>
  <si>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</si>
  <si>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</si>
  <si>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</si>
  <si>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</si>
  <si>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</si>
  <si>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</si>
  <si>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</si>
  <si>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</si>
  <si>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</si>
  <si>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</si>
  <si>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</si>
  <si>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</si>
  <si>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</si>
  <si>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</si>
  <si>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</si>
  <si>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</si>
  <si>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</si>
  <si>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</si>
  <si>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</si>
  <si>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</si>
  <si>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</si>
  <si>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</si>
  <si>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</si>
  <si>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</si>
  <si>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</si>
  <si>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</si>
  <si>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</si>
  <si>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</si>
  <si>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</si>
  <si>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</si>
  <si>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</si>
  <si>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</si>
  <si>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</si>
  <si>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</si>
  <si>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</si>
  <si>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</si>
  <si>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</si>
  <si>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</si>
  <si>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</si>
  <si>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</si>
  <si>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</si>
  <si>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</si>
  <si>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</si>
  <si>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</si>
  <si>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</si>
  <si>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</si>
  <si>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</si>
  <si>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</si>
  <si>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</si>
  <si>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</si>
  <si>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</si>
  <si>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</si>
  <si>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</si>
  <si>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</si>
  <si>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</si>
  <si>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</si>
  <si>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</si>
  <si>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</si>
  <si>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</si>
  <si>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</si>
  <si>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</si>
  <si>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</si>
  <si>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</si>
  <si>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</si>
  <si>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</si>
  <si>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</si>
  <si>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</si>
  <si>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</si>
  <si>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</si>
  <si>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</si>
  <si>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</si>
  <si>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</si>
  <si>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</si>
  <si>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</si>
  <si>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</si>
  <si>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</si>
  <si>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</si>
  <si>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</si>
  <si>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</si>
  <si>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</si>
  <si>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</si>
  <si>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</si>
  <si>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</si>
  <si>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</si>
  <si>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</si>
  <si>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</si>
  <si>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</si>
  <si>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</si>
  <si>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</si>
  <si>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</si>
  <si>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</si>
  <si>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</si>
  <si>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</si>
  <si>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</si>
  <si>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</si>
  <si>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</si>
  <si>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</si>
  <si>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</si>
  <si>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</si>
  <si>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</si>
  <si>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</si>
  <si>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</si>
  <si>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</si>
  <si>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</si>
  <si>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</si>
  <si>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</si>
  <si>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</si>
  <si>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</si>
  <si>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</si>
  <si>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</si>
  <si>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</si>
  <si>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</si>
  <si>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</si>
  <si>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</si>
  <si>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</si>
  <si>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</si>
  <si>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</si>
  <si>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</si>
  <si>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</si>
  <si>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</si>
  <si>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</si>
  <si>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</si>
  <si>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</si>
  <si>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</si>
  <si>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</si>
  <si>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</si>
  <si>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</si>
  <si>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</si>
  <si>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</si>
  <si>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</si>
  <si>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</si>
  <si>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</si>
  <si>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</si>
  <si>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</si>
  <si>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</si>
  <si>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</si>
  <si>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</si>
  <si>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</si>
  <si>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</si>
  <si>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</si>
  <si>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</si>
  <si>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</si>
  <si>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</si>
  <si>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</si>
  <si>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</si>
  <si>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</si>
  <si>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</si>
  <si>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</si>
  <si>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</si>
  <si>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</si>
  <si>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</si>
  <si>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</si>
  <si>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</si>
  <si>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</si>
  <si>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</si>
  <si>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</si>
  <si>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</si>
  <si>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</si>
  <si>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</si>
  <si>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</si>
  <si>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</si>
  <si>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</si>
  <si>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</si>
  <si>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</si>
  <si>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</si>
  <si>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</si>
  <si>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</si>
  <si>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</si>
  <si>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</si>
  <si>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</si>
  <si>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</si>
  <si>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</si>
  <si>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</si>
  <si>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</si>
  <si>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</si>
  <si>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</si>
  <si>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</si>
  <si>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</si>
  <si>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</si>
  <si>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</si>
  <si>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</si>
  <si>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</si>
  <si>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</si>
  <si>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</si>
  <si>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</si>
  <si>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</si>
  <si>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</si>
  <si>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</si>
  <si>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</si>
  <si>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</si>
  <si>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</si>
  <si>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</si>
  <si>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</si>
  <si>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</si>
  <si>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</si>
  <si>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</si>
  <si>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</si>
  <si>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</si>
  <si>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</si>
  <si>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</si>
  <si>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</si>
  <si>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</si>
  <si>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</si>
  <si>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</si>
  <si>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</si>
  <si>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</si>
  <si>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</si>
  <si>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</si>
  <si>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</si>
  <si>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</si>
  <si>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</si>
  <si>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</si>
  <si>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</si>
  <si>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</si>
  <si>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</si>
  <si>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</si>
  <si>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</si>
  <si>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</si>
  <si>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</si>
  <si>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</si>
  <si>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</si>
  <si>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</si>
  <si>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</si>
  <si>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</si>
  <si>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</si>
  <si>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</si>
  <si>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</si>
  <si>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</si>
  <si>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</si>
  <si>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</si>
  <si>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</si>
  <si>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</si>
  <si>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</si>
  <si>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</si>
  <si>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</si>
  <si>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</si>
  <si>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</si>
  <si>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</si>
  <si>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</si>
  <si>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</si>
  <si>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</si>
  <si>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</si>
  <si>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</si>
  <si>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</si>
  <si>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</si>
  <si>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</si>
  <si>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</si>
  <si>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</si>
  <si>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</si>
  <si>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</si>
  <si>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</si>
  <si>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</si>
  <si>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</si>
  <si>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</si>
  <si>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</si>
  <si>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</si>
  <si>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</si>
  <si>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</si>
  <si>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</si>
  <si>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</si>
  <si>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</si>
  <si>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</si>
  <si>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</si>
  <si>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</si>
  <si>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</si>
  <si>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</si>
  <si>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</si>
  <si>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</si>
  <si>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</si>
  <si>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</si>
  <si>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</si>
  <si>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</si>
  <si>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</si>
  <si>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</si>
  <si>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</si>
  <si>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</si>
  <si>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</si>
  <si>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</si>
  <si>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</si>
  <si>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</si>
  <si>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</si>
  <si>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</si>
  <si>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</si>
  <si>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</si>
  <si>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</si>
  <si>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</si>
  <si>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</si>
  <si>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</si>
  <si>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</si>
  <si>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</si>
  <si>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</si>
  <si>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</si>
  <si>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</si>
  <si>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</si>
  <si>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</si>
  <si>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</si>
  <si>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</si>
  <si>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</si>
  <si>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</si>
  <si>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</si>
  <si>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</si>
  <si>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</si>
  <si>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</si>
  <si>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</si>
  <si>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</si>
  <si>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</si>
  <si>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</si>
  <si>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</si>
  <si>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</si>
  <si>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</si>
  <si>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</si>
  <si>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</si>
  <si>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</si>
  <si>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</si>
  <si>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</si>
  <si>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</si>
  <si>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</si>
  <si>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</si>
  <si>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</si>
  <si>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</si>
  <si>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</si>
  <si>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</si>
  <si>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</si>
  <si>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</si>
  <si>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</si>
  <si>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</si>
  <si>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</si>
  <si>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</si>
  <si>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</si>
  <si>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</si>
  <si>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</si>
  <si>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</si>
  <si>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</si>
  <si>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</si>
  <si>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</si>
  <si>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</si>
  <si>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</si>
  <si>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</si>
  <si>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</si>
  <si>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</si>
  <si>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</si>
  <si>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</si>
  <si>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</si>
  <si>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</si>
  <si>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</si>
  <si>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</si>
  <si>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</si>
  <si>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</si>
  <si>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</si>
  <si>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</si>
  <si>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</si>
  <si>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</si>
  <si>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</si>
  <si>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</si>
  <si>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</si>
  <si>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</si>
  <si>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</si>
  <si>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</si>
  <si>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</si>
  <si>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</si>
  <si>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</si>
  <si>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</si>
  <si>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</si>
  <si>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</si>
  <si>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</si>
  <si>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</si>
  <si>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</si>
  <si>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</si>
  <si>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</si>
  <si>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</si>
  <si>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</si>
  <si>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</si>
  <si>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</si>
  <si>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</si>
  <si>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</si>
  <si>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</si>
  <si>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</si>
  <si>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</si>
  <si>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</si>
  <si>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</si>
  <si>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</si>
  <si>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</si>
  <si>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</si>
  <si>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</si>
  <si>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</si>
  <si>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</si>
  <si>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</si>
  <si>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</si>
  <si>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</si>
  <si>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</si>
  <si>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</si>
  <si>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</si>
  <si>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</si>
  <si>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</si>
  <si>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</si>
  <si>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</si>
  <si>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</si>
  <si>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</si>
  <si>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</si>
  <si>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</si>
  <si>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</si>
  <si>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</si>
  <si>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</si>
  <si>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</si>
  <si>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</si>
  <si>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</si>
  <si>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</si>
  <si>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</si>
  <si>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</si>
  <si>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</si>
  <si>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</si>
  <si>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</si>
  <si>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</si>
  <si>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</si>
  <si>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</si>
  <si>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</si>
  <si>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</si>
  <si>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</si>
  <si>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</si>
  <si>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</si>
  <si>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</si>
  <si>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</si>
  <si>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</si>
  <si>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</si>
  <si>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</si>
  <si>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</si>
  <si>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</si>
  <si>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</si>
  <si>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</si>
  <si>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</si>
  <si>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</si>
  <si>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</si>
  <si>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</si>
  <si>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</si>
  <si>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</si>
  <si>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</si>
  <si>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</si>
  <si>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</si>
  <si>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</si>
  <si>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</si>
  <si>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</si>
  <si>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</si>
  <si>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</si>
  <si>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</si>
  <si>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</si>
  <si>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</si>
  <si>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</si>
  <si>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</si>
  <si>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</si>
  <si>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</si>
  <si>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</si>
  <si>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</si>
  <si>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</si>
  <si>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</si>
  <si>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</si>
  <si>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</si>
  <si>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</si>
  <si>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</si>
  <si>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</si>
  <si>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</si>
  <si>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</si>
  <si>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</si>
  <si>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</si>
  <si>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</si>
  <si>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</si>
  <si>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</si>
  <si>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</si>
  <si>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</si>
  <si>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</si>
  <si>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</si>
  <si>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</si>
  <si>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</si>
  <si>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</si>
  <si>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</si>
  <si>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</si>
  <si>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</si>
  <si>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</si>
  <si>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</si>
  <si>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</si>
  <si>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</si>
  <si>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</si>
  <si>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</si>
  <si>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</si>
  <si>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</si>
  <si>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</si>
  <si>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</si>
  <si>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</si>
  <si>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</si>
  <si>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</si>
  <si>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</si>
  <si>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</si>
  <si>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</si>
  <si>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</si>
  <si>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</si>
  <si>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</si>
  <si>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</si>
  <si>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</si>
  <si>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</si>
  <si>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</si>
  <si>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</si>
  <si>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</si>
  <si>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</si>
  <si>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</si>
  <si>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</si>
  <si>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</si>
  <si>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</si>
  <si>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</si>
  <si>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</si>
  <si>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</si>
  <si>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</si>
  <si>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</si>
  <si>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</si>
  <si>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</si>
  <si>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</si>
  <si>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</si>
  <si>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</si>
  <si>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</si>
  <si>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</si>
  <si>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</si>
  <si>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</si>
  <si>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</si>
  <si>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</si>
  <si>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</si>
  <si>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</si>
  <si>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</si>
  <si>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</si>
  <si>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</si>
  <si>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</si>
  <si>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</si>
  <si>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</si>
  <si>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</si>
  <si>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</si>
  <si>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</si>
  <si>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</si>
  <si>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</si>
  <si>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</si>
  <si>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</si>
  <si>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</si>
  <si>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</si>
  <si>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</si>
  <si>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</si>
  <si>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</si>
  <si>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</si>
  <si>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</si>
  <si>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</si>
  <si>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</si>
  <si>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</si>
  <si>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</si>
  <si>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</si>
  <si>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</si>
  <si>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</si>
  <si>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</si>
  <si>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</si>
  <si>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</si>
  <si>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</si>
  <si>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</si>
  <si>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</si>
  <si>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</si>
  <si>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</si>
  <si>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</si>
  <si>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</si>
  <si>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</si>
  <si>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</si>
  <si>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</si>
  <si>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</si>
  <si>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</si>
  <si>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</si>
  <si>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</si>
  <si>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</si>
  <si>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</si>
  <si>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</si>
  <si>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</si>
  <si>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</si>
  <si>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</si>
  <si>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</si>
  <si>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</si>
  <si>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</si>
  <si>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</si>
  <si>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</si>
  <si>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</si>
  <si>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</si>
  <si>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</si>
  <si>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</si>
  <si>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</si>
  <si>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</si>
  <si>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</si>
  <si>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</si>
  <si>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</si>
  <si>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</si>
  <si>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</si>
  <si>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</si>
  <si>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</si>
  <si>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</si>
  <si>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</si>
  <si>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</si>
  <si>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</si>
  <si>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</si>
  <si>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</si>
  <si>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</si>
  <si>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</si>
  <si>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</si>
  <si>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</si>
  <si>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</si>
  <si>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</si>
  <si>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</si>
  <si>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</si>
  <si>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</si>
  <si>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</si>
  <si>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</si>
  <si>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</si>
  <si>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</si>
  <si>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</si>
  <si>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</si>
  <si>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</si>
  <si>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</si>
  <si>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</si>
  <si>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</si>
  <si>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</si>
  <si>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</si>
  <si>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</si>
  <si>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</si>
  <si>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</si>
  <si>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</si>
  <si>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</si>
  <si>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</si>
  <si>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</si>
  <si>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</si>
  <si>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</si>
  <si>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</si>
  <si>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</si>
  <si>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</si>
  <si>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</si>
  <si>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</si>
  <si>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</si>
  <si>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</si>
  <si>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</si>
  <si>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</si>
  <si>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</si>
  <si>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</si>
  <si>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</si>
  <si>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</si>
  <si>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</si>
  <si>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</si>
  <si>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</si>
  <si>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</si>
  <si>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</si>
  <si>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</si>
  <si>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</si>
  <si>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</si>
  <si>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</si>
  <si>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</si>
  <si>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</si>
  <si>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</si>
  <si>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</si>
  <si>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</si>
  <si>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</si>
  <si>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</si>
  <si>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</si>
  <si>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</si>
  <si>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</si>
  <si>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</si>
  <si>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</si>
  <si>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</si>
  <si>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</si>
  <si>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</si>
  <si>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</si>
  <si>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</si>
  <si>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</si>
  <si>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</si>
  <si>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</si>
  <si>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</si>
  <si>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</si>
  <si>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</si>
  <si>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</si>
  <si>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</si>
  <si>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</si>
  <si>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</si>
  <si>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</si>
  <si>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</si>
  <si>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</si>
  <si>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</si>
  <si>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</si>
  <si>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</si>
  <si>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</si>
  <si>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</si>
  <si>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</si>
  <si>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</si>
  <si>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</si>
  <si>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</si>
  <si>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</si>
  <si>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</si>
  <si>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</si>
  <si>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</si>
  <si>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</si>
  <si>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</si>
  <si>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</si>
  <si>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</si>
  <si>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</si>
  <si>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</si>
  <si>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</si>
  <si>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</si>
  <si>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</si>
  <si>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</si>
  <si>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</si>
  <si>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</si>
  <si>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</si>
  <si>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</si>
  <si>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</si>
  <si>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</si>
  <si>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</si>
  <si>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</si>
  <si>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</si>
  <si>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</si>
  <si>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</si>
  <si>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</si>
  <si>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</si>
  <si>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</si>
  <si>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</si>
  <si>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</si>
  <si>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</si>
  <si>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</si>
  <si>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</si>
  <si>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</si>
  <si>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</si>
  <si>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</si>
  <si>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</si>
  <si>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</si>
  <si>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</si>
  <si>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</si>
  <si>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</si>
  <si>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</si>
  <si>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</si>
  <si>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</si>
  <si>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</si>
  <si>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</si>
  <si>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</si>
  <si>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</si>
  <si>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</si>
  <si>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</si>
  <si>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</si>
  <si>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</si>
  <si>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</si>
  <si>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</si>
  <si>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</si>
  <si>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</si>
  <si>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</si>
  <si>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</si>
  <si>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</si>
  <si>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</si>
  <si>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</si>
  <si>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</si>
  <si>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</si>
  <si>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</si>
  <si>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</si>
  <si>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</si>
  <si>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</si>
  <si>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</si>
  <si>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</si>
  <si>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</si>
  <si>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</si>
  <si>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</si>
  <si>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</si>
  <si>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</si>
  <si>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</si>
  <si>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</si>
  <si>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</si>
  <si>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</si>
  <si>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</si>
  <si>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</si>
  <si>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</si>
  <si>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</si>
  <si>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</si>
  <si>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</si>
  <si>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</si>
  <si>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</si>
  <si>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</si>
  <si>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</si>
  <si>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</si>
  <si>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</si>
  <si>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</si>
  <si>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</si>
  <si>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</si>
  <si>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</si>
  <si>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</si>
  <si>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</si>
  <si>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</si>
  <si>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</si>
  <si>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</si>
  <si>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</si>
  <si>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</si>
  <si>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</si>
  <si>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</si>
  <si>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</si>
  <si>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</si>
  <si>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</si>
  <si>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</si>
  <si>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</si>
  <si>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</si>
  <si>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</si>
  <si>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</si>
  <si>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</si>
  <si>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</si>
  <si>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</si>
  <si>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</si>
  <si>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</si>
  <si>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</si>
  <si>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</si>
  <si>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</si>
  <si>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</si>
  <si>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</si>
  <si>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</si>
  <si>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</si>
  <si>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</si>
  <si>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</si>
  <si>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</si>
  <si>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</si>
  <si>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</si>
  <si>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</si>
  <si>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</si>
  <si>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</si>
  <si>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</si>
  <si>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</si>
  <si>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</si>
  <si>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</si>
  <si>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</si>
  <si>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</si>
  <si>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</si>
  <si>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</si>
  <si>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</si>
  <si>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</si>
  <si>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</si>
  <si>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</si>
  <si>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</si>
  <si>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</si>
  <si>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</si>
  <si>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</si>
  <si>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</si>
  <si>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</si>
  <si>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</si>
  <si>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</si>
  <si>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</si>
  <si>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</si>
  <si>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</si>
  <si>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</si>
  <si>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</si>
  <si>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</si>
  <si>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</si>
  <si>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</si>
  <si>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</si>
  <si>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</si>
  <si>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</si>
  <si>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</si>
  <si>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</si>
  <si>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</si>
  <si>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</si>
  <si>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</si>
  <si>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</si>
  <si>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</si>
  <si>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</si>
  <si>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</si>
  <si>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</si>
  <si>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</si>
  <si>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</si>
  <si>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</si>
  <si>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</si>
  <si>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</si>
  <si>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</si>
  <si>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</si>
  <si>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</si>
  <si>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</si>
  <si>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</si>
  <si>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</si>
  <si>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</si>
  <si>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</si>
  <si>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</si>
  <si>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</si>
  <si>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</si>
  <si>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</si>
  <si>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</si>
  <si>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</si>
  <si>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</si>
  <si>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</si>
  <si>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</si>
  <si>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</si>
  <si>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</si>
  <si>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</si>
  <si>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</si>
  <si>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</si>
  <si>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</si>
  <si>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</si>
  <si>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</si>
  <si>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</si>
  <si>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</si>
  <si>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</si>
  <si>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</si>
  <si>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</si>
  <si>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</si>
  <si>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</si>
  <si>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</si>
  <si>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</si>
  <si>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</si>
  <si>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</si>
  <si>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</si>
  <si>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</si>
  <si>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</si>
  <si>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</si>
  <si>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</si>
  <si>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</si>
  <si>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</si>
  <si>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</si>
  <si>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</si>
  <si>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</si>
  <si>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</si>
  <si>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</si>
  <si>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</si>
  <si>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</si>
  <si>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</si>
  <si>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</si>
  <si>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</si>
  <si>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</si>
  <si>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</si>
  <si>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</si>
  <si>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</si>
  <si>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</si>
  <si>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</si>
  <si>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</si>
  <si>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</si>
  <si>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</si>
  <si>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</si>
  <si>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</si>
  <si>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</si>
  <si>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</si>
  <si>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</si>
  <si>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</si>
  <si>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</si>
  <si>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</si>
  <si>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</si>
  <si>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</si>
  <si>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</si>
  <si>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</si>
  <si>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</si>
  <si>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</si>
  <si>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</si>
  <si>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</si>
  <si>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</si>
  <si>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</si>
  <si>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</si>
  <si>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</si>
  <si>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</si>
  <si>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</si>
  <si>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</si>
  <si>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</si>
  <si>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</si>
  <si>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</si>
  <si>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</si>
  <si>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</si>
  <si>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</si>
  <si>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</si>
  <si>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</si>
  <si>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</si>
  <si>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</si>
  <si>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</si>
  <si>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</si>
  <si>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</si>
  <si>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</si>
  <si>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</si>
  <si>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</si>
  <si>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</si>
  <si>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</si>
  <si>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</si>
  <si>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</si>
  <si>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</si>
  <si>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</si>
  <si>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</si>
  <si>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</si>
  <si>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</si>
  <si>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</si>
  <si>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</si>
  <si>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</si>
  <si>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</si>
  <si>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</si>
  <si>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</si>
  <si>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</si>
  <si>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</si>
  <si>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</si>
  <si>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</si>
  <si>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</si>
  <si>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</si>
  <si>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</si>
  <si>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</si>
  <si>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</si>
  <si>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</si>
  <si>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</si>
  <si>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</si>
  <si>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</si>
  <si>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</si>
  <si>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</si>
  <si>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</si>
  <si>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</si>
  <si>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</si>
  <si>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</si>
  <si>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</si>
  <si>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</si>
  <si>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</si>
  <si>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</si>
  <si>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</si>
  <si>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</si>
  <si>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</si>
  <si>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</si>
  <si>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</si>
  <si>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</si>
  <si>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</si>
  <si>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</si>
  <si>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</si>
  <si>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</si>
  <si>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</si>
  <si>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</si>
  <si>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</si>
  <si>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</si>
  <si>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</si>
  <si>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</si>
  <si>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</si>
  <si>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</si>
  <si>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</si>
  <si>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</si>
  <si>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</si>
  <si>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</si>
  <si>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</si>
  <si>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</si>
  <si>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</si>
  <si>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</si>
  <si>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</si>
  <si>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</si>
  <si>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</si>
  <si>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</si>
  <si>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</si>
  <si>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</si>
  <si>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</si>
  <si>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</si>
  <si>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</si>
  <si>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</si>
  <si>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</si>
  <si>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</si>
  <si>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</si>
  <si>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</si>
  <si>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</si>
  <si>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</si>
  <si>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</si>
  <si>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</si>
  <si>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</si>
  <si>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</si>
  <si>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</si>
  <si>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</si>
  <si>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</si>
  <si>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</si>
  <si>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</si>
  <si>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</si>
  <si>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</si>
  <si>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</si>
  <si>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</si>
  <si>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</si>
  <si>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</si>
  <si>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</si>
  <si>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</si>
  <si>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</si>
  <si>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</si>
  <si>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</si>
  <si>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</si>
  <si>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</si>
  <si>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</si>
  <si>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</si>
  <si>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</si>
  <si>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</si>
  <si>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</si>
  <si>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</si>
  <si>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</si>
  <si>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</si>
  <si>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</si>
  <si>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</si>
  <si>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</si>
  <si>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</si>
  <si>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</si>
  <si>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</si>
  <si>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</si>
  <si>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</si>
  <si>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</si>
  <si>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</si>
  <si>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</si>
  <si>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</si>
  <si>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</si>
  <si>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</si>
  <si>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</si>
  <si>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</si>
  <si>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</si>
  <si>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</si>
  <si>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</si>
  <si>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</si>
  <si>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</si>
  <si>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</si>
  <si>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</si>
  <si>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</si>
  <si>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</si>
  <si>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</si>
  <si>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</si>
  <si>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</si>
  <si>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</si>
  <si>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</si>
  <si>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</si>
  <si>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</si>
  <si>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</si>
  <si>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</si>
  <si>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</si>
  <si>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</si>
  <si>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</si>
  <si>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</si>
  <si>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</si>
  <si>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</si>
  <si>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</si>
  <si>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</si>
  <si>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</si>
  <si>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</si>
  <si>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</si>
  <si>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</si>
  <si>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</si>
  <si>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</si>
  <si>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</si>
  <si>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</si>
  <si>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</si>
  <si>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</si>
  <si>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</si>
  <si>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</si>
  <si>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</si>
  <si>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</si>
  <si>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</si>
  <si>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</si>
  <si>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</si>
  <si>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</si>
  <si>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</si>
  <si>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</si>
  <si>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</si>
  <si>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</si>
  <si>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</si>
  <si>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</si>
  <si>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</si>
  <si>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</si>
  <si>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</si>
  <si>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</si>
  <si>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</si>
  <si>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</si>
  <si>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</si>
  <si>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</si>
  <si>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</si>
  <si>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</si>
  <si>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</si>
  <si>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</si>
  <si>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</si>
  <si>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</si>
  <si>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</si>
  <si>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</si>
  <si>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</si>
  <si>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</si>
  <si>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</si>
  <si>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</si>
  <si>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</si>
  <si>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</si>
  <si>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</si>
  <si>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</si>
  <si>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</si>
  <si>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</si>
  <si>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</si>
  <si>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</si>
  <si>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</si>
  <si>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</si>
  <si>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</si>
  <si>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</si>
  <si>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</si>
  <si>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</si>
  <si>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</si>
  <si>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</si>
  <si>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</si>
  <si>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</si>
  <si>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</si>
  <si>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</si>
  <si>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</si>
  <si>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</si>
  <si>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</si>
  <si>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</si>
  <si>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</si>
  <si>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</si>
  <si>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</si>
  <si>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</si>
  <si>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</si>
  <si>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</si>
  <si>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</si>
  <si>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</si>
  <si>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</si>
  <si>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</si>
  <si>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</si>
  <si>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</si>
  <si>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</si>
  <si>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</si>
  <si>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</si>
  <si>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</si>
  <si>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</si>
  <si>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</si>
  <si>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</si>
  <si>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</si>
  <si>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</si>
  <si>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</si>
  <si>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</si>
  <si>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</si>
  <si>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</si>
  <si>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</si>
  <si>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</si>
  <si>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</si>
  <si>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</si>
  <si>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</si>
  <si>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</si>
  <si>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</si>
  <si>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</si>
  <si>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</si>
  <si>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</si>
  <si>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</si>
  <si>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</si>
  <si>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</si>
  <si>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</si>
  <si>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</si>
  <si>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</si>
  <si>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</si>
  <si>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</si>
  <si>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</si>
  <si>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</si>
  <si>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</si>
  <si>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</si>
  <si>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</si>
  <si>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</si>
  <si>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</si>
  <si>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</si>
  <si>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</si>
  <si>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</si>
  <si>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</si>
  <si>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</si>
  <si>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</si>
  <si>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</si>
  <si>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</si>
  <si>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</si>
  <si>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</si>
  <si>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</si>
  <si>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</si>
  <si>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</si>
  <si>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</si>
  <si>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</si>
  <si>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</si>
  <si>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</si>
  <si>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</si>
  <si>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</si>
  <si>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</si>
  <si>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</si>
  <si>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</si>
  <si>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</si>
  <si>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</si>
  <si>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</si>
  <si>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</si>
  <si>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</si>
  <si>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</si>
  <si>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</si>
  <si>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</si>
  <si>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</si>
  <si>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</si>
  <si>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</si>
  <si>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</si>
  <si>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</si>
  <si>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</si>
  <si>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</si>
  <si>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</si>
  <si>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</si>
  <si>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</si>
  <si>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</si>
  <si>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</si>
  <si>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</si>
  <si>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</si>
  <si>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</si>
  <si>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</si>
  <si>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</si>
  <si>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</si>
  <si>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</si>
  <si>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</si>
  <si>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</si>
  <si>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</si>
  <si>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</si>
  <si>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</si>
  <si>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</si>
  <si>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</si>
  <si>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</si>
  <si>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</si>
  <si>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</si>
  <si>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</si>
  <si>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</si>
  <si>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</si>
  <si>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</si>
  <si>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</si>
  <si>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</si>
  <si>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</si>
  <si>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</si>
  <si>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</si>
  <si>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</si>
  <si>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</si>
  <si>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</si>
  <si>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</si>
  <si>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</si>
  <si>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</si>
  <si>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</si>
  <si>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</si>
  <si>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</si>
  <si>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</si>
  <si>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</si>
  <si>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</si>
  <si>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</si>
  <si>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</si>
  <si>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</si>
  <si>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</si>
  <si>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</si>
  <si>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</si>
  <si>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</si>
  <si>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</si>
  <si>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</si>
  <si>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</si>
  <si>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</si>
  <si>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</si>
  <si>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</si>
  <si>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</si>
  <si>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</si>
  <si>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</si>
  <si>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</si>
  <si>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</si>
  <si>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</si>
  <si>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</si>
  <si>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</si>
  <si>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</si>
  <si>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</si>
  <si>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</si>
  <si>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</si>
  <si>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</si>
  <si>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</si>
  <si>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</si>
  <si>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</si>
  <si>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</si>
  <si>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</si>
  <si>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</si>
  <si>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</si>
  <si>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</si>
  <si>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</si>
  <si>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</si>
  <si>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</si>
  <si>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</si>
  <si>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</si>
  <si>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</si>
  <si>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</si>
  <si>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</si>
  <si>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</si>
  <si>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</si>
  <si>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</si>
  <si>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</si>
  <si>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</si>
  <si>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</si>
  <si>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</si>
  <si>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</si>
  <si>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</si>
  <si>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</si>
  <si>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</si>
  <si>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</si>
  <si>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</si>
  <si>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</si>
  <si>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</si>
  <si>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</si>
  <si>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</si>
  <si>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</si>
  <si>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</si>
  <si>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</si>
  <si>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</si>
  <si>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</si>
  <si>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</si>
  <si>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</si>
  <si>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</si>
  <si>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</si>
  <si>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</si>
  <si>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</si>
  <si>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</si>
  <si>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</si>
  <si>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</si>
  <si>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</si>
  <si>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</si>
  <si>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</si>
  <si>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</si>
  <si>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</si>
  <si>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</si>
  <si>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</si>
  <si>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</si>
  <si>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</si>
  <si>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</si>
  <si>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</si>
  <si>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</si>
  <si>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</si>
  <si>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</si>
  <si>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</si>
  <si>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</si>
  <si>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</si>
  <si>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</si>
  <si>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</si>
  <si>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</si>
  <si>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</si>
  <si>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</si>
  <si>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</si>
  <si>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</si>
  <si>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</si>
  <si>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</si>
  <si>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</si>
  <si>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</si>
  <si>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</si>
  <si>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</si>
  <si>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</si>
  <si>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</si>
  <si>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</si>
  <si>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</si>
  <si>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</si>
  <si>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</si>
  <si>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</si>
  <si>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</si>
  <si>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</si>
  <si>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</si>
  <si>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</si>
  <si>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</si>
  <si>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</si>
  <si>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</si>
  <si>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</si>
  <si>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</si>
  <si>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</si>
  <si>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</si>
  <si>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</si>
  <si>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</si>
  <si>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</si>
  <si>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</si>
  <si>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</si>
  <si>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</si>
  <si>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</si>
  <si>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</si>
  <si>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</si>
  <si>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</si>
  <si>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</si>
  <si>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</si>
  <si>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</si>
  <si>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</si>
  <si>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</si>
  <si>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</si>
  <si>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</si>
  <si>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</si>
  <si>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</si>
  <si>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</si>
  <si>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</si>
  <si>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</si>
  <si>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</si>
  <si>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</si>
  <si>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</si>
  <si>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</si>
  <si>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</si>
  <si>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</si>
  <si>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</si>
  <si>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</si>
  <si>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</si>
  <si>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</si>
  <si>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</si>
  <si>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</si>
  <si>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</si>
  <si>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</si>
  <si>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</si>
  <si>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</si>
  <si>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</si>
  <si>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</si>
  <si>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</si>
  <si>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</si>
  <si>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</si>
  <si>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</si>
  <si>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</si>
  <si>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</si>
  <si>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</si>
  <si>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</si>
  <si>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</si>
  <si>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</si>
  <si>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</si>
  <si>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</si>
  <si>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</si>
  <si>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</si>
  <si>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</si>
  <si>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</si>
  <si>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</si>
  <si>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</si>
  <si>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</si>
  <si>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</si>
  <si>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</si>
  <si>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</si>
  <si>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</si>
  <si>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</si>
  <si>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</si>
  <si>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</si>
  <si>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</si>
  <si>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</si>
  <si>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</si>
  <si>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</si>
  <si>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</si>
  <si>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</si>
  <si>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</si>
  <si>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</si>
  <si>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</si>
  <si>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</si>
  <si>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</si>
  <si>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</si>
  <si>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</si>
  <si>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</si>
  <si>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</si>
  <si>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</si>
  <si>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</si>
  <si>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</si>
  <si>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</si>
  <si>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</si>
  <si>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</si>
  <si>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</si>
  <si>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</si>
  <si>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</si>
  <si>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</si>
  <si>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</si>
  <si>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</si>
  <si>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</si>
  <si>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</si>
  <si>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</si>
  <si>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</si>
  <si>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</si>
  <si>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</si>
  <si>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</si>
  <si>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</si>
  <si>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</si>
  <si>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</si>
  <si>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</si>
  <si>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</si>
  <si>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</si>
  <si>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</si>
  <si>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</si>
  <si>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</si>
  <si>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</si>
  <si>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</si>
  <si>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</si>
  <si>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</si>
  <si>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</si>
  <si>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</si>
  <si>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</si>
  <si>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</si>
  <si>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</si>
  <si>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</si>
  <si>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</si>
  <si>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</si>
  <si>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</si>
  <si>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</si>
  <si>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</si>
  <si>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</si>
  <si>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</si>
  <si>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</si>
  <si>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</si>
  <si>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</si>
  <si>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</si>
  <si>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</si>
  <si>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</si>
  <si>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</si>
  <si>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</si>
  <si>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</si>
  <si>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</si>
  <si>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</si>
  <si>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</si>
  <si>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</si>
  <si>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</si>
  <si>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</si>
  <si>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</si>
  <si>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</si>
  <si>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</si>
  <si>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</si>
  <si>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</si>
  <si>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</si>
  <si>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</si>
  <si>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</si>
  <si>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</si>
  <si>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</si>
  <si>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</si>
  <si>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</si>
  <si>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</si>
  <si>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</si>
  <si>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</si>
  <si>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</si>
  <si>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</si>
  <si>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</si>
  <si>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</si>
  <si>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</si>
  <si>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</si>
  <si>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</si>
  <si>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</si>
  <si>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</si>
  <si>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</si>
  <si>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</si>
  <si>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</si>
  <si>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</si>
  <si>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</si>
  <si>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</si>
  <si>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</si>
  <si>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</si>
  <si>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</si>
  <si>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</si>
  <si>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</si>
  <si>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</si>
  <si>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</si>
  <si>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</si>
  <si>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</si>
  <si>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</si>
  <si>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</si>
  <si>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</si>
  <si>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</si>
  <si>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</si>
  <si>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</si>
  <si>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</si>
  <si>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</si>
  <si>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</si>
  <si>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</si>
  <si>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</si>
  <si>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</si>
  <si>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</si>
  <si>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</si>
  <si>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</si>
  <si>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</si>
  <si>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</si>
  <si>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</si>
  <si>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</si>
  <si>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</si>
  <si>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</si>
  <si>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</si>
  <si>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</si>
  <si>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</si>
  <si>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</si>
  <si>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</si>
  <si>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</si>
  <si>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</si>
  <si>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</si>
  <si>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</si>
  <si>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</si>
  <si>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</si>
  <si>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</si>
  <si>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</si>
  <si>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</si>
  <si>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</si>
  <si>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</si>
  <si>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</si>
  <si>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</si>
  <si>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</si>
  <si>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</si>
  <si>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</si>
  <si>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</si>
  <si>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</si>
  <si>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</si>
  <si>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</si>
  <si>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</si>
  <si>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</si>
  <si>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</si>
  <si>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</si>
  <si>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</si>
  <si>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</si>
  <si>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</si>
  <si>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</si>
  <si>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</si>
  <si>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</si>
  <si>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</si>
  <si>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</si>
  <si>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</si>
  <si>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</si>
  <si>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</si>
  <si>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</si>
  <si>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</si>
  <si>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</si>
  <si>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</si>
  <si>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</si>
  <si>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</si>
  <si>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</si>
  <si>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</si>
  <si>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</si>
  <si>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</si>
  <si>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</si>
  <si>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</si>
  <si>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</si>
  <si>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</si>
  <si>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</si>
  <si>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</si>
  <si>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</si>
  <si>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</si>
  <si>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</si>
  <si>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</si>
  <si>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</si>
  <si>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</si>
  <si>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</si>
  <si>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</si>
  <si>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</si>
  <si>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</si>
  <si>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</si>
  <si>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</si>
  <si>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</si>
  <si>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</si>
  <si>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</si>
  <si>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</si>
  <si>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</si>
  <si>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</si>
  <si>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</si>
  <si>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</si>
  <si>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</si>
  <si>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</si>
  <si>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</si>
  <si>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</si>
  <si>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</si>
  <si>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</si>
  <si>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</si>
  <si>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</si>
  <si>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</si>
  <si>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</si>
  <si>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</si>
  <si>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</si>
  <si>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</si>
  <si>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</si>
  <si>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</si>
  <si>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</si>
  <si>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</si>
  <si>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</si>
  <si>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</si>
  <si>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</si>
  <si>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</si>
  <si>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</si>
  <si>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</si>
  <si>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</si>
  <si>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</si>
  <si>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</si>
  <si>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</si>
  <si>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</si>
  <si>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</si>
  <si>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</si>
  <si>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</si>
  <si>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</si>
  <si>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</si>
  <si>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</si>
  <si>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</si>
  <si>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</si>
  <si>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</si>
  <si>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</si>
  <si>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</si>
  <si>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</si>
  <si>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</si>
  <si>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</si>
  <si>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</si>
  <si>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</si>
  <si>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</si>
  <si>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</si>
  <si>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</si>
  <si>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</si>
  <si>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</si>
  <si>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</si>
  <si>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</si>
  <si>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</si>
  <si>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</si>
  <si>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</si>
  <si>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</si>
  <si>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</si>
  <si>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</si>
  <si>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</si>
  <si>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</si>
  <si>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</si>
  <si>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</si>
  <si>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</si>
  <si>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</si>
  <si>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</si>
  <si>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</si>
  <si>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</si>
  <si>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</si>
  <si>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</si>
  <si>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</si>
  <si>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</si>
  <si>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</si>
  <si>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</si>
  <si>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</si>
  <si>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</si>
  <si>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</si>
  <si>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</si>
  <si>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</si>
  <si>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</si>
  <si>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</si>
  <si>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</si>
  <si>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</si>
  <si>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</si>
  <si>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</si>
  <si>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</si>
  <si>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</si>
  <si>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</si>
  <si>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</si>
  <si>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</si>
  <si>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</si>
  <si>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</si>
  <si>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</si>
  <si>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</si>
  <si>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</si>
  <si>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</si>
  <si>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</si>
  <si>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</si>
  <si>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</si>
  <si>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</si>
  <si>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</si>
  <si>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</si>
  <si>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</si>
  <si>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</si>
  <si>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</si>
  <si>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</si>
  <si>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</si>
  <si>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</si>
  <si>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</si>
  <si>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</si>
  <si>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</si>
  <si>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</si>
  <si>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</si>
  <si>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</si>
  <si>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</si>
  <si>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</si>
  <si>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</si>
  <si>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</si>
  <si>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</si>
  <si>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</si>
  <si>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</si>
  <si>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</si>
  <si>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</si>
  <si>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</si>
  <si>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</si>
  <si>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</si>
  <si>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</si>
  <si>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</si>
  <si>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</si>
  <si>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</si>
  <si>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</si>
  <si>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</si>
  <si>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</si>
  <si>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</si>
  <si>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</si>
  <si>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</si>
  <si>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</si>
  <si>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</si>
  <si>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</si>
  <si>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</si>
  <si>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</si>
  <si>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</si>
  <si>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</si>
  <si>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</si>
  <si>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</si>
  <si>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</si>
  <si>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</si>
  <si>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</si>
  <si>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</si>
  <si>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</si>
  <si>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</si>
  <si>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</si>
  <si>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</si>
  <si>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</si>
  <si>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</si>
  <si>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</si>
  <si>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</si>
  <si>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</si>
  <si>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</si>
  <si>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</si>
  <si>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</si>
  <si>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</si>
  <si>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</si>
  <si>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</si>
  <si>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</si>
  <si>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</si>
  <si>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</si>
  <si>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</si>
  <si>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</si>
  <si>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</si>
  <si>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</si>
  <si>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</si>
  <si>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</si>
  <si>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</si>
  <si>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</si>
  <si>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</si>
  <si>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</si>
  <si>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</si>
  <si>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</si>
  <si>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</si>
  <si>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</si>
  <si>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</si>
  <si>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</si>
  <si>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</si>
  <si>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</si>
  <si>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</si>
  <si>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</si>
  <si>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</si>
  <si>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</si>
  <si>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</si>
  <si>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</si>
  <si>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</si>
  <si>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</si>
  <si>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</si>
  <si>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</si>
  <si>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</si>
  <si>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</si>
  <si>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</si>
  <si>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</si>
  <si>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</si>
  <si>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</si>
  <si>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</si>
  <si>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</si>
  <si>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</si>
  <si>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</si>
  <si>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</si>
  <si>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</si>
  <si>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</si>
  <si>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</si>
  <si>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</si>
  <si>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</si>
  <si>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</si>
  <si>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</si>
  <si>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</si>
  <si>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</si>
  <si>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</si>
  <si>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</si>
  <si>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</si>
  <si>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</si>
  <si>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</si>
  <si>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</si>
  <si>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</si>
  <si>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</si>
  <si>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</si>
  <si>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</si>
  <si>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</si>
  <si>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</si>
  <si>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</si>
  <si>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</si>
  <si>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</si>
  <si>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</si>
  <si>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</si>
  <si>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</si>
  <si>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</si>
  <si>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</si>
  <si>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</si>
  <si>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</si>
  <si>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</si>
  <si>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</si>
  <si>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</si>
  <si>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</si>
  <si>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</si>
  <si>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</si>
  <si>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</si>
  <si>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</si>
  <si>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</si>
  <si>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</si>
  <si>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</si>
  <si>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</si>
  <si>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</si>
  <si>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</si>
  <si>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</si>
  <si>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</si>
  <si>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</si>
  <si>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</si>
  <si>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</si>
  <si>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</si>
  <si>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</si>
  <si>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</si>
  <si>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</si>
  <si>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</si>
  <si>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</si>
  <si>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</si>
  <si>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</si>
  <si>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</si>
  <si>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</si>
  <si>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</si>
  <si>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</si>
  <si>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</si>
  <si>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</si>
  <si>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</si>
  <si>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</si>
  <si>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</si>
  <si>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</si>
  <si>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</si>
  <si>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</si>
  <si>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</si>
  <si>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</si>
  <si>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</si>
  <si>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</si>
  <si>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</si>
  <si>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</si>
  <si>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</si>
  <si>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</si>
  <si>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</si>
  <si>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</si>
  <si>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</si>
  <si>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</si>
  <si>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</si>
  <si>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</si>
  <si>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</si>
  <si>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</si>
  <si>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</si>
  <si>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</si>
  <si>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</si>
  <si>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</si>
  <si>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</si>
  <si>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</si>
  <si>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</si>
  <si>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</si>
  <si>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</si>
  <si>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</si>
  <si>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</si>
  <si>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</si>
  <si>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</si>
  <si>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</si>
  <si>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</si>
  <si>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</si>
  <si>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</si>
  <si>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</si>
  <si>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</si>
  <si>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</si>
  <si>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</si>
  <si>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</si>
  <si>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</si>
  <si>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</si>
  <si>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</si>
  <si>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</si>
  <si>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</si>
  <si>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</si>
  <si>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</si>
  <si>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</si>
  <si>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</si>
  <si>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</si>
  <si>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</si>
  <si>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</si>
  <si>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</si>
  <si>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</si>
  <si>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</si>
  <si>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</si>
  <si>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</si>
  <si>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</si>
  <si>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</si>
  <si>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</si>
  <si>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</si>
  <si>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</si>
  <si>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</si>
  <si>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</si>
  <si>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</si>
  <si>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</si>
  <si>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</si>
  <si>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</si>
  <si>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</si>
  <si>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</si>
  <si>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</si>
  <si>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</si>
  <si>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</si>
  <si>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</si>
  <si>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</si>
  <si>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</si>
  <si>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</si>
  <si>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</si>
  <si>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</si>
  <si>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</si>
  <si>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</si>
  <si>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</si>
  <si>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</si>
  <si>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</si>
  <si>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</si>
  <si>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</si>
  <si>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</si>
  <si>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</si>
  <si>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</si>
  <si>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</si>
  <si>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</si>
  <si>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</si>
  <si>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</si>
  <si>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</si>
  <si>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</si>
  <si>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</si>
  <si>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</si>
  <si>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</si>
  <si>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</si>
  <si>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</si>
  <si>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</si>
  <si>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</si>
  <si>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</si>
  <si>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</si>
  <si>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</si>
  <si>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</si>
  <si>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</si>
  <si>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</si>
  <si>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</si>
  <si>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</si>
  <si>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</si>
  <si>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</si>
  <si>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</si>
  <si>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</si>
  <si>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</si>
  <si>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</si>
  <si>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</si>
  <si>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</si>
  <si>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</si>
  <si>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</si>
  <si>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</si>
  <si>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</si>
  <si>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</si>
  <si>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</si>
  <si>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</si>
  <si>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</si>
  <si>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</si>
  <si>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</si>
  <si>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</si>
  <si>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</si>
  <si>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</si>
  <si>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</si>
  <si>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</si>
  <si>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</si>
  <si>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</si>
  <si>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</si>
  <si>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</si>
  <si>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</si>
  <si>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</si>
  <si>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</si>
  <si>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</si>
  <si>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</si>
  <si>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</si>
  <si>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</si>
  <si>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</si>
  <si>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</si>
  <si>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</si>
  <si>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</si>
  <si>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</si>
  <si>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</si>
  <si>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</si>
  <si>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</si>
  <si>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</si>
  <si>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</si>
  <si>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</si>
  <si>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</si>
  <si>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</si>
  <si>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</si>
  <si>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</si>
  <si>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</si>
  <si>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</si>
  <si>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</si>
  <si>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</si>
  <si>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</si>
  <si>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</si>
  <si>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</si>
  <si>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</si>
  <si>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</si>
  <si>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</si>
  <si>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</si>
  <si>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</si>
  <si>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</si>
  <si>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</si>
  <si>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</si>
  <si>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</si>
  <si>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</si>
  <si>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</si>
  <si>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</si>
  <si>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</si>
  <si>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</si>
  <si>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</si>
  <si>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</si>
  <si>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</si>
  <si>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</si>
  <si>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</si>
  <si>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</si>
  <si>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</si>
  <si>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</si>
  <si>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</si>
  <si>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</si>
  <si>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</si>
  <si>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</si>
  <si>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</si>
  <si>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</si>
  <si>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</si>
  <si>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</si>
  <si>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</si>
  <si>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</si>
  <si>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</si>
  <si>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</si>
  <si>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</si>
  <si>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</si>
  <si>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</si>
  <si>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</si>
  <si>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</si>
  <si>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</si>
  <si>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</si>
  <si>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</si>
  <si>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</si>
  <si>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</si>
  <si>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</si>
  <si>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</si>
  <si>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</si>
  <si>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</si>
  <si>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</si>
  <si>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</si>
  <si>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</si>
  <si>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</si>
  <si>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</si>
  <si>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</si>
  <si>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</si>
  <si>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</si>
  <si>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</si>
  <si>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</si>
  <si>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</si>
  <si>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</si>
  <si>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</si>
  <si>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</si>
  <si>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</si>
  <si>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</si>
  <si>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</si>
  <si>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</si>
  <si>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</si>
  <si>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</si>
  <si>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</si>
  <si>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</si>
  <si>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</si>
  <si>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</si>
  <si>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</si>
  <si>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</si>
  <si>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</si>
  <si>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</si>
  <si>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</si>
  <si>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</si>
  <si>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</si>
  <si>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</si>
  <si>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</si>
  <si>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</si>
  <si>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</si>
  <si>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</si>
  <si>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</si>
  <si>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</si>
  <si>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</si>
  <si>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</si>
  <si>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</si>
  <si>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</si>
  <si>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</si>
  <si>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</si>
  <si>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</si>
  <si>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</si>
  <si>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</si>
  <si>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</si>
  <si>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</si>
  <si>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</si>
  <si>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</si>
  <si>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</si>
  <si>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</si>
  <si>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</si>
  <si>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</si>
  <si>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</si>
  <si>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</si>
  <si>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</si>
  <si>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</si>
  <si>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</si>
  <si>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</si>
  <si>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</si>
  <si>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</si>
  <si>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</si>
  <si>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</si>
  <si>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</si>
  <si>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</si>
  <si>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</si>
  <si>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</si>
  <si>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</si>
  <si>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</si>
  <si>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</si>
  <si>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</si>
  <si>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</si>
  <si>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</si>
  <si>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</si>
  <si>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</si>
  <si>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</si>
  <si>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</si>
  <si>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</si>
  <si>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</si>
  <si>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</si>
  <si>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</si>
  <si>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</si>
  <si>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</si>
  <si>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</si>
  <si>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</si>
  <si>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</si>
  <si>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</si>
  <si>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</si>
  <si>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</si>
  <si>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</si>
  <si>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</si>
  <si>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</si>
  <si>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</si>
  <si>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</si>
  <si>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</si>
  <si>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</si>
  <si>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</si>
  <si>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</si>
  <si>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</si>
  <si>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</si>
  <si>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</si>
  <si>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</si>
  <si>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</si>
  <si>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</si>
  <si>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</si>
  <si>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</si>
  <si>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</si>
  <si>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</si>
  <si>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</si>
  <si>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</si>
  <si>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</si>
  <si>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</si>
  <si>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</si>
  <si>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</si>
  <si>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</si>
  <si>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</si>
  <si>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</si>
  <si>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</si>
  <si>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</si>
  <si>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</si>
  <si>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</si>
  <si>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</si>
  <si>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</si>
  <si>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</si>
  <si>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</si>
  <si>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</si>
  <si>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</si>
  <si>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</si>
  <si>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</si>
  <si>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</si>
  <si>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</si>
  <si>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</si>
  <si>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</si>
  <si>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</si>
  <si>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</si>
  <si>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</si>
  <si>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</si>
  <si>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</si>
  <si>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</si>
  <si>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</si>
  <si>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</si>
  <si>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</si>
  <si>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</si>
  <si>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</si>
  <si>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</si>
  <si>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</si>
  <si>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</si>
  <si>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</si>
  <si>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</si>
  <si>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</si>
  <si>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</si>
  <si>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</si>
  <si>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</si>
  <si>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</si>
  <si>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</si>
  <si>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</si>
  <si>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</si>
  <si>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</si>
  <si>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</si>
  <si>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</si>
  <si>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</si>
  <si>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</si>
  <si>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</si>
  <si>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</si>
  <si>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</si>
  <si>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</si>
  <si>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</si>
  <si>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</si>
  <si>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</si>
  <si>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</si>
  <si>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</si>
  <si>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</si>
  <si>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</si>
  <si>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</si>
  <si>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</si>
  <si>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</si>
  <si>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</si>
  <si>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</si>
  <si>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</si>
  <si>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</si>
  <si>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</si>
  <si>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</si>
  <si>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</si>
  <si>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</si>
  <si>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</si>
  <si>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</si>
  <si>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</si>
  <si>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</si>
  <si>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</si>
  <si>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</si>
  <si>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</si>
  <si>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</si>
  <si>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</si>
  <si>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</si>
  <si>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</si>
  <si>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</si>
  <si>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</si>
  <si>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</si>
  <si>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</si>
  <si>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</si>
  <si>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</si>
  <si>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</si>
  <si>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</si>
  <si>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</si>
  <si>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</si>
  <si>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</si>
  <si>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</si>
  <si>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</si>
  <si>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</si>
  <si>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</si>
  <si>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</si>
  <si>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</si>
  <si>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</si>
  <si>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</si>
  <si>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</si>
  <si>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</si>
  <si>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</si>
  <si>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</si>
  <si>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</si>
  <si>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</si>
  <si>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</si>
  <si>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</si>
  <si>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</si>
  <si>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</si>
  <si>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</si>
  <si>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</si>
  <si>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</si>
  <si>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</si>
  <si>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</si>
  <si>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</si>
  <si>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</si>
  <si>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</si>
  <si>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</si>
  <si>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</si>
  <si>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</si>
  <si>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</si>
  <si>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</si>
  <si>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</si>
  <si>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</si>
  <si>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</si>
  <si>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</si>
  <si>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</si>
  <si>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</si>
  <si>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</si>
  <si>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</si>
  <si>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</si>
  <si>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</si>
  <si>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</si>
  <si>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</si>
  <si>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</si>
  <si>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</si>
  <si>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</si>
  <si>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</si>
  <si>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</si>
  <si>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</si>
  <si>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</si>
  <si>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</si>
  <si>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</si>
  <si>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</si>
  <si>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</si>
  <si>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</si>
  <si>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</si>
  <si>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</si>
  <si>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</si>
  <si>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</si>
  <si>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</si>
  <si>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</si>
  <si>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</si>
  <si>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</si>
  <si>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</si>
  <si>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</si>
  <si>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</si>
  <si>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</si>
  <si>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</si>
  <si>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</si>
  <si>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</si>
  <si>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</si>
  <si>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</si>
  <si>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</si>
  <si>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</si>
  <si>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</si>
  <si>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</si>
  <si>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</si>
  <si>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</si>
  <si>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</si>
  <si>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</si>
  <si>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</si>
  <si>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</si>
  <si>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</si>
  <si>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</si>
  <si>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</si>
  <si>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</si>
  <si>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</si>
  <si>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</si>
  <si>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</si>
  <si>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</si>
  <si>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</si>
  <si>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</si>
  <si>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</si>
  <si>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</si>
  <si>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</si>
  <si>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</si>
  <si>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</si>
  <si>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</si>
  <si>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</si>
  <si>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</si>
  <si>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</si>
  <si>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</si>
  <si>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</si>
  <si>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</si>
  <si>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</si>
  <si>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</si>
  <si>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</si>
  <si>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</si>
  <si>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</si>
  <si>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</si>
  <si>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</si>
  <si>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</si>
  <si>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</si>
  <si>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</si>
  <si>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</si>
  <si>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</si>
  <si>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</si>
  <si>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</si>
  <si>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</si>
  <si>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</si>
  <si>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</si>
  <si>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</si>
  <si>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</si>
  <si>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</si>
  <si>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</si>
  <si>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</si>
  <si>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</si>
  <si>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</si>
  <si>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</si>
  <si>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</si>
  <si>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</si>
  <si>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</si>
  <si>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</si>
  <si>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</si>
  <si>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</si>
  <si>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</si>
  <si>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</si>
  <si>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</si>
  <si>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</si>
  <si>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</si>
  <si>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</si>
  <si>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</si>
  <si>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</si>
  <si>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</si>
  <si>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</si>
  <si>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</si>
  <si>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</si>
  <si>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</si>
  <si>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</si>
  <si>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</si>
  <si>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</si>
  <si>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</si>
  <si>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</si>
  <si>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</si>
  <si>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</si>
  <si>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</si>
  <si>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</si>
  <si>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</si>
  <si>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</si>
  <si>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</si>
  <si>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</si>
  <si>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</si>
  <si>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</si>
  <si>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</si>
  <si>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</si>
  <si>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</si>
  <si>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</si>
  <si>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</si>
  <si>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</si>
  <si>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</si>
  <si>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</si>
  <si>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</si>
  <si>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</si>
  <si>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</si>
  <si>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</si>
  <si>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</si>
  <si>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</si>
  <si>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</si>
  <si>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</si>
  <si>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</si>
  <si>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</si>
  <si>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</si>
  <si>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</si>
  <si>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</si>
  <si>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</si>
  <si>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</si>
  <si>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</si>
  <si>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</si>
  <si>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</si>
  <si>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</si>
  <si>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</si>
  <si>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</si>
  <si>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</si>
  <si>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</si>
  <si>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</si>
  <si>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</si>
  <si>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</si>
  <si>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</si>
  <si>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</si>
  <si>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</si>
  <si>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</si>
  <si>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</si>
  <si>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</si>
  <si>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</si>
  <si>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</si>
  <si>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</si>
  <si>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</si>
  <si>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</si>
  <si>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</si>
  <si>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</si>
  <si>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</si>
  <si>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</si>
  <si>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</si>
  <si>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</si>
  <si>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</si>
  <si>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</si>
  <si>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</si>
  <si>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</si>
  <si>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</si>
  <si>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</si>
  <si>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</si>
  <si>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</si>
  <si>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</si>
  <si>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</si>
  <si>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</si>
  <si>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</si>
  <si>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</si>
  <si>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</si>
  <si>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</si>
  <si>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</si>
  <si>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</si>
  <si>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</si>
  <si>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</si>
  <si>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</si>
  <si>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</si>
  <si>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</si>
  <si>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</si>
  <si>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</si>
  <si>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</si>
  <si>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</si>
  <si>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</si>
  <si>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</si>
  <si>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</si>
  <si>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</si>
  <si>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</si>
  <si>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</si>
  <si>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</si>
  <si>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</si>
  <si>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</si>
  <si>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</si>
  <si>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</si>
  <si>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</si>
  <si>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</si>
  <si>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</si>
  <si>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</si>
  <si>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</si>
  <si>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</si>
  <si>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</si>
  <si>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</si>
  <si>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</si>
  <si>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</si>
  <si>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</si>
  <si>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</si>
  <si>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</si>
  <si>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</si>
  <si>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</si>
  <si>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</si>
  <si>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</si>
  <si>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</si>
  <si>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</si>
  <si>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</si>
  <si>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</si>
  <si>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</si>
  <si>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</si>
  <si>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</si>
  <si>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</si>
  <si>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</si>
  <si>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</si>
  <si>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</si>
  <si>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</si>
  <si>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</si>
  <si>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</si>
  <si>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</si>
  <si>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</si>
  <si>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</si>
  <si>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</si>
  <si>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</si>
  <si>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</si>
  <si>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</si>
  <si>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</si>
  <si>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</si>
  <si>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</si>
  <si>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</si>
  <si>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</si>
  <si>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</si>
  <si>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</si>
  <si>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</si>
  <si>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</si>
  <si>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</si>
  <si>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</si>
  <si>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</si>
  <si>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</si>
  <si>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</si>
  <si>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</si>
  <si>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</si>
  <si>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</si>
  <si>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</si>
  <si>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</si>
  <si>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</si>
  <si>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</si>
  <si>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</si>
  <si>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</si>
  <si>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</si>
  <si>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</si>
  <si>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</si>
  <si>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</si>
  <si>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</si>
  <si>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</si>
  <si>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</si>
  <si>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</si>
  <si>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</si>
  <si>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</si>
  <si>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</si>
  <si>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</si>
  <si>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</si>
  <si>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</si>
  <si>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</si>
  <si>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</si>
  <si>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</si>
  <si>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</si>
  <si>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</si>
  <si>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</si>
  <si>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</si>
  <si>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</si>
  <si>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</si>
  <si>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</si>
  <si>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</si>
  <si>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</si>
  <si>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</si>
  <si>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</si>
  <si>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</si>
  <si>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</si>
  <si>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</si>
  <si>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</si>
  <si>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</si>
  <si>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</si>
  <si>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</si>
  <si>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</si>
  <si>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</si>
  <si>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</si>
  <si>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</si>
  <si>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</si>
  <si>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</si>
  <si>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</si>
  <si>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</si>
  <si>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</si>
  <si>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</si>
  <si>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</si>
  <si>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</si>
  <si>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</si>
  <si>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</si>
  <si>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</si>
  <si>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</si>
  <si>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</si>
  <si>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</si>
  <si>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</si>
  <si>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</si>
  <si>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</si>
  <si>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</si>
  <si>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</si>
  <si>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</si>
  <si>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</si>
  <si>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</si>
  <si>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</si>
  <si>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</si>
  <si>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</si>
  <si>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</si>
  <si>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</si>
  <si>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</si>
  <si>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</si>
  <si>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</si>
  <si>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</si>
  <si>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</si>
  <si>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</si>
  <si>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</si>
  <si>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</si>
  <si>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</si>
  <si>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</si>
  <si>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</si>
  <si>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</si>
  <si>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</si>
  <si>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</si>
  <si>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</si>
  <si>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</si>
  <si>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</si>
  <si>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</si>
  <si>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</si>
  <si>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</si>
  <si>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</si>
  <si>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</si>
  <si>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</si>
  <si>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</si>
  <si>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</si>
  <si>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</si>
  <si>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</si>
  <si>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</si>
  <si>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</si>
  <si>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</si>
  <si>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</si>
  <si>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</si>
  <si>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</si>
  <si>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</si>
  <si>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</si>
  <si>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</si>
  <si>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</si>
  <si>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</si>
  <si>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</si>
  <si>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</si>
  <si>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</si>
  <si>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</si>
  <si>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</si>
  <si>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</si>
  <si>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</si>
  <si>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</si>
  <si>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</si>
  <si>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</si>
  <si>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</si>
  <si>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</si>
  <si>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</si>
  <si>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</si>
  <si>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</si>
  <si>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</si>
  <si>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</si>
  <si>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</si>
  <si>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</si>
  <si>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</si>
  <si>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</si>
  <si>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</si>
  <si>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</si>
  <si>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</si>
  <si>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</si>
  <si>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</si>
  <si>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r>
      <rPr>
        <sz val="10"/>
        <color theme="9" tint="-0.249977111117893"/>
        <rFont val="宋体"/>
        <family val="3"/>
        <charset val="134"/>
      </rPr>
      <t>延庆县燕水佳园</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号、2号</t>
    </r>
    <phoneticPr fontId="6" type="noConversion"/>
  </si>
  <si>
    <t>商业</t>
    <phoneticPr fontId="6" type="noConversion"/>
  </si>
  <si>
    <t>1号郑亚军、2号卓莹莹</t>
    <phoneticPr fontId="6" type="noConversion"/>
  </si>
  <si>
    <t>是</t>
  </si>
  <si>
    <t>商业项目</t>
  </si>
  <si>
    <t>现房</t>
  </si>
  <si>
    <r>
      <t>1</t>
    </r>
    <r>
      <rPr>
        <sz val="10"/>
        <color indexed="8"/>
        <rFont val="宋体"/>
        <family val="3"/>
        <charset val="134"/>
      </rPr>
      <t>号</t>
    </r>
    <phoneticPr fontId="3" type="noConversion"/>
  </si>
  <si>
    <t>地上</t>
  </si>
  <si>
    <r>
      <t>2</t>
    </r>
    <r>
      <rPr>
        <sz val="10"/>
        <color indexed="8"/>
        <rFont val="宋体"/>
        <family val="3"/>
        <charset val="134"/>
      </rPr>
      <t>号</t>
    </r>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</si>
  <si>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</si>
  <si>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</si>
  <si>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</si>
  <si>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</si>
  <si>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</si>
  <si>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</si>
  <si>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</si>
  <si>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</si>
  <si>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成新度</t>
  </si>
  <si>
    <t>建成年代</t>
    <phoneticPr fontId="3" type="noConversion"/>
  </si>
  <si>
    <t>直线</t>
    <phoneticPr fontId="3" type="noConversion"/>
  </si>
  <si>
    <t>观察</t>
    <phoneticPr fontId="3" type="noConversion"/>
  </si>
  <si>
    <t>综合</t>
    <phoneticPr fontId="3" type="noConversion"/>
  </si>
  <si>
    <t>楼面单价</t>
  </si>
  <si>
    <t>自定义</t>
  </si>
  <si>
    <t>1号</t>
  </si>
  <si>
    <t>未包含在土地购买价格中</t>
  </si>
  <si>
    <t>已包含在土地取得成本中</t>
  </si>
  <si>
    <t>单套模式</t>
  </si>
  <si>
    <t>售价</t>
  </si>
  <si>
    <t>正常</t>
  </si>
  <si>
    <t>商业</t>
    <phoneticPr fontId="30" type="noConversion"/>
  </si>
  <si>
    <t>报价</t>
  </si>
  <si>
    <t>报价</t>
    <phoneticPr fontId="30" type="noConversion"/>
  </si>
  <si>
    <t>押一</t>
  </si>
  <si>
    <t>砖混</t>
  </si>
  <si>
    <t>非生产用房</t>
  </si>
  <si>
    <t>否</t>
  </si>
  <si>
    <t>自定义容积率</t>
  </si>
  <si>
    <t>不临65条商业街</t>
  </si>
  <si>
    <t>中心城区以外</t>
  </si>
  <si>
    <t>楼层修正</t>
  </si>
  <si>
    <t>一般</t>
  </si>
  <si>
    <t>较好</t>
  </si>
  <si>
    <t>精装修</t>
    <phoneticPr fontId="30" type="noConversion"/>
  </si>
  <si>
    <t>普通装修</t>
    <phoneticPr fontId="30" type="noConversion"/>
  </si>
  <si>
    <t>简单装修</t>
    <phoneticPr fontId="30" type="noConversion"/>
  </si>
  <si>
    <t>毛坯</t>
    <phoneticPr fontId="30" type="noConversion"/>
  </si>
  <si>
    <t>较差</t>
  </si>
  <si>
    <t>倒推土地时间</t>
    <phoneticPr fontId="3" type="noConversion"/>
  </si>
  <si>
    <t>现场调查</t>
    <phoneticPr fontId="134" type="noConversion"/>
  </si>
  <si>
    <r>
      <t>旁边甲1</t>
    </r>
    <r>
      <rPr>
        <sz val="11"/>
        <color theme="1"/>
        <rFont val="宋体"/>
        <family val="3"/>
        <charset val="134"/>
        <scheme val="minor"/>
      </rPr>
      <t>4号楼</t>
    </r>
    <phoneticPr fontId="134" type="noConversion"/>
  </si>
  <si>
    <t>建筑面积</t>
    <phoneticPr fontId="134" type="noConversion"/>
  </si>
  <si>
    <r>
      <t>2</t>
    </r>
    <r>
      <rPr>
        <sz val="11"/>
        <color theme="1"/>
        <rFont val="宋体"/>
        <family val="3"/>
        <charset val="134"/>
        <scheme val="minor"/>
      </rPr>
      <t>00以上</t>
    </r>
    <phoneticPr fontId="134" type="noConversion"/>
  </si>
  <si>
    <t>年租金</t>
    <phoneticPr fontId="134" type="noConversion"/>
  </si>
  <si>
    <r>
      <t>1</t>
    </r>
    <r>
      <rPr>
        <sz val="11"/>
        <color theme="1"/>
        <rFont val="宋体"/>
        <family val="3"/>
        <charset val="134"/>
        <scheme val="minor"/>
      </rPr>
      <t>0来万</t>
    </r>
    <phoneticPr fontId="134" type="noConversion"/>
  </si>
  <si>
    <t>1层</t>
    <phoneticPr fontId="134" type="noConversion"/>
  </si>
  <si>
    <t>2层</t>
    <phoneticPr fontId="134" type="noConversion"/>
  </si>
  <si>
    <t>3层</t>
    <phoneticPr fontId="134" type="noConversion"/>
  </si>
  <si>
    <r>
      <t>1</t>
    </r>
    <r>
      <rPr>
        <sz val="11"/>
        <color theme="1"/>
        <rFont val="宋体"/>
        <family val="3"/>
        <charset val="134"/>
        <scheme val="minor"/>
      </rPr>
      <t>-3层</t>
    </r>
    <phoneticPr fontId="134" type="noConversion"/>
  </si>
  <si>
    <t>1-3层</t>
    <phoneticPr fontId="134" type="noConversion"/>
  </si>
  <si>
    <t>1-2层</t>
    <phoneticPr fontId="134" type="noConversion"/>
  </si>
  <si>
    <r>
      <t>以2</t>
    </r>
    <r>
      <rPr>
        <sz val="11"/>
        <color theme="1"/>
        <rFont val="宋体"/>
        <family val="3"/>
        <charset val="134"/>
        <scheme val="minor"/>
      </rPr>
      <t>80平计算</t>
    </r>
    <phoneticPr fontId="134" type="noConversion"/>
  </si>
  <si>
    <t>序号</t>
    <phoneticPr fontId="134" type="noConversion"/>
  </si>
  <si>
    <t>时间</t>
  </si>
  <si>
    <t>楼栋号</t>
  </si>
  <si>
    <t>单元号</t>
  </si>
  <si>
    <t>总楼层</t>
  </si>
  <si>
    <t>楼层号</t>
  </si>
  <si>
    <t>房间号</t>
  </si>
  <si>
    <t>许可证号</t>
  </si>
  <si>
    <t>物业类型</t>
  </si>
  <si>
    <t>户型</t>
  </si>
  <si>
    <t>成交面积(㎡)</t>
  </si>
  <si>
    <t>成交金额(万元)</t>
  </si>
  <si>
    <t>成交单价(元/㎡)</t>
  </si>
  <si>
    <t>二区18号</t>
  </si>
  <si>
    <t>现：京(2023)延不动产权第0007050号</t>
  </si>
  <si>
    <t>其他</t>
  </si>
  <si>
    <t>二区20号</t>
  </si>
  <si>
    <t>现：京(2023)延不动产权第0007049号</t>
  </si>
  <si>
    <t>47号</t>
  </si>
  <si>
    <t>现：X京房权证延字第049607号</t>
  </si>
  <si>
    <t>3号楼</t>
  </si>
  <si>
    <t>辉煌云上</t>
    <phoneticPr fontId="134" type="noConversion"/>
  </si>
  <si>
    <t>1号楼</t>
  </si>
  <si>
    <t>现：京(2022)延不动产权第0000235号</t>
  </si>
  <si>
    <t>2号楼</t>
  </si>
  <si>
    <t>现：京(2022)延不动产权第0000236号</t>
  </si>
  <si>
    <t>现：京(2022)延不动产权第0000237号</t>
  </si>
  <si>
    <t>4#楼商业</t>
  </si>
  <si>
    <t>京房售证字(2020)30号</t>
  </si>
  <si>
    <t>1#楼商业</t>
  </si>
  <si>
    <t>2#楼商业</t>
  </si>
  <si>
    <t>文成商务中心</t>
    <phoneticPr fontId="134" type="noConversion"/>
  </si>
  <si>
    <t>1层</t>
    <phoneticPr fontId="134" type="noConversion"/>
  </si>
  <si>
    <r>
      <t>每月净收益5</t>
    </r>
    <r>
      <rPr>
        <sz val="11"/>
        <color theme="1"/>
        <rFont val="宋体"/>
        <family val="3"/>
        <charset val="134"/>
        <scheme val="minor"/>
      </rPr>
      <t>000元</t>
    </r>
    <phoneticPr fontId="134" type="noConversion"/>
  </si>
  <si>
    <t>住宅底商</t>
    <phoneticPr fontId="134" type="noConversion"/>
  </si>
  <si>
    <t>租金</t>
    <phoneticPr fontId="134" type="noConversion"/>
  </si>
  <si>
    <t>售价</t>
    <phoneticPr fontId="134" type="noConversion"/>
  </si>
  <si>
    <t>案例1</t>
    <phoneticPr fontId="134" type="noConversion"/>
  </si>
  <si>
    <t>案例2</t>
    <phoneticPr fontId="134" type="noConversion"/>
  </si>
  <si>
    <t>案例3</t>
    <phoneticPr fontId="134" type="noConversion"/>
  </si>
  <si>
    <t>城建万科城</t>
    <phoneticPr fontId="134" type="noConversion"/>
  </si>
  <si>
    <t>建筑面积</t>
    <phoneticPr fontId="134" type="noConversion"/>
  </si>
  <si>
    <t>钢混</t>
  </si>
  <si>
    <t>钢混</t>
    <phoneticPr fontId="30" type="noConversion"/>
  </si>
  <si>
    <t>混合</t>
  </si>
  <si>
    <t>混合</t>
    <phoneticPr fontId="30" type="noConversion"/>
  </si>
  <si>
    <t>辉煌云上</t>
    <phoneticPr fontId="30" type="noConversion"/>
  </si>
  <si>
    <t>城建万科城</t>
    <phoneticPr fontId="30" type="noConversion"/>
  </si>
  <si>
    <t>七通</t>
    <phoneticPr fontId="30" type="noConversion"/>
  </si>
  <si>
    <t>六通</t>
    <phoneticPr fontId="30" type="noConversion"/>
  </si>
  <si>
    <t>五通</t>
    <phoneticPr fontId="30" type="noConversion"/>
  </si>
  <si>
    <t>四通</t>
    <phoneticPr fontId="30" type="noConversion"/>
  </si>
  <si>
    <t>可餐饮</t>
    <phoneticPr fontId="30" type="noConversion"/>
  </si>
  <si>
    <t>不可餐饮</t>
    <phoneticPr fontId="30" type="noConversion"/>
  </si>
  <si>
    <t>普通装修</t>
  </si>
  <si>
    <t>毛坯</t>
  </si>
  <si>
    <r>
      <t>1</t>
    </r>
    <r>
      <rPr>
        <sz val="11"/>
        <color indexed="8"/>
        <rFont val="宋体"/>
        <family val="3"/>
        <charset val="134"/>
      </rPr>
      <t>层挑高</t>
    </r>
    <phoneticPr fontId="30" type="noConversion"/>
  </si>
  <si>
    <t>一般</t>
    <phoneticPr fontId="30" type="noConversion"/>
  </si>
  <si>
    <t>较好</t>
    <phoneticPr fontId="30" type="noConversion"/>
  </si>
  <si>
    <r>
      <t>2</t>
    </r>
    <r>
      <rPr>
        <sz val="11"/>
        <rFont val="宋体"/>
        <family val="3"/>
        <charset val="134"/>
      </rPr>
      <t>公里范围内有Y40、Y45路</t>
    </r>
    <phoneticPr fontId="30" type="noConversion"/>
  </si>
  <si>
    <t>估价对象2公里范围内有百品尚购物中心，周边商业氛围一般，人流量一般，商业繁华一般</t>
    <phoneticPr fontId="24" type="noConversion"/>
  </si>
  <si>
    <r>
      <t>2</t>
    </r>
    <r>
      <rPr>
        <sz val="11"/>
        <rFont val="宋体"/>
        <family val="3"/>
        <charset val="134"/>
      </rPr>
      <t>公里范围内有冬奥森林公园自然景观</t>
    </r>
    <phoneticPr fontId="30" type="noConversion"/>
  </si>
  <si>
    <t>估价对象所在区域公共配套设施齐备情况：农业银行、农业发展银行、中国银行，司家营小学、北京市延庆区第二中学，国润家园社区卫生服务站、北京中医医院延庆医院，百尚购物中心</t>
    <phoneticPr fontId="40" type="noConversion"/>
  </si>
  <si>
    <t>区域自然环境：迎宾公园、百泉公园、夏都公园、北京延庆世界地质公园；人文环境：延庆区职业学院、妫川宝塔、延庆地质博物馆、水生野生博物馆；综合评价环境状况较好</t>
    <phoneticPr fontId="40" type="noConversion"/>
  </si>
  <si>
    <r>
      <t>2</t>
    </r>
    <r>
      <rPr>
        <sz val="11"/>
        <rFont val="宋体"/>
        <family val="3"/>
        <charset val="134"/>
      </rPr>
      <t>公里范围内有</t>
    </r>
    <r>
      <rPr>
        <sz val="11"/>
        <rFont val="Arial"/>
        <family val="2"/>
      </rPr>
      <t>Y15</t>
    </r>
    <r>
      <rPr>
        <sz val="11"/>
        <rFont val="宋体"/>
        <family val="3"/>
        <charset val="134"/>
      </rPr>
      <t>、</t>
    </r>
    <r>
      <rPr>
        <sz val="11"/>
        <rFont val="Arial"/>
        <family val="2"/>
      </rPr>
      <t>Y22</t>
    </r>
    <r>
      <rPr>
        <sz val="11"/>
        <rFont val="宋体"/>
        <family val="3"/>
        <charset val="134"/>
      </rPr>
      <t>、Y7路</t>
    </r>
    <phoneticPr fontId="30" type="noConversion"/>
  </si>
  <si>
    <r>
      <t>2</t>
    </r>
    <r>
      <rPr>
        <sz val="11"/>
        <rFont val="宋体"/>
        <family val="3"/>
        <charset val="134"/>
      </rPr>
      <t>公里范围内有天成公园自然景观</t>
    </r>
    <phoneticPr fontId="30" type="noConversion"/>
  </si>
  <si>
    <t>租金取值</t>
    <phoneticPr fontId="134" type="noConversion"/>
  </si>
  <si>
    <t>燕水佳园</t>
    <phoneticPr fontId="3" type="noConversion"/>
  </si>
  <si>
    <t>收益法 (元)1号</t>
  </si>
  <si>
    <t>收益法 (元)1号</t>
    <phoneticPr fontId="16" type="noConversion"/>
  </si>
  <si>
    <t>比较法-商业1号</t>
  </si>
  <si>
    <t>比较法-商业1号</t>
    <phoneticPr fontId="16" type="noConversion"/>
  </si>
  <si>
    <t>售价</t>
    <phoneticPr fontId="134" type="noConversion"/>
  </si>
  <si>
    <r>
      <t>1</t>
    </r>
    <r>
      <rPr>
        <sz val="11"/>
        <rFont val="宋体"/>
        <family val="3"/>
        <charset val="134"/>
      </rPr>
      <t>层挑高</t>
    </r>
    <phoneticPr fontId="3" type="noConversion"/>
  </si>
  <si>
    <r>
      <t>1</t>
    </r>
    <r>
      <rPr>
        <sz val="11"/>
        <rFont val="宋体"/>
        <family val="3"/>
        <charset val="134"/>
      </rPr>
      <t>层</t>
    </r>
    <phoneticPr fontId="3" type="noConversion"/>
  </si>
  <si>
    <r>
      <t>2</t>
    </r>
    <r>
      <rPr>
        <sz val="11"/>
        <rFont val="宋体"/>
        <family val="3"/>
        <charset val="134"/>
      </rPr>
      <t>层</t>
    </r>
    <phoneticPr fontId="3" type="noConversion"/>
  </si>
  <si>
    <r>
      <t>1-2</t>
    </r>
    <r>
      <rPr>
        <sz val="11"/>
        <color indexed="8"/>
        <rFont val="宋体"/>
        <family val="3"/>
        <charset val="134"/>
      </rPr>
      <t>层</t>
    </r>
    <phoneticPr fontId="30" type="noConversion"/>
  </si>
  <si>
    <r>
      <t>1-2</t>
    </r>
    <r>
      <rPr>
        <sz val="11"/>
        <color indexed="8"/>
        <rFont val="宋体"/>
        <family val="3"/>
        <charset val="134"/>
      </rPr>
      <t>层</t>
    </r>
    <phoneticPr fontId="3" type="noConversion"/>
  </si>
  <si>
    <r>
      <t>1</t>
    </r>
    <r>
      <rPr>
        <sz val="11"/>
        <color indexed="8"/>
        <rFont val="宋体"/>
        <family val="3"/>
        <charset val="134"/>
      </rPr>
      <t>层</t>
    </r>
    <phoneticPr fontId="30" type="noConversion"/>
  </si>
  <si>
    <t>1-2层</t>
  </si>
  <si>
    <r>
      <t>修正到1</t>
    </r>
    <r>
      <rPr>
        <sz val="11"/>
        <color theme="1"/>
        <rFont val="宋体"/>
        <family val="3"/>
        <charset val="134"/>
        <scheme val="minor"/>
      </rPr>
      <t>-2层价格</t>
    </r>
    <phoneticPr fontId="134" type="noConversion"/>
  </si>
  <si>
    <t>挑高</t>
    <phoneticPr fontId="134" type="noConversion"/>
  </si>
  <si>
    <r>
      <t>3</t>
    </r>
    <r>
      <rPr>
        <sz val="11"/>
        <rFont val="宋体"/>
        <family val="3"/>
        <charset val="134"/>
      </rPr>
      <t>层</t>
    </r>
    <phoneticPr fontId="134" type="noConversion"/>
  </si>
  <si>
    <r>
      <t>1-3</t>
    </r>
    <r>
      <rPr>
        <sz val="11"/>
        <rFont val="宋体"/>
        <family val="3"/>
        <charset val="134"/>
      </rPr>
      <t>层</t>
    </r>
    <phoneticPr fontId="134" type="noConversion"/>
  </si>
  <si>
    <t>七通</t>
  </si>
  <si>
    <t>与级别开发程度不一致</t>
  </si>
  <si>
    <t>通路</t>
  </si>
  <si>
    <t>通电</t>
  </si>
  <si>
    <t>通讯</t>
  </si>
  <si>
    <t>通上水</t>
  </si>
  <si>
    <t>通下水</t>
  </si>
  <si>
    <t>通热</t>
  </si>
  <si>
    <t>燃气</t>
  </si>
  <si>
    <t>平整</t>
  </si>
  <si>
    <t>好</t>
  </si>
  <si>
    <t>租金</t>
    <phoneticPr fontId="134" type="noConversion"/>
  </si>
  <si>
    <t>辉煌云上</t>
    <phoneticPr fontId="134" type="noConversion"/>
  </si>
  <si>
    <t>一般</t>
    <phoneticPr fontId="30" type="noConversion"/>
  </si>
  <si>
    <t>较差</t>
    <phoneticPr fontId="30" type="noConversion"/>
  </si>
  <si>
    <t>旅游区商业</t>
    <phoneticPr fontId="30" type="noConversion"/>
  </si>
  <si>
    <t>居住社区商业，吉祥超市、长华超市</t>
    <phoneticPr fontId="30" type="noConversion"/>
  </si>
  <si>
    <t>旅游配套商业</t>
  </si>
  <si>
    <t>旅游配套商业</t>
    <phoneticPr fontId="30" type="noConversion"/>
  </si>
  <si>
    <t>住宅配套商业</t>
  </si>
  <si>
    <t>住宅配套商业</t>
    <phoneticPr fontId="30" type="noConversion"/>
  </si>
  <si>
    <t>估价对象临城市主干道--妫川路，周边有Y9路、919路、920路公交车，门口可停车，停车便捷程度较好，综合评价交通便捷度一般</t>
    <phoneticPr fontId="40" type="noConversion"/>
  </si>
  <si>
    <r>
      <rPr>
        <sz val="11"/>
        <rFont val="宋体"/>
        <family val="3"/>
        <charset val="134"/>
      </rPr>
      <t>临城市次干道</t>
    </r>
    <r>
      <rPr>
        <sz val="11"/>
        <rFont val="Arial"/>
        <family val="2"/>
      </rPr>
      <t>-</t>
    </r>
    <r>
      <rPr>
        <sz val="11"/>
        <rFont val="宋体"/>
        <family val="3"/>
        <charset val="134"/>
      </rPr>
      <t>八峪路，</t>
    </r>
    <r>
      <rPr>
        <sz val="11"/>
        <rFont val="Arial"/>
        <family val="2"/>
      </rPr>
      <t>2</t>
    </r>
    <r>
      <rPr>
        <sz val="11"/>
        <rFont val="宋体"/>
        <family val="3"/>
        <charset val="134"/>
      </rPr>
      <t>公里范围内有延庆区沈家营中心小学、沈家营中学，北京农商银行，沈家营镇社区卫生服务中心</t>
    </r>
    <phoneticPr fontId="30" type="noConversion"/>
  </si>
  <si>
    <r>
      <rPr>
        <sz val="11"/>
        <rFont val="宋体"/>
        <family val="3"/>
        <charset val="134"/>
      </rPr>
      <t>距主干道京青县约</t>
    </r>
    <r>
      <rPr>
        <sz val="11"/>
        <rFont val="Arial"/>
        <family val="2"/>
      </rPr>
      <t>480</t>
    </r>
    <r>
      <rPr>
        <sz val="11"/>
        <rFont val="宋体"/>
        <family val="3"/>
        <charset val="134"/>
      </rPr>
      <t>米，</t>
    </r>
    <r>
      <rPr>
        <sz val="11"/>
        <rFont val="Arial"/>
        <family val="2"/>
      </rPr>
      <t>2</t>
    </r>
    <r>
      <rPr>
        <sz val="11"/>
        <rFont val="宋体"/>
        <family val="3"/>
        <charset val="134"/>
      </rPr>
      <t>公里范围内有延庆区姚家营小学、姚家营中心小学附属幼儿园，云上生活汇超市</t>
    </r>
    <phoneticPr fontId="30" type="noConversion"/>
  </si>
  <si>
    <t>比较法-商业2号</t>
    <phoneticPr fontId="16" type="noConversion"/>
  </si>
  <si>
    <t>收益法 (元)2号</t>
  </si>
  <si>
    <t>收益法 (元)2号</t>
    <phoneticPr fontId="16" type="noConversion"/>
  </si>
  <si>
    <t>2号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</si>
</sst>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i/>
      <sz val="9"/>
      <color theme="1"/>
      <name val="Arial"/>
      <family val="2"/>
    </font>
    <font>
      <sz val="12"/>
      <color theme="1"/>
      <name val="宋体"/>
      <family val="2"/>
      <scheme val="minor"/>
    </font>
    <font>
      <sz val="11"/>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0"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0" fontId="271" fillId="0" borderId="0" xfId="19"/>
    <xf numFmtId="0" fontId="0" fillId="5" borderId="0" xfId="0" applyFill="1">
      <alignment vertical="center"/>
    </xf>
    <xf numFmtId="14" fontId="271" fillId="5" borderId="0" xfId="19" applyNumberFormat="1" applyFill="1"/>
    <xf numFmtId="0" fontId="271" fillId="5" borderId="0" xfId="19" applyFill="1"/>
    <xf numFmtId="0" fontId="0" fillId="7" borderId="0" xfId="0" applyFill="1">
      <alignment vertical="center"/>
    </xf>
    <xf numFmtId="14" fontId="271" fillId="7" borderId="0" xfId="19" applyNumberFormat="1" applyFill="1"/>
    <xf numFmtId="0" fontId="271" fillId="7" borderId="0" xfId="19" applyFill="1"/>
    <xf numFmtId="0" fontId="95" fillId="5" borderId="0" xfId="0" applyFont="1" applyFill="1">
      <alignment vertical="center"/>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0" fillId="0" borderId="1" xfId="0" applyBorder="1">
      <alignment vertical="center"/>
    </xf>
    <xf numFmtId="0" fontId="95" fillId="0" borderId="1" xfId="0" applyFont="1" applyBorder="1">
      <alignment vertical="center"/>
    </xf>
    <xf numFmtId="0" fontId="0" fillId="0" borderId="1" xfId="0" applyBorder="1" applyAlignment="1">
      <alignment horizontal="left" vertical="center"/>
    </xf>
    <xf numFmtId="0" fontId="0" fillId="5" borderId="1" xfId="0" applyFill="1" applyBorder="1">
      <alignment vertical="center"/>
    </xf>
    <xf numFmtId="0" fontId="51" fillId="5" borderId="1"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protection locked="0"/>
    </xf>
    <xf numFmtId="183" fontId="47" fillId="27" borderId="1" xfId="0" applyNumberFormat="1" applyFont="1" applyFill="1" applyBorder="1" applyAlignment="1" applyProtection="1">
      <alignment horizontal="center" vertical="center" shrinkToFit="1"/>
      <protection locked="0"/>
    </xf>
    <xf numFmtId="176" fontId="44" fillId="27" borderId="24" xfId="1" applyNumberFormat="1" applyFont="1" applyFill="1" applyBorder="1" applyAlignment="1" applyProtection="1">
      <alignment horizontal="center" vertical="center"/>
      <protection locked="0"/>
    </xf>
    <xf numFmtId="0" fontId="58" fillId="7" borderId="3" xfId="0" applyFont="1" applyFill="1" applyBorder="1" applyAlignment="1" applyProtection="1">
      <alignment horizontal="center" vertical="center" wrapText="1"/>
      <protection locked="0"/>
    </xf>
    <xf numFmtId="0" fontId="58" fillId="7" borderId="3" xfId="0" applyFont="1" applyFill="1" applyBorder="1" applyAlignment="1">
      <alignment horizontal="center" vertical="center" wrapText="1"/>
    </xf>
    <xf numFmtId="49" fontId="272" fillId="0" borderId="11" xfId="0" applyNumberFormat="1" applyFont="1" applyBorder="1" applyAlignment="1" applyProtection="1">
      <alignment horizontal="center" vertical="center" wrapText="1"/>
      <protection locked="0"/>
    </xf>
    <xf numFmtId="49" fontId="272" fillId="0" borderId="22"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0" xfId="19"/>
    <xf numFmtId="14" fontId="271" fillId="0" borderId="0" xfId="19" applyNumberFormat="1"/>
    <xf numFmtId="0" fontId="271" fillId="5" borderId="0" xfId="19" applyFill="1"/>
    <xf numFmtId="14" fontId="271" fillId="5" borderId="0" xfId="19" applyNumberFormat="1" applyFill="1"/>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9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5</xdr:row>
      <xdr:rowOff>106680</xdr:rowOff>
    </xdr:from>
    <xdr:to>
      <xdr:col>15</xdr:col>
      <xdr:colOff>379017</xdr:colOff>
      <xdr:row>33</xdr:row>
      <xdr:rowOff>124813</xdr:rowOff>
    </xdr:to>
    <xdr:pic>
      <xdr:nvPicPr>
        <xdr:cNvPr id="2" name="图片 1">
          <a:extLst>
            <a:ext uri="{FF2B5EF4-FFF2-40B4-BE49-F238E27FC236}">
              <a16:creationId xmlns:a16="http://schemas.microsoft.com/office/drawing/2014/main" id="{15BA5218-AE78-B107-CE8C-3885CABB4AFD}"/>
            </a:ext>
          </a:extLst>
        </xdr:cNvPr>
        <xdr:cNvPicPr>
          <a:picLocks noChangeAspect="1"/>
        </xdr:cNvPicPr>
      </xdr:nvPicPr>
      <xdr:blipFill>
        <a:blip xmlns:r="http://schemas.openxmlformats.org/officeDocument/2006/relationships" r:embed="rId1"/>
        <a:stretch>
          <a:fillRect/>
        </a:stretch>
      </xdr:blipFill>
      <xdr:spPr>
        <a:xfrm>
          <a:off x="60960" y="1097280"/>
          <a:ext cx="10117377" cy="5138773"/>
        </a:xfrm>
        <a:prstGeom prst="rect">
          <a:avLst/>
        </a:prstGeom>
      </xdr:spPr>
    </xdr:pic>
    <xdr:clientData/>
  </xdr:twoCellAnchor>
  <xdr:twoCellAnchor editAs="oneCell">
    <xdr:from>
      <xdr:col>0</xdr:col>
      <xdr:colOff>0</xdr:colOff>
      <xdr:row>34</xdr:row>
      <xdr:rowOff>0</xdr:rowOff>
    </xdr:from>
    <xdr:to>
      <xdr:col>21</xdr:col>
      <xdr:colOff>495461</xdr:colOff>
      <xdr:row>48</xdr:row>
      <xdr:rowOff>106347</xdr:rowOff>
    </xdr:to>
    <xdr:pic>
      <xdr:nvPicPr>
        <xdr:cNvPr id="3" name="图片 2">
          <a:extLst>
            <a:ext uri="{FF2B5EF4-FFF2-40B4-BE49-F238E27FC236}">
              <a16:creationId xmlns:a16="http://schemas.microsoft.com/office/drawing/2014/main" id="{14489063-FB17-32DF-5D32-095D7BB9E605}"/>
            </a:ext>
          </a:extLst>
        </xdr:cNvPr>
        <xdr:cNvPicPr>
          <a:picLocks noChangeAspect="1"/>
        </xdr:cNvPicPr>
      </xdr:nvPicPr>
      <xdr:blipFill>
        <a:blip xmlns:r="http://schemas.openxmlformats.org/officeDocument/2006/relationships" r:embed="rId2"/>
        <a:stretch>
          <a:fillRect/>
        </a:stretch>
      </xdr:blipFill>
      <xdr:spPr>
        <a:xfrm>
          <a:off x="0" y="6294120"/>
          <a:ext cx="13952381" cy="2666667"/>
        </a:xfrm>
        <a:prstGeom prst="rect">
          <a:avLst/>
        </a:prstGeom>
      </xdr:spPr>
    </xdr:pic>
    <xdr:clientData/>
  </xdr:twoCellAnchor>
  <xdr:twoCellAnchor editAs="oneCell">
    <xdr:from>
      <xdr:col>16</xdr:col>
      <xdr:colOff>0</xdr:colOff>
      <xdr:row>6</xdr:row>
      <xdr:rowOff>0</xdr:rowOff>
    </xdr:from>
    <xdr:to>
      <xdr:col>35</xdr:col>
      <xdr:colOff>198552</xdr:colOff>
      <xdr:row>50</xdr:row>
      <xdr:rowOff>10423</xdr:rowOff>
    </xdr:to>
    <xdr:pic>
      <xdr:nvPicPr>
        <xdr:cNvPr id="4" name="图片 3">
          <a:extLst>
            <a:ext uri="{FF2B5EF4-FFF2-40B4-BE49-F238E27FC236}">
              <a16:creationId xmlns:a16="http://schemas.microsoft.com/office/drawing/2014/main" id="{1CACE710-5EB4-C469-1CB6-6D8597676D03}"/>
            </a:ext>
          </a:extLst>
        </xdr:cNvPr>
        <xdr:cNvPicPr>
          <a:picLocks noChangeAspect="1"/>
        </xdr:cNvPicPr>
      </xdr:nvPicPr>
      <xdr:blipFill>
        <a:blip xmlns:r="http://schemas.openxmlformats.org/officeDocument/2006/relationships" r:embed="rId3"/>
        <a:stretch>
          <a:fillRect/>
        </a:stretch>
      </xdr:blipFill>
      <xdr:spPr>
        <a:xfrm>
          <a:off x="10408920" y="1173480"/>
          <a:ext cx="11780952" cy="8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504076</xdr:colOff>
      <xdr:row>30</xdr:row>
      <xdr:rowOff>37409</xdr:rowOff>
    </xdr:to>
    <xdr:pic>
      <xdr:nvPicPr>
        <xdr:cNvPr id="2" name="图片 1">
          <a:extLst>
            <a:ext uri="{FF2B5EF4-FFF2-40B4-BE49-F238E27FC236}">
              <a16:creationId xmlns:a16="http://schemas.microsoft.com/office/drawing/2014/main" id="{E17AD984-509F-72AE-637D-2CE5B276285B}"/>
            </a:ext>
          </a:extLst>
        </xdr:cNvPr>
        <xdr:cNvPicPr>
          <a:picLocks noChangeAspect="1"/>
        </xdr:cNvPicPr>
      </xdr:nvPicPr>
      <xdr:blipFill>
        <a:blip xmlns:r="http://schemas.openxmlformats.org/officeDocument/2006/relationships" r:embed="rId1"/>
        <a:stretch>
          <a:fillRect/>
        </a:stretch>
      </xdr:blipFill>
      <xdr:spPr>
        <a:xfrm>
          <a:off x="0" y="0"/>
          <a:ext cx="5990476" cy="5523809"/>
        </a:xfrm>
        <a:prstGeom prst="rect">
          <a:avLst/>
        </a:prstGeom>
      </xdr:spPr>
    </xdr:pic>
    <xdr:clientData/>
  </xdr:twoCellAnchor>
  <xdr:twoCellAnchor editAs="oneCell">
    <xdr:from>
      <xdr:col>10</xdr:col>
      <xdr:colOff>0</xdr:colOff>
      <xdr:row>3</xdr:row>
      <xdr:rowOff>0</xdr:rowOff>
    </xdr:from>
    <xdr:to>
      <xdr:col>25</xdr:col>
      <xdr:colOff>465524</xdr:colOff>
      <xdr:row>32</xdr:row>
      <xdr:rowOff>1242</xdr:rowOff>
    </xdr:to>
    <xdr:pic>
      <xdr:nvPicPr>
        <xdr:cNvPr id="3" name="图片 2">
          <a:extLst>
            <a:ext uri="{FF2B5EF4-FFF2-40B4-BE49-F238E27FC236}">
              <a16:creationId xmlns:a16="http://schemas.microsoft.com/office/drawing/2014/main" id="{3408D429-BFFC-4E81-B01D-5549FEA3EEE7}"/>
            </a:ext>
          </a:extLst>
        </xdr:cNvPr>
        <xdr:cNvPicPr>
          <a:picLocks noChangeAspect="1"/>
        </xdr:cNvPicPr>
      </xdr:nvPicPr>
      <xdr:blipFill>
        <a:blip xmlns:r="http://schemas.openxmlformats.org/officeDocument/2006/relationships" r:embed="rId2"/>
        <a:stretch>
          <a:fillRect/>
        </a:stretch>
      </xdr:blipFill>
      <xdr:spPr>
        <a:xfrm>
          <a:off x="6096000" y="548640"/>
          <a:ext cx="9609524" cy="5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12</xdr:col>
      <xdr:colOff>322890</xdr:colOff>
      <xdr:row>67</xdr:row>
      <xdr:rowOff>79017</xdr:rowOff>
    </xdr:to>
    <xdr:pic>
      <xdr:nvPicPr>
        <xdr:cNvPr id="2" name="图片 1">
          <a:extLst>
            <a:ext uri="{FF2B5EF4-FFF2-40B4-BE49-F238E27FC236}">
              <a16:creationId xmlns:a16="http://schemas.microsoft.com/office/drawing/2014/main" id="{610C95A4-FDC4-4F85-6A30-322706EF2287}"/>
            </a:ext>
          </a:extLst>
        </xdr:cNvPr>
        <xdr:cNvPicPr>
          <a:picLocks noChangeAspect="1"/>
        </xdr:cNvPicPr>
      </xdr:nvPicPr>
      <xdr:blipFill>
        <a:blip xmlns:r="http://schemas.openxmlformats.org/officeDocument/2006/relationships" r:embed="rId1"/>
        <a:stretch>
          <a:fillRect/>
        </a:stretch>
      </xdr:blipFill>
      <xdr:spPr>
        <a:xfrm>
          <a:off x="0" y="2194560"/>
          <a:ext cx="7676190" cy="7942857"/>
        </a:xfrm>
        <a:prstGeom prst="rect">
          <a:avLst/>
        </a:prstGeom>
      </xdr:spPr>
    </xdr:pic>
    <xdr:clientData/>
  </xdr:twoCellAnchor>
  <xdr:twoCellAnchor editAs="oneCell">
    <xdr:from>
      <xdr:col>0</xdr:col>
      <xdr:colOff>0</xdr:colOff>
      <xdr:row>70</xdr:row>
      <xdr:rowOff>0</xdr:rowOff>
    </xdr:from>
    <xdr:to>
      <xdr:col>11</xdr:col>
      <xdr:colOff>361062</xdr:colOff>
      <xdr:row>114</xdr:row>
      <xdr:rowOff>143756</xdr:rowOff>
    </xdr:to>
    <xdr:pic>
      <xdr:nvPicPr>
        <xdr:cNvPr id="3" name="图片 2">
          <a:extLst>
            <a:ext uri="{FF2B5EF4-FFF2-40B4-BE49-F238E27FC236}">
              <a16:creationId xmlns:a16="http://schemas.microsoft.com/office/drawing/2014/main" id="{CB582634-9EBD-36E1-EC93-B03778A3506F}"/>
            </a:ext>
          </a:extLst>
        </xdr:cNvPr>
        <xdr:cNvPicPr>
          <a:picLocks noChangeAspect="1"/>
        </xdr:cNvPicPr>
      </xdr:nvPicPr>
      <xdr:blipFill>
        <a:blip xmlns:r="http://schemas.openxmlformats.org/officeDocument/2006/relationships" r:embed="rId2"/>
        <a:stretch>
          <a:fillRect/>
        </a:stretch>
      </xdr:blipFill>
      <xdr:spPr>
        <a:xfrm>
          <a:off x="0" y="10607040"/>
          <a:ext cx="7104762" cy="8190476"/>
        </a:xfrm>
        <a:prstGeom prst="rect">
          <a:avLst/>
        </a:prstGeom>
      </xdr:spPr>
    </xdr:pic>
    <xdr:clientData/>
  </xdr:twoCellAnchor>
  <xdr:twoCellAnchor editAs="oneCell">
    <xdr:from>
      <xdr:col>0</xdr:col>
      <xdr:colOff>0</xdr:colOff>
      <xdr:row>120</xdr:row>
      <xdr:rowOff>0</xdr:rowOff>
    </xdr:from>
    <xdr:to>
      <xdr:col>21</xdr:col>
      <xdr:colOff>295451</xdr:colOff>
      <xdr:row>154</xdr:row>
      <xdr:rowOff>58270</xdr:rowOff>
    </xdr:to>
    <xdr:pic>
      <xdr:nvPicPr>
        <xdr:cNvPr id="4" name="图片 3">
          <a:extLst>
            <a:ext uri="{FF2B5EF4-FFF2-40B4-BE49-F238E27FC236}">
              <a16:creationId xmlns:a16="http://schemas.microsoft.com/office/drawing/2014/main" id="{1C4264D3-BAF9-B072-E720-7C7D0100AE92}"/>
            </a:ext>
          </a:extLst>
        </xdr:cNvPr>
        <xdr:cNvPicPr>
          <a:picLocks noChangeAspect="1"/>
        </xdr:cNvPicPr>
      </xdr:nvPicPr>
      <xdr:blipFill>
        <a:blip xmlns:r="http://schemas.openxmlformats.org/officeDocument/2006/relationships" r:embed="rId3"/>
        <a:stretch>
          <a:fillRect/>
        </a:stretch>
      </xdr:blipFill>
      <xdr:spPr>
        <a:xfrm>
          <a:off x="0" y="20177760"/>
          <a:ext cx="13828571" cy="6276190"/>
        </a:xfrm>
        <a:prstGeom prst="rect">
          <a:avLst/>
        </a:prstGeom>
      </xdr:spPr>
    </xdr:pic>
    <xdr:clientData/>
  </xdr:twoCellAnchor>
  <xdr:twoCellAnchor editAs="oneCell">
    <xdr:from>
      <xdr:col>0</xdr:col>
      <xdr:colOff>0</xdr:colOff>
      <xdr:row>155</xdr:row>
      <xdr:rowOff>0</xdr:rowOff>
    </xdr:from>
    <xdr:to>
      <xdr:col>22</xdr:col>
      <xdr:colOff>400137</xdr:colOff>
      <xdr:row>190</xdr:row>
      <xdr:rowOff>84914</xdr:rowOff>
    </xdr:to>
    <xdr:pic>
      <xdr:nvPicPr>
        <xdr:cNvPr id="5" name="图片 4">
          <a:extLst>
            <a:ext uri="{FF2B5EF4-FFF2-40B4-BE49-F238E27FC236}">
              <a16:creationId xmlns:a16="http://schemas.microsoft.com/office/drawing/2014/main" id="{1541D128-210A-FA3D-92AB-F7D14F154F54}"/>
            </a:ext>
          </a:extLst>
        </xdr:cNvPr>
        <xdr:cNvPicPr>
          <a:picLocks noChangeAspect="1"/>
        </xdr:cNvPicPr>
      </xdr:nvPicPr>
      <xdr:blipFill>
        <a:blip xmlns:r="http://schemas.openxmlformats.org/officeDocument/2006/relationships" r:embed="rId4"/>
        <a:stretch>
          <a:fillRect/>
        </a:stretch>
      </xdr:blipFill>
      <xdr:spPr>
        <a:xfrm>
          <a:off x="0" y="26578560"/>
          <a:ext cx="14542857" cy="6485714"/>
        </a:xfrm>
        <a:prstGeom prst="rect">
          <a:avLst/>
        </a:prstGeom>
      </xdr:spPr>
    </xdr:pic>
    <xdr:clientData/>
  </xdr:twoCellAnchor>
  <xdr:twoCellAnchor editAs="oneCell">
    <xdr:from>
      <xdr:col>13</xdr:col>
      <xdr:colOff>711845</xdr:colOff>
      <xdr:row>32</xdr:row>
      <xdr:rowOff>45720</xdr:rowOff>
    </xdr:from>
    <xdr:to>
      <xdr:col>18</xdr:col>
      <xdr:colOff>603140</xdr:colOff>
      <xdr:row>47</xdr:row>
      <xdr:rowOff>1353</xdr:rowOff>
    </xdr:to>
    <xdr:pic>
      <xdr:nvPicPr>
        <xdr:cNvPr id="7" name="图片 6">
          <a:extLst>
            <a:ext uri="{FF2B5EF4-FFF2-40B4-BE49-F238E27FC236}">
              <a16:creationId xmlns:a16="http://schemas.microsoft.com/office/drawing/2014/main" id="{5CD7EBB8-EC1E-8A56-7878-C52E0352DBEA}"/>
            </a:ext>
          </a:extLst>
        </xdr:cNvPr>
        <xdr:cNvPicPr>
          <a:picLocks noChangeAspect="1"/>
        </xdr:cNvPicPr>
      </xdr:nvPicPr>
      <xdr:blipFill>
        <a:blip xmlns:r="http://schemas.openxmlformats.org/officeDocument/2006/relationships" r:embed="rId5"/>
        <a:stretch>
          <a:fillRect/>
        </a:stretch>
      </xdr:blipFill>
      <xdr:spPr>
        <a:xfrm>
          <a:off x="8636645" y="4312920"/>
          <a:ext cx="3632715" cy="2696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北京市延庆县燕水佳园14号楼1至2层1号、2号预评估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受贵公司委托，我公司对北京市延庆县燕水佳园14号楼1至2层1号、2号进行了预评估。</v>
      </c>
    </row>
    <row r="7" spans="1:2">
      <c r="A7" s="1118" t="s">
        <v>566</v>
      </c>
      <c r="B7" s="1119" t="str">
        <f>'预评函-1'!A7</f>
        <v>估价对象为北京市延庆县燕水佳园14号楼1至2层1号、2号房地产，为1号郑亚军、2号卓莹莹所有。根据《国有土地使用证》[]，估价对象（分摊）出让国有建设用地使用权面积为0平方米，建筑面积为312.66平方米。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2024年9月27日（评估专业人员实地查勘之日）</v>
      </c>
    </row>
    <row r="13" spans="1:2">
      <c r="A13" s="1118" t="s">
        <v>529</v>
      </c>
      <c r="B13" s="1119" t="str">
        <f>'预评函-1'!A18</f>
        <v>本次估价的“房地产价值”是指在正常市场情况下，在价值时点2024年9月27日，估价对象规划用途为商业，土地取得方式为出让，出让国有建设用地使用权剩余土地使用年限为17，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190</v>
      </c>
    </row>
    <row r="21" spans="1:2">
      <c r="A21" s="1118" t="s">
        <v>537</v>
      </c>
      <c r="B21" s="1119">
        <f ca="1">'预评函-2'!D7</f>
        <v>12143</v>
      </c>
    </row>
    <row r="22" spans="1:2">
      <c r="A22" s="1118" t="s">
        <v>538</v>
      </c>
      <c r="B22" s="1119" t="str">
        <f ca="1">'预评函-2'!D6</f>
        <v>壹佰玖拾万元整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190</v>
      </c>
    </row>
    <row r="31" spans="1:2">
      <c r="A31" s="1118" t="s">
        <v>576</v>
      </c>
      <c r="B31" s="1119">
        <f ca="1">'预评函-2'!D15</f>
        <v>12143</v>
      </c>
    </row>
    <row r="32" spans="1:2">
      <c r="A32" s="1118" t="s">
        <v>543</v>
      </c>
      <c r="B32" s="1119" t="str">
        <f ca="1">'预评函-2'!D14</f>
        <v>壹佰玖拾万元整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北京市延庆县燕水佳园14号楼1至2层1号、2号房地产</v>
      </c>
    </row>
    <row r="42" spans="1:2" ht="31.2">
      <c r="A42" s="1118" t="s">
        <v>590</v>
      </c>
      <c r="B42" s="1119" t="str">
        <f>'预评函-3'!B2</f>
        <v>建筑面积</v>
      </c>
    </row>
    <row r="43" spans="1:2">
      <c r="A43" s="1118" t="s">
        <v>591</v>
      </c>
      <c r="B43" s="1119">
        <f>'预评函-3'!B4</f>
        <v>312.66000000000003</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0" sqref="F20"/>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3514</v>
      </c>
      <c r="C19" s="1441"/>
    </row>
    <row r="20" spans="1:3">
      <c r="A20" s="1440" t="s">
        <v>1048</v>
      </c>
      <c r="B20" s="1440" t="s">
        <v>3516</v>
      </c>
      <c r="C20" s="1441"/>
    </row>
    <row r="21" spans="1:3">
      <c r="A21" s="1440" t="s">
        <v>1049</v>
      </c>
      <c r="B21" s="1440" t="s">
        <v>3553</v>
      </c>
      <c r="C21" s="1441"/>
    </row>
    <row r="22" spans="1:3">
      <c r="A22" s="1440" t="s">
        <v>1050</v>
      </c>
      <c r="B22" s="1440" t="s">
        <v>3555</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燕水佳园14号楼1至2层1号、2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7"/>
      <c r="B54" s="1446" t="s">
        <v>385</v>
      </c>
      <c r="C54" s="1444" t="s">
        <v>583</v>
      </c>
    </row>
    <row r="55" spans="1:4">
      <c r="A55" s="3227"/>
      <c r="B55" s="1446" t="s">
        <v>386</v>
      </c>
      <c r="C55" s="1444" t="s">
        <v>584</v>
      </c>
    </row>
    <row r="56" spans="1:4">
      <c r="A56" s="3227"/>
      <c r="B56" s="1446" t="s">
        <v>387</v>
      </c>
      <c r="C56" s="1444" t="s">
        <v>588</v>
      </c>
    </row>
    <row r="57" spans="1:4">
      <c r="A57" s="322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8" t="s">
        <v>2580</v>
      </c>
      <c r="J2" s="3228"/>
      <c r="K2" s="3228"/>
      <c r="L2" s="3228"/>
      <c r="M2" s="3228"/>
      <c r="N2" s="3228"/>
      <c r="O2" s="3228"/>
      <c r="P2" s="3228"/>
      <c r="Q2" s="3228"/>
      <c r="R2" s="3228"/>
    </row>
    <row r="3" spans="1:18">
      <c r="A3" s="2760" t="s">
        <v>2501</v>
      </c>
      <c r="B3" s="2761">
        <f>项目基本情况!D3</f>
        <v>45562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2.2200000000000002</v>
      </c>
      <c r="D5" s="2765">
        <f>IF(ISERROR(ROUND(POWER(1+E5,A5-C5)*(POWER(1+E5,C5)-1)/(POWER(1+E5,A5)-1),3)),0,ROUND(POWER(1+E5,A5-C5)*(POWER(1+E5,C5)-1)/(POWER(1+E5,A5)-1),4))</f>
        <v>0.1053</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12.23</v>
      </c>
      <c r="D6" s="2765">
        <f>IF(ISERROR(ROUND(POWER(1+E6,A6-C6)*(POWER(1+E6,C6)-1)/(POWER(1+E6,A6)-1),3)),0,ROUND(POWER(1+E6,A6-C6)*(POWER(1+E6,C6)-1)/(POWER(1+E6,A6)-1),4))</f>
        <v>0.44340000000000002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32.24</v>
      </c>
      <c r="D7" s="2765">
        <f>IF(ISERROR(ROUND(POWER(1+E7,A7-C7)*(POWER(1+E7,C7)-1)/(POWER(1+E7,A7)-1),3)),0,ROUND(POWER(1+E7,A7-C7)*(POWER(1+E7,C7)-1)/(POWER(1+E7,A7)-1),4))</f>
        <v>0.76690000000000003</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3">
      <c r="A17" s="2760" t="s">
        <v>2517</v>
      </c>
      <c r="B17" s="2768">
        <v>4810</v>
      </c>
      <c r="C17" s="2762"/>
      <c r="D17" s="2758"/>
      <c r="E17" s="2758"/>
      <c r="F17" s="2759"/>
    </row>
    <row r="18" spans="1:13" ht="15" thickBot="1">
      <c r="A18" s="2770" t="s">
        <v>2516</v>
      </c>
      <c r="B18" s="2771">
        <f>ROUND(B17*F11/F12,2)</f>
        <v>5541.87</v>
      </c>
      <c r="C18" s="2771">
        <f>ROUND(F11/F12,4)</f>
        <v>1.1521999999999999</v>
      </c>
      <c r="D18" s="2772"/>
      <c r="E18" s="2772"/>
      <c r="F18" s="2773"/>
    </row>
    <row r="19" spans="1:13" ht="15" thickBot="1"/>
    <row r="20" spans="1:13" s="2806" customFormat="1" ht="15" thickTop="1">
      <c r="A20" s="2803" t="s">
        <v>2519</v>
      </c>
      <c r="B20" s="2804"/>
      <c r="C20" s="2804"/>
      <c r="D20" s="2804"/>
      <c r="E20" s="2804"/>
      <c r="F20" s="2804"/>
      <c r="G20" s="2805"/>
      <c r="I20" s="2807" t="s">
        <v>2564</v>
      </c>
      <c r="J20" s="2807" t="s">
        <v>2569</v>
      </c>
      <c r="K20" s="2807"/>
      <c r="L20" s="2807"/>
      <c r="M20" s="2807"/>
    </row>
    <row r="21" spans="1:13">
      <c r="A21" s="2774"/>
      <c r="B21" s="2775" t="s">
        <v>2520</v>
      </c>
      <c r="C21" s="2775" t="s">
        <v>2521</v>
      </c>
      <c r="D21" s="2775" t="s">
        <v>2522</v>
      </c>
      <c r="E21" s="2775" t="s">
        <v>2523</v>
      </c>
      <c r="F21" s="2775" t="s">
        <v>2524</v>
      </c>
      <c r="G21" s="2776" t="s">
        <v>2525</v>
      </c>
      <c r="I21" s="2797">
        <v>5</v>
      </c>
      <c r="J21" s="2797">
        <v>54.2</v>
      </c>
    </row>
    <row r="22" spans="1:13">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M23" s="2797" t="s">
        <v>2568</v>
      </c>
    </row>
    <row r="24" spans="1:13">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M24" s="2797">
        <v>10</v>
      </c>
    </row>
    <row r="25" spans="1:13">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M25" s="2797">
        <v>8</v>
      </c>
    </row>
    <row r="26" spans="1:13">
      <c r="A26" s="2779"/>
      <c r="B26" s="2780"/>
      <c r="C26" s="2780"/>
      <c r="D26" s="2780"/>
      <c r="E26" s="2780"/>
      <c r="F26" s="2780"/>
      <c r="G26" s="2781"/>
      <c r="I26" s="2797">
        <v>30</v>
      </c>
      <c r="J26" s="2797">
        <v>90.5</v>
      </c>
      <c r="K26" s="2797">
        <f t="shared" si="2"/>
        <v>4.2000000000000028</v>
      </c>
      <c r="L26" s="2797" t="s">
        <v>2571</v>
      </c>
      <c r="M26" s="2797">
        <v>5</v>
      </c>
    </row>
    <row r="27" spans="1:13">
      <c r="A27" s="2779" t="s">
        <v>2530</v>
      </c>
      <c r="B27" s="2780"/>
      <c r="C27" s="2780"/>
      <c r="D27" s="2780"/>
      <c r="E27" s="2780"/>
      <c r="F27" s="2780"/>
      <c r="G27" s="2781"/>
      <c r="I27" s="2797">
        <v>35</v>
      </c>
      <c r="J27" s="2797">
        <v>93.8</v>
      </c>
      <c r="K27" s="2797">
        <f t="shared" si="2"/>
        <v>3.2999999999999972</v>
      </c>
      <c r="L27" s="2797" t="s">
        <v>2572</v>
      </c>
      <c r="M27" s="2797">
        <v>3</v>
      </c>
    </row>
    <row r="28" spans="1:13">
      <c r="A28" s="2779" t="s">
        <v>2531</v>
      </c>
      <c r="B28" s="2780"/>
      <c r="C28" s="2780"/>
      <c r="D28" s="2780"/>
      <c r="E28" s="2780"/>
      <c r="F28" s="2780"/>
      <c r="G28" s="2781"/>
      <c r="I28" s="2797">
        <v>40</v>
      </c>
      <c r="J28" s="2797">
        <v>96.4</v>
      </c>
      <c r="K28" s="2797">
        <f t="shared" si="2"/>
        <v>2.6000000000000085</v>
      </c>
      <c r="L28" s="2797" t="s">
        <v>2573</v>
      </c>
      <c r="M28" s="2797">
        <v>2</v>
      </c>
    </row>
    <row r="29" spans="1:13">
      <c r="A29" s="2779" t="s">
        <v>2532</v>
      </c>
      <c r="B29" s="2780"/>
      <c r="C29" s="2780"/>
      <c r="D29" s="2780"/>
      <c r="E29" s="2780"/>
      <c r="F29" s="2780"/>
      <c r="G29" s="2781"/>
      <c r="I29" s="2797">
        <v>45</v>
      </c>
      <c r="J29" s="2797">
        <v>98.4</v>
      </c>
      <c r="K29" s="2797">
        <f t="shared" si="2"/>
        <v>2</v>
      </c>
    </row>
    <row r="30" spans="1:13">
      <c r="A30" s="2779" t="s">
        <v>2533</v>
      </c>
      <c r="B30" s="2780"/>
      <c r="C30" s="2780"/>
      <c r="D30" s="2780"/>
      <c r="E30" s="2780"/>
      <c r="F30" s="2780"/>
      <c r="G30" s="2781"/>
      <c r="I30" s="2797">
        <v>50</v>
      </c>
      <c r="J30" s="2797">
        <v>100</v>
      </c>
      <c r="K30" s="2797">
        <f t="shared" si="2"/>
        <v>1.5999999999999943</v>
      </c>
    </row>
    <row r="31" spans="1:13">
      <c r="A31" s="2779" t="s">
        <v>2534</v>
      </c>
      <c r="B31" s="2780"/>
      <c r="C31" s="2780"/>
      <c r="D31" s="2780"/>
      <c r="E31" s="2780"/>
      <c r="F31" s="2780"/>
      <c r="G31" s="2781"/>
      <c r="I31" s="2797" t="s">
        <v>2565</v>
      </c>
    </row>
    <row r="32" spans="1:13">
      <c r="A32" s="2779" t="s">
        <v>2535</v>
      </c>
      <c r="B32" s="2780"/>
      <c r="C32" s="2780"/>
      <c r="D32" s="2780"/>
      <c r="E32" s="2780"/>
      <c r="F32" s="2780"/>
      <c r="G32" s="2781"/>
    </row>
    <row r="33" spans="1:13">
      <c r="A33" s="2779" t="s">
        <v>2536</v>
      </c>
      <c r="B33" s="2780"/>
      <c r="C33" s="2780"/>
      <c r="D33" s="2780"/>
      <c r="E33" s="2780"/>
      <c r="F33" s="2780"/>
      <c r="G33" s="2781"/>
      <c r="I33" s="2797" t="s">
        <v>2564</v>
      </c>
      <c r="J33" s="2797" t="s">
        <v>2574</v>
      </c>
    </row>
    <row r="34" spans="1:13">
      <c r="A34" s="2779" t="s">
        <v>2537</v>
      </c>
      <c r="B34" s="2780"/>
      <c r="C34" s="2780"/>
      <c r="D34" s="2780"/>
      <c r="E34" s="2780"/>
      <c r="F34" s="2780"/>
      <c r="G34" s="2781"/>
      <c r="I34" s="2797">
        <v>5</v>
      </c>
      <c r="J34" s="2797">
        <v>55.1</v>
      </c>
    </row>
    <row r="35" spans="1:13">
      <c r="A35" s="2779" t="s">
        <v>2538</v>
      </c>
      <c r="B35" s="2780"/>
      <c r="C35" s="2780"/>
      <c r="D35" s="2780"/>
      <c r="E35" s="2780"/>
      <c r="F35" s="2780"/>
      <c r="G35" s="2781"/>
      <c r="I35" s="2797">
        <v>10</v>
      </c>
      <c r="J35" s="2797">
        <v>67</v>
      </c>
      <c r="K35" s="2797">
        <f>J35-J34</f>
        <v>11.899999999999999</v>
      </c>
    </row>
    <row r="36" spans="1:13">
      <c r="A36" s="2779" t="s">
        <v>2539</v>
      </c>
      <c r="B36" s="2780"/>
      <c r="C36" s="2780"/>
      <c r="D36" s="2780"/>
      <c r="E36" s="2780"/>
      <c r="F36" s="2780"/>
      <c r="G36" s="2781"/>
      <c r="I36" s="2797">
        <v>15</v>
      </c>
      <c r="J36" s="2797">
        <v>76.3</v>
      </c>
      <c r="K36" s="2797">
        <f t="shared" ref="K36:K41" si="3">J36-J35</f>
        <v>9.2999999999999972</v>
      </c>
      <c r="L36" s="2797" t="s">
        <v>2567</v>
      </c>
      <c r="M36" s="2797" t="s">
        <v>2568</v>
      </c>
    </row>
    <row r="37" spans="1:13">
      <c r="A37" s="2779" t="s">
        <v>2540</v>
      </c>
      <c r="B37" s="2780"/>
      <c r="C37" s="2780"/>
      <c r="D37" s="2780"/>
      <c r="E37" s="2780"/>
      <c r="F37" s="2780"/>
      <c r="G37" s="2781"/>
      <c r="I37" s="2797">
        <v>20</v>
      </c>
      <c r="J37" s="2797">
        <v>83.6</v>
      </c>
      <c r="K37" s="2797">
        <f t="shared" si="3"/>
        <v>7.2999999999999972</v>
      </c>
      <c r="L37" s="2797" t="s">
        <v>2566</v>
      </c>
      <c r="M37" s="2797">
        <v>10</v>
      </c>
    </row>
    <row r="38" spans="1:13">
      <c r="A38" s="2779" t="s">
        <v>2541</v>
      </c>
      <c r="B38" s="2780"/>
      <c r="C38" s="2780"/>
      <c r="D38" s="2780"/>
      <c r="E38" s="2780"/>
      <c r="F38" s="2780"/>
      <c r="G38" s="2781"/>
      <c r="I38" s="2797">
        <v>25</v>
      </c>
      <c r="J38" s="2797">
        <v>89.3</v>
      </c>
      <c r="K38" s="2797">
        <f t="shared" si="3"/>
        <v>5.7000000000000028</v>
      </c>
      <c r="L38" s="2797" t="s">
        <v>2570</v>
      </c>
      <c r="M38" s="2797">
        <v>8</v>
      </c>
    </row>
    <row r="39" spans="1:13">
      <c r="A39" s="2779"/>
      <c r="B39" s="2780"/>
      <c r="C39" s="2780"/>
      <c r="D39" s="2780"/>
      <c r="E39" s="2780"/>
      <c r="F39" s="2780"/>
      <c r="G39" s="2781"/>
      <c r="I39" s="2797">
        <v>30</v>
      </c>
      <c r="J39" s="2797">
        <v>93.8</v>
      </c>
      <c r="K39" s="2797">
        <f t="shared" si="3"/>
        <v>4.5</v>
      </c>
      <c r="L39" s="2797" t="s">
        <v>2571</v>
      </c>
      <c r="M39" s="2797">
        <v>6</v>
      </c>
    </row>
    <row r="40" spans="1:13">
      <c r="A40" s="2782" t="s">
        <v>2542</v>
      </c>
      <c r="B40" s="2783"/>
      <c r="C40" s="2783"/>
      <c r="D40" s="2783"/>
      <c r="E40" s="2783"/>
      <c r="F40" s="2783"/>
      <c r="G40" s="2784"/>
      <c r="I40" s="2797">
        <v>35</v>
      </c>
      <c r="J40" s="2797">
        <v>97.2</v>
      </c>
      <c r="K40" s="2797">
        <f t="shared" si="3"/>
        <v>3.4000000000000057</v>
      </c>
      <c r="L40" s="2797" t="s">
        <v>2572</v>
      </c>
      <c r="M40" s="2797">
        <v>3</v>
      </c>
    </row>
    <row r="41" spans="1:13">
      <c r="A41" s="2785" t="s">
        <v>2543</v>
      </c>
      <c r="B41" s="2786" t="s">
        <v>2544</v>
      </c>
      <c r="C41" s="2787" t="s">
        <v>2545</v>
      </c>
      <c r="D41" s="2787" t="s">
        <v>2546</v>
      </c>
      <c r="E41" s="2788"/>
      <c r="F41" s="2789"/>
      <c r="G41" s="2790"/>
      <c r="I41" s="2797">
        <v>40</v>
      </c>
      <c r="J41" s="2797">
        <v>100</v>
      </c>
      <c r="K41" s="2797">
        <f t="shared" si="3"/>
        <v>2.7999999999999972</v>
      </c>
    </row>
    <row r="42" spans="1:13">
      <c r="A42" s="2785" t="s">
        <v>2547</v>
      </c>
      <c r="B42" s="2786" t="s">
        <v>2548</v>
      </c>
      <c r="C42" s="2787" t="s">
        <v>2549</v>
      </c>
      <c r="D42" s="2791" t="s">
        <v>2550</v>
      </c>
      <c r="E42" s="2783" t="s">
        <v>2551</v>
      </c>
      <c r="F42" s="2783"/>
      <c r="G42" s="2784"/>
    </row>
    <row r="43" spans="1:13">
      <c r="A43" s="2785" t="s">
        <v>2552</v>
      </c>
      <c r="B43" s="2786" t="s">
        <v>2553</v>
      </c>
      <c r="C43" s="2787" t="s">
        <v>2554</v>
      </c>
      <c r="D43" s="2787" t="s">
        <v>2555</v>
      </c>
      <c r="E43" s="2788" t="s">
        <v>2556</v>
      </c>
      <c r="F43" s="2789"/>
      <c r="G43" s="2790"/>
      <c r="I43" s="2797" t="s">
        <v>2564</v>
      </c>
      <c r="J43" s="2797" t="s">
        <v>2575</v>
      </c>
    </row>
    <row r="44" spans="1:13">
      <c r="A44" s="2785" t="s">
        <v>2557</v>
      </c>
      <c r="B44" s="2786" t="s">
        <v>2558</v>
      </c>
      <c r="C44" s="2787" t="s">
        <v>2559</v>
      </c>
      <c r="D44" s="2791">
        <v>0.5</v>
      </c>
      <c r="E44" s="2788" t="s">
        <v>2560</v>
      </c>
      <c r="F44" s="2789"/>
      <c r="G44" s="2790"/>
      <c r="I44" s="2797">
        <v>30</v>
      </c>
      <c r="J44" s="2797">
        <v>81.7</v>
      </c>
    </row>
    <row r="45" spans="1:13" ht="15" thickBot="1">
      <c r="A45" s="2792" t="s">
        <v>2561</v>
      </c>
      <c r="B45" s="2793" t="s">
        <v>2548</v>
      </c>
      <c r="C45" s="2794" t="s">
        <v>2548</v>
      </c>
      <c r="D45" s="2794" t="s">
        <v>2562</v>
      </c>
      <c r="E45" s="2795" t="s">
        <v>2563</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M17"/>
  <sheetViews>
    <sheetView workbookViewId="0">
      <selection activeCell="M35" sqref="M35"/>
    </sheetView>
  </sheetViews>
  <sheetFormatPr defaultRowHeight="14.4"/>
  <cols>
    <col min="1" max="1" width="12.44140625" customWidth="1"/>
    <col min="2" max="2" width="18" customWidth="1"/>
  </cols>
  <sheetData>
    <row r="1" spans="1:13" ht="15.6">
      <c r="A1" s="1404" t="s">
        <v>3476</v>
      </c>
      <c r="B1" s="3229" t="s">
        <v>3446</v>
      </c>
      <c r="C1" s="3229" t="s">
        <v>3447</v>
      </c>
      <c r="D1" s="3229" t="s">
        <v>3448</v>
      </c>
      <c r="E1" s="3229" t="s">
        <v>3449</v>
      </c>
      <c r="F1" s="3229" t="s">
        <v>3450</v>
      </c>
      <c r="G1" s="3229" t="s">
        <v>3451</v>
      </c>
      <c r="H1" s="3229" t="s">
        <v>3452</v>
      </c>
      <c r="I1" s="3229" t="s">
        <v>3453</v>
      </c>
      <c r="J1" s="3229" t="s">
        <v>3454</v>
      </c>
      <c r="K1" s="3229" t="s">
        <v>3455</v>
      </c>
      <c r="L1" s="3229" t="s">
        <v>3456</v>
      </c>
      <c r="M1" s="3229" t="s">
        <v>3457</v>
      </c>
    </row>
    <row r="2" spans="1:13" ht="15.6">
      <c r="B2" s="3230">
        <v>45462.333831018521</v>
      </c>
      <c r="C2" s="3229" t="s">
        <v>3467</v>
      </c>
      <c r="D2" s="3229" t="s">
        <v>633</v>
      </c>
      <c r="E2" s="3229" t="s">
        <v>633</v>
      </c>
      <c r="F2" s="3229">
        <v>12</v>
      </c>
      <c r="G2" s="3229">
        <v>1201</v>
      </c>
      <c r="H2" s="3229" t="s">
        <v>3468</v>
      </c>
      <c r="I2" s="3229" t="s">
        <v>673</v>
      </c>
      <c r="J2" s="3229" t="s">
        <v>3460</v>
      </c>
      <c r="K2" s="3229">
        <v>624.08000000000004</v>
      </c>
      <c r="L2" s="3229">
        <v>1050</v>
      </c>
      <c r="M2" s="3229">
        <v>16825</v>
      </c>
    </row>
    <row r="3" spans="1:13" ht="15.6">
      <c r="B3" s="3230">
        <v>45218.333831018521</v>
      </c>
      <c r="C3" s="3229" t="s">
        <v>3469</v>
      </c>
      <c r="D3" s="3229" t="s">
        <v>633</v>
      </c>
      <c r="E3" s="3229" t="s">
        <v>633</v>
      </c>
      <c r="F3" s="3229">
        <v>2</v>
      </c>
      <c r="G3" s="3229">
        <v>201</v>
      </c>
      <c r="H3" s="3229" t="s">
        <v>3470</v>
      </c>
      <c r="I3" s="3229" t="s">
        <v>673</v>
      </c>
      <c r="J3" s="3229" t="s">
        <v>3460</v>
      </c>
      <c r="K3" s="3229">
        <v>1642.99</v>
      </c>
      <c r="L3" s="3229">
        <v>3162.84</v>
      </c>
      <c r="M3" s="3229">
        <v>19250</v>
      </c>
    </row>
    <row r="4" spans="1:13" ht="15.6">
      <c r="B4" s="3230">
        <v>45082.333831018521</v>
      </c>
      <c r="C4" s="3229" t="s">
        <v>3465</v>
      </c>
      <c r="D4" s="3229" t="s">
        <v>633</v>
      </c>
      <c r="E4" s="3229" t="s">
        <v>633</v>
      </c>
      <c r="F4" s="3229">
        <v>1</v>
      </c>
      <c r="G4" s="3229">
        <v>101</v>
      </c>
      <c r="H4" s="3229" t="s">
        <v>3471</v>
      </c>
      <c r="I4" s="3229" t="s">
        <v>673</v>
      </c>
      <c r="J4" s="3229" t="s">
        <v>3460</v>
      </c>
      <c r="K4" s="3229">
        <v>11761.1</v>
      </c>
      <c r="L4" s="3229">
        <v>9853</v>
      </c>
      <c r="M4" s="3229">
        <v>8378</v>
      </c>
    </row>
    <row r="5" spans="1:13" s="3161" customFormat="1" ht="15.6">
      <c r="B5" s="3232">
        <v>45076.333831018521</v>
      </c>
      <c r="C5" s="3231" t="s">
        <v>3469</v>
      </c>
      <c r="D5" s="3231" t="s">
        <v>633</v>
      </c>
      <c r="E5" s="3231" t="s">
        <v>633</v>
      </c>
      <c r="F5" s="3231">
        <v>1</v>
      </c>
      <c r="G5" s="3231">
        <v>102</v>
      </c>
      <c r="H5" s="3231" t="s">
        <v>3470</v>
      </c>
      <c r="I5" s="3231" t="s">
        <v>673</v>
      </c>
      <c r="J5" s="3231" t="s">
        <v>3460</v>
      </c>
      <c r="K5" s="3231">
        <v>655.6</v>
      </c>
      <c r="L5" s="3231">
        <v>1455</v>
      </c>
      <c r="M5" s="3231">
        <v>22193</v>
      </c>
    </row>
    <row r="6" spans="1:13" ht="15.6">
      <c r="B6" s="3230">
        <v>44999.333831018521</v>
      </c>
      <c r="C6" s="3229" t="s">
        <v>3467</v>
      </c>
      <c r="D6" s="3229" t="s">
        <v>633</v>
      </c>
      <c r="E6" s="3229" t="s">
        <v>633</v>
      </c>
      <c r="F6" s="3229">
        <v>6</v>
      </c>
      <c r="G6" s="3229">
        <v>601</v>
      </c>
      <c r="H6" s="3229" t="s">
        <v>3468</v>
      </c>
      <c r="I6" s="3229" t="s">
        <v>673</v>
      </c>
      <c r="J6" s="3229" t="s">
        <v>3460</v>
      </c>
      <c r="K6" s="3229">
        <v>624.08000000000004</v>
      </c>
      <c r="L6" s="3229">
        <v>1446.83</v>
      </c>
      <c r="M6" s="3229">
        <v>23183</v>
      </c>
    </row>
    <row r="7" spans="1:13" ht="15.6">
      <c r="B7" s="3230">
        <v>44439.333831018521</v>
      </c>
      <c r="C7" s="3229" t="s">
        <v>3472</v>
      </c>
      <c r="D7" s="3229" t="s">
        <v>633</v>
      </c>
      <c r="E7" s="3229" t="s">
        <v>633</v>
      </c>
      <c r="F7" s="3229">
        <v>1</v>
      </c>
      <c r="G7" s="3229">
        <v>101</v>
      </c>
      <c r="H7" s="3229" t="s">
        <v>3473</v>
      </c>
      <c r="I7" s="3229" t="s">
        <v>673</v>
      </c>
      <c r="J7" s="3229" t="s">
        <v>3460</v>
      </c>
      <c r="K7" s="3229">
        <v>665.36</v>
      </c>
      <c r="L7" s="3229">
        <v>1336</v>
      </c>
      <c r="M7" s="3229">
        <v>20079</v>
      </c>
    </row>
    <row r="8" spans="1:13" ht="15.6">
      <c r="B8" s="3230">
        <v>44439.333831018521</v>
      </c>
      <c r="C8" s="3229" t="s">
        <v>3472</v>
      </c>
      <c r="D8" s="3229" t="s">
        <v>633</v>
      </c>
      <c r="E8" s="3229" t="s">
        <v>633</v>
      </c>
      <c r="F8" s="3229">
        <v>3</v>
      </c>
      <c r="G8" s="3229">
        <v>301</v>
      </c>
      <c r="H8" s="3229" t="s">
        <v>3473</v>
      </c>
      <c r="I8" s="3229" t="s">
        <v>673</v>
      </c>
      <c r="J8" s="3229" t="s">
        <v>3460</v>
      </c>
      <c r="K8" s="3229">
        <v>677.5</v>
      </c>
      <c r="L8" s="3229">
        <v>1360.39</v>
      </c>
      <c r="M8" s="3229">
        <v>20079</v>
      </c>
    </row>
    <row r="9" spans="1:13" ht="15.6">
      <c r="B9" s="3230">
        <v>44439.333831018521</v>
      </c>
      <c r="C9" s="3229" t="s">
        <v>3472</v>
      </c>
      <c r="D9" s="3229" t="s">
        <v>633</v>
      </c>
      <c r="E9" s="3229" t="s">
        <v>633</v>
      </c>
      <c r="F9" s="3229">
        <v>5</v>
      </c>
      <c r="G9" s="3229">
        <v>501</v>
      </c>
      <c r="H9" s="3229" t="s">
        <v>3473</v>
      </c>
      <c r="I9" s="3229" t="s">
        <v>673</v>
      </c>
      <c r="J9" s="3229" t="s">
        <v>3460</v>
      </c>
      <c r="K9" s="3229">
        <v>677.5</v>
      </c>
      <c r="L9" s="3229">
        <v>1360.39</v>
      </c>
      <c r="M9" s="3229">
        <v>20079</v>
      </c>
    </row>
    <row r="10" spans="1:13" ht="15.6">
      <c r="B10" s="3230">
        <v>44439.333831018521</v>
      </c>
      <c r="C10" s="3229" t="s">
        <v>3472</v>
      </c>
      <c r="D10" s="3229" t="s">
        <v>633</v>
      </c>
      <c r="E10" s="3229" t="s">
        <v>633</v>
      </c>
      <c r="F10" s="3229">
        <v>4</v>
      </c>
      <c r="G10" s="3229">
        <v>401</v>
      </c>
      <c r="H10" s="3229" t="s">
        <v>3473</v>
      </c>
      <c r="I10" s="3229" t="s">
        <v>673</v>
      </c>
      <c r="J10" s="3229" t="s">
        <v>3460</v>
      </c>
      <c r="K10" s="3229">
        <v>677.5</v>
      </c>
      <c r="L10" s="3229">
        <v>1360.39</v>
      </c>
      <c r="M10" s="3229">
        <v>20079</v>
      </c>
    </row>
    <row r="11" spans="1:13" ht="15.6">
      <c r="B11" s="3230">
        <v>44439.333831018521</v>
      </c>
      <c r="C11" s="3229" t="s">
        <v>3472</v>
      </c>
      <c r="D11" s="3229" t="s">
        <v>633</v>
      </c>
      <c r="E11" s="3229" t="s">
        <v>633</v>
      </c>
      <c r="F11" s="3229">
        <v>2</v>
      </c>
      <c r="G11" s="3229">
        <v>201</v>
      </c>
      <c r="H11" s="3229" t="s">
        <v>3473</v>
      </c>
      <c r="I11" s="3229" t="s">
        <v>673</v>
      </c>
      <c r="J11" s="3229" t="s">
        <v>3460</v>
      </c>
      <c r="K11" s="3229">
        <v>677.5</v>
      </c>
      <c r="L11" s="3229">
        <v>1360.39</v>
      </c>
      <c r="M11" s="3229">
        <v>20079</v>
      </c>
    </row>
    <row r="12" spans="1:13" ht="15.6">
      <c r="B12" s="3230">
        <v>44257.333831018521</v>
      </c>
      <c r="C12" s="3229" t="s">
        <v>3474</v>
      </c>
      <c r="D12" s="3229" t="s">
        <v>633</v>
      </c>
      <c r="E12" s="3229" t="s">
        <v>633</v>
      </c>
      <c r="F12" s="3229">
        <v>3</v>
      </c>
      <c r="G12" s="3229">
        <v>301</v>
      </c>
      <c r="H12" s="3229" t="s">
        <v>3473</v>
      </c>
      <c r="I12" s="3229" t="s">
        <v>673</v>
      </c>
      <c r="J12" s="3229" t="s">
        <v>3460</v>
      </c>
      <c r="K12" s="3229">
        <v>620.24</v>
      </c>
      <c r="L12" s="3229">
        <v>1605.68</v>
      </c>
      <c r="M12" s="3229">
        <v>25888</v>
      </c>
    </row>
    <row r="13" spans="1:13" ht="15.6">
      <c r="B13" s="3230">
        <v>44257.333831018521</v>
      </c>
      <c r="C13" s="3229" t="s">
        <v>3474</v>
      </c>
      <c r="D13" s="3229" t="s">
        <v>633</v>
      </c>
      <c r="E13" s="3229" t="s">
        <v>633</v>
      </c>
      <c r="F13" s="3229">
        <v>1</v>
      </c>
      <c r="G13" s="3229">
        <v>101</v>
      </c>
      <c r="H13" s="3229" t="s">
        <v>3473</v>
      </c>
      <c r="I13" s="3229" t="s">
        <v>673</v>
      </c>
      <c r="J13" s="3229" t="s">
        <v>3460</v>
      </c>
      <c r="K13" s="3229">
        <v>1155.28</v>
      </c>
      <c r="L13" s="3229">
        <v>3380.97</v>
      </c>
      <c r="M13" s="3229">
        <v>29265</v>
      </c>
    </row>
    <row r="14" spans="1:13" ht="15.6">
      <c r="B14" s="3230">
        <v>44257.333831018521</v>
      </c>
      <c r="C14" s="3229" t="s">
        <v>3474</v>
      </c>
      <c r="D14" s="3229" t="s">
        <v>633</v>
      </c>
      <c r="E14" s="3229" t="s">
        <v>633</v>
      </c>
      <c r="F14" s="3229">
        <v>4</v>
      </c>
      <c r="G14" s="3229">
        <v>401</v>
      </c>
      <c r="H14" s="3229" t="s">
        <v>3473</v>
      </c>
      <c r="I14" s="3229" t="s">
        <v>673</v>
      </c>
      <c r="J14" s="3229" t="s">
        <v>3460</v>
      </c>
      <c r="K14" s="3229">
        <v>620.24</v>
      </c>
      <c r="L14" s="3229">
        <v>1605.68</v>
      </c>
      <c r="M14" s="3229">
        <v>25888</v>
      </c>
    </row>
    <row r="15" spans="1:13" ht="15.6">
      <c r="B15" s="3230">
        <v>44257.333831018521</v>
      </c>
      <c r="C15" s="3229" t="s">
        <v>3474</v>
      </c>
      <c r="D15" s="3229" t="s">
        <v>633</v>
      </c>
      <c r="E15" s="3229" t="s">
        <v>633</v>
      </c>
      <c r="F15" s="3229">
        <v>5</v>
      </c>
      <c r="G15" s="3229">
        <v>501</v>
      </c>
      <c r="H15" s="3229" t="s">
        <v>3473</v>
      </c>
      <c r="I15" s="3229" t="s">
        <v>673</v>
      </c>
      <c r="J15" s="3229" t="s">
        <v>3460</v>
      </c>
      <c r="K15" s="3229">
        <v>620.24</v>
      </c>
      <c r="L15" s="3229">
        <v>1605.68</v>
      </c>
      <c r="M15" s="3229">
        <v>25888</v>
      </c>
    </row>
    <row r="16" spans="1:13" ht="15.6">
      <c r="B16" s="3230">
        <v>44195.333831018521</v>
      </c>
      <c r="C16" s="3229" t="s">
        <v>3475</v>
      </c>
      <c r="D16" s="3229" t="s">
        <v>633</v>
      </c>
      <c r="E16" s="3229" t="s">
        <v>633</v>
      </c>
      <c r="F16" s="3229">
        <v>1</v>
      </c>
      <c r="G16" s="3229">
        <v>103</v>
      </c>
      <c r="H16" s="3229" t="s">
        <v>3473</v>
      </c>
      <c r="I16" s="3229" t="s">
        <v>673</v>
      </c>
      <c r="J16" s="3229" t="s">
        <v>3460</v>
      </c>
      <c r="K16" s="3229">
        <v>591.49</v>
      </c>
      <c r="L16" s="3229">
        <v>1548.52</v>
      </c>
      <c r="M16" s="3229">
        <v>26179</v>
      </c>
    </row>
    <row r="17" spans="2:13" ht="15.6">
      <c r="B17" s="3230">
        <v>44114.333831018521</v>
      </c>
      <c r="C17" s="3229" t="s">
        <v>3475</v>
      </c>
      <c r="D17" s="3229" t="s">
        <v>633</v>
      </c>
      <c r="E17" s="3229" t="s">
        <v>633</v>
      </c>
      <c r="F17" s="3229">
        <v>1</v>
      </c>
      <c r="G17" s="3229">
        <v>101</v>
      </c>
      <c r="H17" s="3229" t="s">
        <v>3473</v>
      </c>
      <c r="I17" s="3229" t="s">
        <v>673</v>
      </c>
      <c r="J17" s="3229" t="s">
        <v>3460</v>
      </c>
      <c r="K17" s="3229">
        <v>605.66999999999996</v>
      </c>
      <c r="L17" s="3229">
        <v>1847.29</v>
      </c>
      <c r="M17" s="3229">
        <v>30500</v>
      </c>
    </row>
  </sheetData>
  <mergeCells count="204">
    <mergeCell ref="K17"/>
    <mergeCell ref="L17"/>
    <mergeCell ref="M17"/>
    <mergeCell ref="B17"/>
    <mergeCell ref="C17"/>
    <mergeCell ref="D17"/>
    <mergeCell ref="E17"/>
    <mergeCell ref="F17"/>
    <mergeCell ref="G17"/>
    <mergeCell ref="H17"/>
    <mergeCell ref="I17"/>
    <mergeCell ref="J17"/>
    <mergeCell ref="K15"/>
    <mergeCell ref="L15"/>
    <mergeCell ref="M15"/>
    <mergeCell ref="B16"/>
    <mergeCell ref="C16"/>
    <mergeCell ref="D16"/>
    <mergeCell ref="E16"/>
    <mergeCell ref="F16"/>
    <mergeCell ref="G16"/>
    <mergeCell ref="H16"/>
    <mergeCell ref="I16"/>
    <mergeCell ref="J16"/>
    <mergeCell ref="K16"/>
    <mergeCell ref="L16"/>
    <mergeCell ref="M16"/>
    <mergeCell ref="B15"/>
    <mergeCell ref="C15"/>
    <mergeCell ref="D15"/>
    <mergeCell ref="E15"/>
    <mergeCell ref="F15"/>
    <mergeCell ref="G15"/>
    <mergeCell ref="H15"/>
    <mergeCell ref="I15"/>
    <mergeCell ref="J15"/>
    <mergeCell ref="K13"/>
    <mergeCell ref="L13"/>
    <mergeCell ref="M13"/>
    <mergeCell ref="B14"/>
    <mergeCell ref="C14"/>
    <mergeCell ref="D14"/>
    <mergeCell ref="E14"/>
    <mergeCell ref="F14"/>
    <mergeCell ref="G14"/>
    <mergeCell ref="H14"/>
    <mergeCell ref="I14"/>
    <mergeCell ref="J14"/>
    <mergeCell ref="K14"/>
    <mergeCell ref="L14"/>
    <mergeCell ref="M14"/>
    <mergeCell ref="B13"/>
    <mergeCell ref="C13"/>
    <mergeCell ref="D13"/>
    <mergeCell ref="E13"/>
    <mergeCell ref="F13"/>
    <mergeCell ref="G13"/>
    <mergeCell ref="H13"/>
    <mergeCell ref="I13"/>
    <mergeCell ref="J13"/>
    <mergeCell ref="K11"/>
    <mergeCell ref="L11"/>
    <mergeCell ref="M11"/>
    <mergeCell ref="B12"/>
    <mergeCell ref="C12"/>
    <mergeCell ref="D12"/>
    <mergeCell ref="E12"/>
    <mergeCell ref="F12"/>
    <mergeCell ref="G12"/>
    <mergeCell ref="H12"/>
    <mergeCell ref="I12"/>
    <mergeCell ref="J12"/>
    <mergeCell ref="K12"/>
    <mergeCell ref="L12"/>
    <mergeCell ref="M12"/>
    <mergeCell ref="B11"/>
    <mergeCell ref="C11"/>
    <mergeCell ref="D11"/>
    <mergeCell ref="E11"/>
    <mergeCell ref="F11"/>
    <mergeCell ref="G11"/>
    <mergeCell ref="H11"/>
    <mergeCell ref="I11"/>
    <mergeCell ref="J11"/>
    <mergeCell ref="K9"/>
    <mergeCell ref="L9"/>
    <mergeCell ref="M9"/>
    <mergeCell ref="B10"/>
    <mergeCell ref="C10"/>
    <mergeCell ref="D10"/>
    <mergeCell ref="E10"/>
    <mergeCell ref="F10"/>
    <mergeCell ref="G10"/>
    <mergeCell ref="H10"/>
    <mergeCell ref="I10"/>
    <mergeCell ref="J10"/>
    <mergeCell ref="K10"/>
    <mergeCell ref="L10"/>
    <mergeCell ref="M10"/>
    <mergeCell ref="B9"/>
    <mergeCell ref="C9"/>
    <mergeCell ref="D9"/>
    <mergeCell ref="E9"/>
    <mergeCell ref="F9"/>
    <mergeCell ref="G9"/>
    <mergeCell ref="H9"/>
    <mergeCell ref="I9"/>
    <mergeCell ref="J9"/>
    <mergeCell ref="K7"/>
    <mergeCell ref="L7"/>
    <mergeCell ref="M7"/>
    <mergeCell ref="B8"/>
    <mergeCell ref="C8"/>
    <mergeCell ref="D8"/>
    <mergeCell ref="E8"/>
    <mergeCell ref="F8"/>
    <mergeCell ref="G8"/>
    <mergeCell ref="H8"/>
    <mergeCell ref="I8"/>
    <mergeCell ref="J8"/>
    <mergeCell ref="K8"/>
    <mergeCell ref="L8"/>
    <mergeCell ref="M8"/>
    <mergeCell ref="B7"/>
    <mergeCell ref="C7"/>
    <mergeCell ref="D7"/>
    <mergeCell ref="E7"/>
    <mergeCell ref="F7"/>
    <mergeCell ref="G7"/>
    <mergeCell ref="H7"/>
    <mergeCell ref="I7"/>
    <mergeCell ref="J7"/>
    <mergeCell ref="K5"/>
    <mergeCell ref="L5"/>
    <mergeCell ref="M5"/>
    <mergeCell ref="B6"/>
    <mergeCell ref="C6"/>
    <mergeCell ref="D6"/>
    <mergeCell ref="E6"/>
    <mergeCell ref="F6"/>
    <mergeCell ref="G6"/>
    <mergeCell ref="H6"/>
    <mergeCell ref="I6"/>
    <mergeCell ref="J6"/>
    <mergeCell ref="K6"/>
    <mergeCell ref="L6"/>
    <mergeCell ref="M6"/>
    <mergeCell ref="B5"/>
    <mergeCell ref="C5"/>
    <mergeCell ref="D5"/>
    <mergeCell ref="E5"/>
    <mergeCell ref="F5"/>
    <mergeCell ref="G5"/>
    <mergeCell ref="H5"/>
    <mergeCell ref="I5"/>
    <mergeCell ref="J5"/>
    <mergeCell ref="K3"/>
    <mergeCell ref="L3"/>
    <mergeCell ref="M3"/>
    <mergeCell ref="B4"/>
    <mergeCell ref="C4"/>
    <mergeCell ref="D4"/>
    <mergeCell ref="E4"/>
    <mergeCell ref="F4"/>
    <mergeCell ref="G4"/>
    <mergeCell ref="H4"/>
    <mergeCell ref="I4"/>
    <mergeCell ref="J4"/>
    <mergeCell ref="K4"/>
    <mergeCell ref="L4"/>
    <mergeCell ref="M4"/>
    <mergeCell ref="B3"/>
    <mergeCell ref="C3"/>
    <mergeCell ref="D3"/>
    <mergeCell ref="E3"/>
    <mergeCell ref="F3"/>
    <mergeCell ref="G3"/>
    <mergeCell ref="H3"/>
    <mergeCell ref="I3"/>
    <mergeCell ref="J3"/>
    <mergeCell ref="K1"/>
    <mergeCell ref="L1"/>
    <mergeCell ref="M1"/>
    <mergeCell ref="B2"/>
    <mergeCell ref="C2"/>
    <mergeCell ref="D2"/>
    <mergeCell ref="E2"/>
    <mergeCell ref="F2"/>
    <mergeCell ref="G2"/>
    <mergeCell ref="H2"/>
    <mergeCell ref="I2"/>
    <mergeCell ref="J2"/>
    <mergeCell ref="K2"/>
    <mergeCell ref="L2"/>
    <mergeCell ref="M2"/>
    <mergeCell ref="B1"/>
    <mergeCell ref="C1"/>
    <mergeCell ref="D1"/>
    <mergeCell ref="E1"/>
    <mergeCell ref="F1"/>
    <mergeCell ref="G1"/>
    <mergeCell ref="H1"/>
    <mergeCell ref="I1"/>
    <mergeCell ref="J1"/>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40" t="str">
        <f>IF(B10="北京市","北京市",C10)&amp;F10&amp;IF(结果表1号!G1="在建","出让国有建设用地使用权及在建建筑物",IF(结果表1号!G1="土地","出让国有建设用地使用权",))&amp;B9&amp;"预评估"</f>
        <v>北京市延庆县燕水佳园14号楼1至2层1号、2号预评估</v>
      </c>
      <c r="C1" s="3241"/>
      <c r="D1" s="3241"/>
      <c r="E1" s="3241"/>
      <c r="F1" s="3241"/>
      <c r="G1" s="3241"/>
      <c r="H1" s="3241"/>
      <c r="I1" s="3242"/>
      <c r="J1" s="2243"/>
      <c r="K1" s="2182"/>
      <c r="L1" s="2183"/>
      <c r="M1" s="2183"/>
      <c r="N1" s="2181"/>
      <c r="O1" s="1465"/>
      <c r="P1" s="2181"/>
      <c r="Q1" s="2181"/>
      <c r="R1" s="2181"/>
      <c r="S1" s="1560" t="str">
        <f>IF(B10="北京市","北京市",C10)&amp;F10&amp;IF(结果表1号!G1="在建","出让国有建设用地使用权及在建建筑物房地产抵押价值",IF(结果表1号!G1="土地","出让国有建设用地使用权抵押价值",B9))</f>
        <v>北京市延庆县燕水佳园14号楼1至2层1号、2号</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IF(B10="北京市","北京市",C10)&amp;F10&amp;IF(结果表1号!G1="在建","出让国有建设用地使用权及在建建筑物房地产",IF(结果表1号!G1="土地","出让国有建设用地使用权","房地产"))</f>
        <v>北京市延庆县燕水佳园14号楼1至2层1号、2号房地产</v>
      </c>
      <c r="T2" s="1617"/>
      <c r="U2" s="1617"/>
      <c r="V2" s="1617"/>
      <c r="W2" s="1617"/>
      <c r="X2" s="1617"/>
      <c r="Y2" s="1617"/>
      <c r="Z2" s="1617"/>
      <c r="AA2" s="1617"/>
      <c r="AB2" s="1617"/>
    </row>
    <row r="3" spans="1:30">
      <c r="A3" s="293" t="s">
        <v>2170</v>
      </c>
      <c r="B3" s="2184">
        <v>45562</v>
      </c>
      <c r="C3" s="2185" t="s">
        <v>2171</v>
      </c>
      <c r="D3" s="2184">
        <f>B3</f>
        <v>45562</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c r="C8" s="2200"/>
      <c r="D8" s="3243" t="s">
        <v>2177</v>
      </c>
      <c r="E8" s="2201"/>
      <c r="F8" s="2202"/>
      <c r="G8" s="2440"/>
      <c r="H8" s="2440"/>
      <c r="I8" s="2440"/>
      <c r="J8" s="2243"/>
      <c r="K8" s="2398"/>
      <c r="L8" s="2397"/>
      <c r="M8" s="2397"/>
      <c r="N8" s="2243"/>
      <c r="O8" s="1669"/>
      <c r="P8" s="2243"/>
      <c r="Q8" s="2243"/>
      <c r="R8" s="2243"/>
    </row>
    <row r="9" spans="1:30" ht="13.8" thickBot="1">
      <c r="A9" s="2203" t="s">
        <v>2178</v>
      </c>
      <c r="B9" s="2204"/>
      <c r="C9" s="2205"/>
      <c r="D9" s="3244"/>
      <c r="E9" s="2204"/>
      <c r="F9" s="2206"/>
      <c r="G9" s="2441"/>
      <c r="H9" s="2441"/>
      <c r="I9" s="2441"/>
      <c r="J9" s="2243"/>
      <c r="K9" s="2400"/>
      <c r="L9" s="2397"/>
      <c r="M9" s="2397"/>
      <c r="N9" s="2243"/>
      <c r="O9" s="1669"/>
      <c r="P9" s="2243"/>
      <c r="Q9" s="2243"/>
      <c r="R9" s="2243"/>
    </row>
    <row r="10" spans="1:30" ht="13.8" thickTop="1">
      <c r="A10" s="2207" t="s">
        <v>2179</v>
      </c>
      <c r="B10" s="2208" t="s">
        <v>3381</v>
      </c>
      <c r="C10" s="2209"/>
      <c r="D10" s="2192"/>
      <c r="E10" s="2210" t="s">
        <v>2180</v>
      </c>
      <c r="F10" s="3142" t="s">
        <v>3383</v>
      </c>
      <c r="G10" s="2442"/>
      <c r="H10" s="2443"/>
      <c r="I10" s="2444"/>
      <c r="J10" s="2243"/>
      <c r="K10" s="2400"/>
      <c r="L10" s="2397"/>
      <c r="M10" s="2397"/>
      <c r="N10" s="2243"/>
      <c r="O10" s="1669"/>
      <c r="P10" s="2243"/>
      <c r="Q10" s="2243"/>
      <c r="R10" s="2243"/>
    </row>
    <row r="11" spans="1:30" ht="24">
      <c r="A11" s="2211" t="s">
        <v>2181</v>
      </c>
      <c r="B11" s="2212" t="s">
        <v>3382</v>
      </c>
      <c r="C11" s="3143" t="s">
        <v>3385</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2576</v>
      </c>
      <c r="J12" s="2800"/>
      <c r="K12" s="2397"/>
      <c r="L12" s="2397"/>
      <c r="M12" s="2243"/>
      <c r="N12" s="1669"/>
      <c r="O12" s="2243"/>
      <c r="P12" s="2243"/>
      <c r="Q12" s="2243"/>
      <c r="AD12" s="1617"/>
    </row>
    <row r="13" spans="1:30">
      <c r="A13" s="3119" t="s">
        <v>3331</v>
      </c>
      <c r="B13" s="2216" t="s">
        <v>2190</v>
      </c>
      <c r="C13" s="802"/>
      <c r="D13" s="3181">
        <v>51769</v>
      </c>
      <c r="E13" s="802"/>
      <c r="F13" s="802"/>
      <c r="G13" s="802"/>
      <c r="H13" s="802"/>
      <c r="I13" s="802"/>
      <c r="J13" s="2800"/>
      <c r="K13" s="2397"/>
      <c r="L13" s="2397"/>
      <c r="M13" s="2243"/>
      <c r="N13" s="1669"/>
      <c r="O13" s="2243"/>
      <c r="P13" s="2243"/>
      <c r="Q13" s="2243"/>
      <c r="AD13" s="1617"/>
    </row>
    <row r="14" spans="1:30">
      <c r="A14" s="1017"/>
      <c r="B14" s="2216" t="s">
        <v>2191</v>
      </c>
      <c r="C14" s="2217"/>
      <c r="D14" s="2217">
        <v>40</v>
      </c>
      <c r="E14" s="2217"/>
      <c r="F14" s="2217"/>
      <c r="G14" s="2217"/>
      <c r="H14" s="2217"/>
      <c r="I14" s="2217"/>
      <c r="J14" s="2801"/>
      <c r="K14" s="2397"/>
      <c r="L14" s="2397"/>
      <c r="M14" s="2243"/>
      <c r="N14" s="1669"/>
      <c r="O14" s="2243"/>
      <c r="P14" s="2243"/>
      <c r="Q14" s="2243"/>
      <c r="AD14" s="1617"/>
    </row>
    <row r="15" spans="1:30">
      <c r="A15" s="311"/>
      <c r="B15" s="2218" t="s">
        <v>2192</v>
      </c>
      <c r="C15" s="2219" t="str">
        <f>IF(A13="出让",IF(C13="","",ROUNDDOWN(MIN((C13-$D$3)/365,C14),2)),C14)</f>
        <v/>
      </c>
      <c r="D15" s="2219">
        <f>IF(A13="出让",IF(D13="","",ROUNDDOWN(MIN((D13-$D$3)/365,D14),2)),D14)</f>
        <v>17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2193</v>
      </c>
      <c r="B16" s="3250" t="s">
        <v>3384</v>
      </c>
      <c r="C16" s="3251"/>
      <c r="D16" s="3252"/>
      <c r="E16" s="2220" t="s">
        <v>2194</v>
      </c>
      <c r="F16" s="3253">
        <f>D15</f>
        <v>17</v>
      </c>
      <c r="G16" s="3254"/>
      <c r="H16" s="3254"/>
      <c r="I16" s="3255"/>
      <c r="J16" s="2243"/>
      <c r="K16" s="2401"/>
      <c r="L16" s="1669"/>
      <c r="M16" s="1669"/>
      <c r="N16" s="2243"/>
      <c r="O16" s="1669"/>
      <c r="P16" s="2243"/>
      <c r="Q16" s="2243"/>
      <c r="R16" s="2243"/>
    </row>
    <row r="17" spans="1:28">
      <c r="A17" s="304" t="s">
        <v>2195</v>
      </c>
      <c r="B17" s="293" t="s">
        <v>2196</v>
      </c>
      <c r="C17" s="8">
        <f>'数据-汇总表'!E3</f>
        <v>312.66000000000003</v>
      </c>
      <c r="D17" s="1255" t="s">
        <v>2197</v>
      </c>
      <c r="E17" s="3256" t="s">
        <v>2198</v>
      </c>
      <c r="F17" s="3257"/>
      <c r="G17" s="3257"/>
      <c r="H17" s="3257"/>
      <c r="I17" s="3258"/>
      <c r="J17" s="2243"/>
      <c r="K17" s="2402"/>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59" t="s">
        <v>2202</v>
      </c>
      <c r="F18" s="3260"/>
      <c r="G18" s="3260"/>
      <c r="H18" s="3260"/>
      <c r="I18" s="3261"/>
      <c r="J18" s="2243"/>
      <c r="K18" s="2402"/>
      <c r="L18" s="1669"/>
      <c r="M18" s="1669"/>
      <c r="N18" s="2243"/>
      <c r="O18" s="1669"/>
      <c r="P18" s="2243"/>
      <c r="Q18" s="2243"/>
      <c r="R18" s="2243"/>
      <c r="S18" s="2243"/>
      <c r="T18" s="2243"/>
      <c r="U18" s="2243"/>
      <c r="V18" s="2243"/>
    </row>
    <row r="19" spans="1:28" ht="37.200000000000003" thickTop="1" thickBot="1">
      <c r="A19" s="318" t="s">
        <v>1055</v>
      </c>
      <c r="B19" s="298" t="s">
        <v>2203</v>
      </c>
      <c r="C19" s="1454" t="s">
        <v>3386</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46" t="s">
        <v>2206</v>
      </c>
      <c r="C20" s="3247"/>
      <c r="D20" s="3248" t="s">
        <v>2207</v>
      </c>
      <c r="E20" s="3249"/>
      <c r="F20" s="2428" t="s">
        <v>1056</v>
      </c>
      <c r="G20" s="2440"/>
      <c r="H20" s="2440"/>
      <c r="I20" s="2440"/>
      <c r="J20" s="2243"/>
      <c r="K20" s="324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24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245"/>
      <c r="L22" s="645" t="str">
        <f>IF(E19="否","",IF(结果表1号!D36="同一抵押权人同一抵押物续贷","由于本次评估为同一抵押权人的续贷房地产抵押估价，故未将已抵押担保的债权数额（"&amp;C26&amp;"）作为法定优先受偿款予以扣减。",IF(结果表1号!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34" t="s">
        <v>2214</v>
      </c>
      <c r="B27" s="311" t="s">
        <v>2215</v>
      </c>
      <c r="C27" s="2223" t="s">
        <v>3387</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34"/>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34"/>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35"/>
      <c r="B30" s="293" t="s">
        <v>2218</v>
      </c>
      <c r="C30" s="3236"/>
      <c r="D30" s="3237"/>
      <c r="E30" s="2440"/>
      <c r="F30" s="2440"/>
      <c r="G30" s="2440"/>
      <c r="H30" s="2440"/>
      <c r="I30" s="2440"/>
      <c r="J30" s="2243"/>
      <c r="K30" s="2400"/>
      <c r="L30" s="2397"/>
      <c r="M30" s="2397"/>
      <c r="N30" s="2243"/>
      <c r="O30" s="1669"/>
      <c r="P30" s="2243"/>
      <c r="Q30" s="2243"/>
      <c r="R30" s="2243"/>
      <c r="S30" s="2243"/>
      <c r="T30" s="2243"/>
      <c r="U30" s="2243"/>
      <c r="V30" s="2243"/>
    </row>
    <row r="31" spans="1:28">
      <c r="A31" s="3238" t="s">
        <v>2219</v>
      </c>
      <c r="B31" s="2229" t="s">
        <v>3388</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9"/>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9"/>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33" t="s">
        <v>2228</v>
      </c>
      <c r="T34" s="314" t="str">
        <f>NUMBERSTRING(7-K34,1)&amp;"通"</f>
        <v>七通</v>
      </c>
      <c r="U34" s="2243"/>
      <c r="V34" s="2243"/>
    </row>
    <row r="35" spans="1:30">
      <c r="A35" s="2234"/>
      <c r="B35" s="3233" t="s">
        <v>2229</v>
      </c>
      <c r="C35" s="3233"/>
      <c r="D35" s="3233"/>
      <c r="E35" s="3233"/>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3"/>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69"/>
      <c r="P36" s="2243"/>
      <c r="Q36" s="2243"/>
      <c r="R36" s="2243"/>
      <c r="S36" s="2243"/>
      <c r="T36" s="2243"/>
      <c r="U36" s="2243"/>
      <c r="V36" s="2243"/>
    </row>
    <row r="37" spans="1:30">
      <c r="A37" s="2413" t="s">
        <v>2230</v>
      </c>
      <c r="B37" s="2235" t="s">
        <v>306</v>
      </c>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2231</v>
      </c>
      <c r="B38" s="2236" t="s">
        <v>2995</v>
      </c>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7" sqref="P1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312.66000000000003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312.66000000000003</v>
      </c>
      <c r="H5" s="13">
        <f t="shared" ref="H5:AT5" si="0">SUM(H13:H656)</f>
        <v>312.66000000000003</v>
      </c>
      <c r="I5" s="13">
        <f t="shared" si="0"/>
        <v>312.66000000000003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312.66000000000003</v>
      </c>
      <c r="BA5" s="15">
        <f t="shared" si="1"/>
        <v>312.66000000000003</v>
      </c>
      <c r="BB5" s="15">
        <f t="shared" si="1"/>
        <v>312.66000000000003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3389</v>
      </c>
      <c r="D13" s="1512" t="s">
        <v>3386</v>
      </c>
      <c r="E13" s="13">
        <f>IF($C$3="是",ROUND($A$3*G13/$B$3,2),ROUND($A$3*(G13-AT13)/$B$3,2))</f>
        <v>0</v>
      </c>
      <c r="F13" s="29"/>
      <c r="G13" s="30">
        <f>H13+AC13+AT13</f>
        <v>156.33000000000001</v>
      </c>
      <c r="H13" s="17">
        <f>SUMIF(I$12:AB$12,"总值",I13:AB13)</f>
        <v>156.33000000000001</v>
      </c>
      <c r="I13" s="1513">
        <v>156.33000000000001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1号</v>
      </c>
      <c r="AY13" s="1259">
        <f>ROUND($AY$6*AZ13/$AZ$5,2)</f>
        <v>0</v>
      </c>
      <c r="AZ13" s="13">
        <f>BA13+BL13</f>
        <v>156.33000000000001</v>
      </c>
      <c r="BA13" s="13">
        <f>SUM(BB13:BK13)</f>
        <v>156.33000000000001</v>
      </c>
      <c r="BB13" s="13">
        <f>IF($D13="是",I13-J13,0)</f>
        <v>156.33000000000001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
        <v>3391</v>
      </c>
      <c r="D14" s="1512" t="s">
        <v>3386</v>
      </c>
      <c r="E14" s="13">
        <f>IF($C$3="是",ROUND($A$3*G14/$B$3,2),ROUND($A$3*(G14-AT14)/$B$3,2))</f>
        <v>0</v>
      </c>
      <c r="F14" s="29"/>
      <c r="G14" s="30">
        <f>H14+AC14+AT14</f>
        <v>156.33000000000001</v>
      </c>
      <c r="H14" s="17">
        <f>SUMIF(I$12:AB$12,"总值",I14:AB14)</f>
        <v>156.33000000000001</v>
      </c>
      <c r="I14" s="1513">
        <v>156.33000000000001</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2号</v>
      </c>
      <c r="AY14" s="1259">
        <f>ROUND($AY$6*AZ14/$AZ$5,2)</f>
        <v>0</v>
      </c>
      <c r="AZ14" s="13">
        <f>BA14+BL14</f>
        <v>156.33000000000001</v>
      </c>
      <c r="BA14" s="13">
        <f>SUM(BB14:BK14)</f>
        <v>156.33000000000001</v>
      </c>
      <c r="BB14" s="13">
        <f>IF($D14="是",I14-J14,0)</f>
        <v>156.33000000000001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71" t="s">
        <v>1131</v>
      </c>
      <c r="B2" s="3271"/>
      <c r="C2" s="3271"/>
      <c r="D2" s="747" t="s">
        <v>1107</v>
      </c>
      <c r="E2" s="1522" t="s">
        <v>1108</v>
      </c>
      <c r="F2" s="2437"/>
      <c r="G2" s="2430"/>
      <c r="H2" s="2431"/>
      <c r="I2" s="2145" t="s">
        <v>1132</v>
      </c>
      <c r="J2" s="2437"/>
      <c r="K2" s="2437"/>
      <c r="L2" s="2437"/>
      <c r="M2" s="2437"/>
      <c r="N2" s="2438"/>
      <c r="O2" s="2437"/>
      <c r="P2" s="2437"/>
    </row>
    <row r="3" spans="1:16" ht="15" thickBot="1">
      <c r="A3" s="3272" t="s">
        <v>1105</v>
      </c>
      <c r="B3" s="3272"/>
      <c r="C3" s="3272"/>
      <c r="D3" s="41">
        <f>'数据-基础表'!AY6</f>
        <v>0</v>
      </c>
      <c r="E3" s="41">
        <f>'数据-基础表'!AZ5</f>
        <v>312.66000000000003</v>
      </c>
      <c r="F3" s="2437"/>
      <c r="G3" s="42"/>
      <c r="H3" s="43" t="s">
        <v>1106</v>
      </c>
      <c r="I3" s="801" t="e">
        <f>ROUND('数据-基础表'!B3/'数据-基础表'!A3,2)</f>
        <v>#DIV/0!</v>
      </c>
      <c r="J3" s="2437"/>
      <c r="K3" s="2437"/>
      <c r="L3" s="2437"/>
      <c r="M3" s="2437"/>
      <c r="N3" s="2438"/>
      <c r="O3" s="2437"/>
      <c r="P3" s="2437"/>
    </row>
    <row r="4" spans="1:16" ht="14.4">
      <c r="A4" s="3273"/>
      <c r="B4" s="3274"/>
      <c r="C4" s="3275"/>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76" t="s">
        <v>1110</v>
      </c>
      <c r="C5" s="3276"/>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76" t="s">
        <v>1111</v>
      </c>
      <c r="C6" s="3276"/>
      <c r="D6" s="43">
        <f>ROUND($D$3*E6/$E$3,2)</f>
        <v>0</v>
      </c>
      <c r="E6" s="44">
        <f>E3-E5</f>
        <v>312.66000000000003</v>
      </c>
      <c r="F6" s="2437"/>
      <c r="G6" s="1528" t="s">
        <v>1112</v>
      </c>
      <c r="H6" s="45" t="s">
        <v>1113</v>
      </c>
      <c r="I6" s="2433" t="e">
        <f>ROUND(F31/D31,2)</f>
        <v>#DIV/0!</v>
      </c>
      <c r="J6" s="2437"/>
      <c r="K6" s="2437"/>
      <c r="L6" s="2437"/>
      <c r="M6" s="2437"/>
      <c r="N6" s="2437"/>
      <c r="O6" s="2437"/>
      <c r="P6" s="2437"/>
    </row>
    <row r="7" spans="1:16" ht="15" thickBot="1">
      <c r="A7" s="3268"/>
      <c r="B7" s="3269"/>
      <c r="C7" s="3270"/>
      <c r="D7" s="1523" t="s">
        <v>1107</v>
      </c>
      <c r="E7" s="1527"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312.66000000000003</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312.66000000000003</v>
      </c>
      <c r="F16" s="2437"/>
      <c r="G16" s="2437"/>
      <c r="H16" s="1530" t="s">
        <v>1135</v>
      </c>
      <c r="I16" s="1531"/>
      <c r="J16" s="1070"/>
      <c r="K16" s="3265" t="s">
        <v>1135</v>
      </c>
      <c r="L16" s="3266"/>
      <c r="M16" s="3266"/>
      <c r="N16" s="3266"/>
      <c r="O16" s="3266"/>
      <c r="P16" s="3267"/>
    </row>
    <row r="17" spans="1:19" ht="14.4">
      <c r="A17" s="1532" t="s">
        <v>1136</v>
      </c>
      <c r="B17" s="1533" t="s">
        <v>1137</v>
      </c>
      <c r="C17" s="1534" t="s">
        <v>1138</v>
      </c>
      <c r="D17" s="1535" t="s">
        <v>1126</v>
      </c>
      <c r="E17" s="1536" t="s">
        <v>1127</v>
      </c>
      <c r="F17" s="1537"/>
      <c r="G17" s="1538"/>
      <c r="H17" s="1539" t="s">
        <v>1139</v>
      </c>
      <c r="I17" s="1540" t="s">
        <v>1124</v>
      </c>
      <c r="J17" s="1070"/>
      <c r="K17" s="3262" t="s">
        <v>1140</v>
      </c>
      <c r="L17" s="3263"/>
      <c r="M17" s="3264"/>
      <c r="N17" s="3262" t="s">
        <v>1141</v>
      </c>
      <c r="O17" s="3263"/>
      <c r="P17" s="3264"/>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tr">
        <f>'数据-基础表'!C13</f>
        <v>1号</v>
      </c>
      <c r="D19" s="43">
        <f>ROUND($D$3*E19/$E$3,2)</f>
        <v>0</v>
      </c>
      <c r="E19" s="51">
        <f t="shared" ref="E19:E26" si="1">SUM(F19:G19)</f>
        <v>156.33000000000001</v>
      </c>
      <c r="F19" s="2555">
        <f>'数据-基础表'!H13</f>
        <v>156.33000000000001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156.33000000000001</v>
      </c>
    </row>
    <row r="20" spans="1:19" ht="14.4">
      <c r="A20" s="1548"/>
      <c r="B20" s="45" t="s">
        <v>1153</v>
      </c>
      <c r="C20" s="3113" t="str">
        <f>'数据-基础表'!C14</f>
        <v>2号</v>
      </c>
      <c r="D20" s="43">
        <f t="shared" ref="D20:D26" si="6">ROUND($D$3*E20/$E$3,2)</f>
        <v>0</v>
      </c>
      <c r="E20" s="51">
        <f t="shared" si="1"/>
        <v>156.33000000000001</v>
      </c>
      <c r="F20" s="2555">
        <f>'数据-基础表'!H14</f>
        <v>156.33000000000001</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156.33000000000001</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312.66000000000003</v>
      </c>
      <c r="F27" s="1071">
        <f>IF(SUM(F19:F26)=E8,SUM(F19:F26),"地上面积有误")</f>
        <v>312.66000000000003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312.66000000000003</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312.66000000000003</v>
      </c>
      <c r="F31" s="643">
        <f>F27+F30</f>
        <v>312.66000000000003</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18" sqref="AK18"/>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45562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1号</v>
      </c>
      <c r="B6" s="1586" t="str">
        <f>IF(A6=0,"","经营性")</f>
        <v>经营性</v>
      </c>
      <c r="C6" s="1587" t="s">
        <v>673</v>
      </c>
      <c r="D6" s="804">
        <f>SUMIF(项目基本情况!C$12:I$12,C6,项目基本情况!C$14:I$14)</f>
        <v>40</v>
      </c>
      <c r="E6" s="803">
        <f>IF(B6="","",SUMIF(项目基本情况!C$12:I$12,C6,项目基本情况!C$13:I$13))</f>
        <v>51769</v>
      </c>
      <c r="F6" s="61">
        <f>SUMIF(项目基本情况!C$12:I$12,C6,项目基本情况!C$15:I$15)</f>
        <v>17</v>
      </c>
      <c r="G6" s="62">
        <f>IF(ISERROR(ROUND(POWER(1+H6,D6-F6)*(POWER(1+H6,F6)-1)/(POWER(1+H6,D6)-1),3)),0,ROUND(POWER(1+H6,D6-F6)*(POWER(1+H6,F6)-1)/(POWER(1+H6,D6)-1),3))</f>
        <v>0.65700000000000003</v>
      </c>
      <c r="H6" s="690">
        <v>0.05</v>
      </c>
      <c r="I6" s="690">
        <v>5.5E-2</v>
      </c>
      <c r="J6" s="63">
        <v>7.0000000000000007E-2</v>
      </c>
      <c r="K6" s="969">
        <f>SUMIF('数据-汇总表'!C$19:C$33,A6,'数据-汇总表'!E$19:E$33)</f>
        <v>156.33000000000001</v>
      </c>
      <c r="L6" s="691">
        <v>3000</v>
      </c>
      <c r="M6" s="64">
        <f t="shared" ref="M6:M14" si="0">ROUND(K6*L6/10000,0)</f>
        <v>47</v>
      </c>
      <c r="N6" s="689">
        <f>N22</f>
        <v>0.7</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24">
        <v>1.5</v>
      </c>
      <c r="V6" s="67">
        <v>0.02</v>
      </c>
      <c r="W6" s="67">
        <v>0.1</v>
      </c>
      <c r="X6" s="978"/>
      <c r="Y6" s="68">
        <f>N6</f>
        <v>0.7</v>
      </c>
      <c r="Z6" s="69"/>
      <c r="AA6" s="63"/>
      <c r="AB6" s="63"/>
      <c r="AC6" s="978"/>
      <c r="AD6" s="70"/>
      <c r="AE6" s="979">
        <f ca="1">IF(AN6="",0,SUMIF(INDIRECT("'"&amp;AN6&amp;"'"&amp;"!E:E"),$AE$5,INDIRECT("'"&amp;AN6&amp;"'"&amp;"!F:F")))</f>
        <v>17</v>
      </c>
      <c r="AF6" s="74"/>
      <c r="AG6" s="129">
        <f>IF(AF6="",0,AE6-AF6)</f>
        <v>0</v>
      </c>
      <c r="AH6" s="71"/>
      <c r="AI6" s="73">
        <v>365</v>
      </c>
      <c r="AJ6" s="74"/>
      <c r="AK6" s="75">
        <v>2E-3</v>
      </c>
      <c r="AL6" s="76">
        <v>1E-3</v>
      </c>
      <c r="AM6" s="77">
        <v>5.0000000000000001E-3</v>
      </c>
      <c r="AN6" s="1588" t="s">
        <v>3513</v>
      </c>
      <c r="AO6" s="50">
        <f ca="1">SUMIF(INDIRECT("'"&amp;AN6&amp;"'"&amp;"!A:A"),"总价",INDIRECT("'"&amp;AN6&amp;"'"&amp;"!B:B"))</f>
        <v>94.671499999999995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2号</v>
      </c>
      <c r="B7" s="1586" t="str">
        <f t="shared" ref="B7:B13" si="1">IF(A7=0,"","经营性")</f>
        <v>经营性</v>
      </c>
      <c r="C7" s="1587" t="s">
        <v>673</v>
      </c>
      <c r="D7" s="804">
        <f>SUMIF(项目基本情况!C$12:I$12,C7,项目基本情况!C$14:I$14)</f>
        <v>40</v>
      </c>
      <c r="E7" s="803">
        <f>IF(B7="","",SUMIF(项目基本情况!C$12:I$12,C7,项目基本情况!C$13:I$13))</f>
        <v>51769</v>
      </c>
      <c r="F7" s="61">
        <f>SUMIF(项目基本情况!C$12:I$12,C7,项目基本情况!C$15:I$15)</f>
        <v>17</v>
      </c>
      <c r="G7" s="62">
        <f t="shared" ref="G7:G11" si="2">IF(ISERROR(ROUND(POWER(1+H7,D7-F7)*(POWER(1+H7,F7)-1)/(POWER(1+H7,D7)-1),3)),0,ROUND(POWER(1+H7,D7-F7)*(POWER(1+H7,F7)-1)/(POWER(1+H7,D7)-1),3))</f>
        <v>0.65700000000000003</v>
      </c>
      <c r="H7" s="690">
        <f>H6</f>
        <v>0.05</v>
      </c>
      <c r="I7" s="690">
        <f>I6</f>
        <v>5.5E-2</v>
      </c>
      <c r="J7" s="63">
        <f>J6</f>
        <v>7.0000000000000007E-2</v>
      </c>
      <c r="K7" s="969">
        <f>SUMIF('数据-汇总表'!C$19:C$33,A7,'数据-汇总表'!E$19:E$33)</f>
        <v>156.33000000000001</v>
      </c>
      <c r="L7" s="691">
        <f>L6</f>
        <v>3000</v>
      </c>
      <c r="M7" s="64">
        <f t="shared" si="0"/>
        <v>47</v>
      </c>
      <c r="N7" s="689">
        <f>N6</f>
        <v>0.7</v>
      </c>
      <c r="O7" s="64" t="str">
        <f t="shared" ref="O7:O14" si="3">IF($N$5="成新度","——",ROUND(M7*N7,0))</f>
        <v>——</v>
      </c>
      <c r="P7" s="65" t="str">
        <f t="shared" ref="P7:P14" si="4">IF($N$5="成新度","——",M7-O7)</f>
        <v>——</v>
      </c>
      <c r="Q7" s="692">
        <f>Q6</f>
        <v>0.1</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f>U6</f>
        <v>1.5</v>
      </c>
      <c r="V7" s="67">
        <f>V6</f>
        <v>0.02</v>
      </c>
      <c r="W7" s="67">
        <f>W6</f>
        <v>0.1</v>
      </c>
      <c r="X7" s="978"/>
      <c r="Y7" s="68">
        <f>Y6</f>
        <v>0.7</v>
      </c>
      <c r="Z7" s="69"/>
      <c r="AA7" s="63"/>
      <c r="AB7" s="63"/>
      <c r="AC7" s="978"/>
      <c r="AD7" s="70"/>
      <c r="AE7" s="979">
        <f t="shared" ref="AE7:AE13" ca="1" si="6">IF(AN7="",0,SUMIF(INDIRECT("'"&amp;AN7&amp;"'"&amp;"!E:E"),$AE$5,INDIRECT("'"&amp;AN7&amp;"'"&amp;"!F:F")))</f>
        <v>17</v>
      </c>
      <c r="AF7" s="74"/>
      <c r="AG7" s="129">
        <f t="shared" ref="AG7:AG13" si="7">IF(AF7="",0,AE7-AF7)</f>
        <v>0</v>
      </c>
      <c r="AH7" s="71"/>
      <c r="AI7" s="73">
        <v>365</v>
      </c>
      <c r="AJ7" s="74"/>
      <c r="AK7" s="75">
        <f>AK6</f>
        <v>2E-3</v>
      </c>
      <c r="AL7" s="76">
        <f>AL6</f>
        <v>1E-3</v>
      </c>
      <c r="AM7" s="77">
        <f>AM6</f>
        <v>5.0000000000000001E-3</v>
      </c>
      <c r="AN7" s="1588" t="s">
        <v>3554</v>
      </c>
      <c r="AO7" s="50">
        <f t="shared" ref="AO7:AO13" ca="1" si="8">SUMIF(INDIRECT("'"&amp;AN7&amp;"'"&amp;"!A:A"),"总价",INDIRECT("'"&amp;AN7&amp;"'"&amp;"!B:B"))</f>
        <v>94.671499999999995</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0.65700000000000003</v>
      </c>
      <c r="H16" s="84">
        <f>ROUND(SUMPRODUCT(H6:H13,K6:K13)/SUMPRODUCT((H6:H13&gt;0)*(K6:K13)),3)</f>
        <v>0.05</v>
      </c>
      <c r="I16" s="85"/>
      <c r="J16" s="85"/>
      <c r="K16" s="86">
        <f>SUM(K6:K15)</f>
        <v>312.66000000000003</v>
      </c>
      <c r="L16" s="87">
        <f>ROUND(M16*10000/SUM(K6:K14),0)</f>
        <v>3006</v>
      </c>
      <c r="M16" s="87">
        <f>SUM(M6:M14)</f>
        <v>94</v>
      </c>
      <c r="N16" s="88">
        <f>ROUND(SUMPRODUCT(M6:M14,N6:N14)/M16,3)</f>
        <v>0.7</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3277" t="s">
        <v>3392</v>
      </c>
      <c r="J18" s="3278"/>
      <c r="K18" s="3278"/>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28.8">
      <c r="A19" s="1595" t="s">
        <v>1211</v>
      </c>
      <c r="B19" s="97">
        <v>0</v>
      </c>
      <c r="C19" s="2558" t="s">
        <v>2301</v>
      </c>
      <c r="D19" s="2449"/>
      <c r="E19" s="2437"/>
      <c r="F19" s="2437"/>
      <c r="G19" s="2437"/>
      <c r="H19" s="2437"/>
      <c r="I19" s="3144" t="s">
        <v>3393</v>
      </c>
      <c r="J19" s="3144" t="s">
        <v>3394</v>
      </c>
      <c r="K19" s="3144" t="s">
        <v>3395</v>
      </c>
      <c r="L19" s="2447"/>
      <c r="M19" s="3153" t="s">
        <v>3401</v>
      </c>
      <c r="N19" s="2446">
        <v>2002</v>
      </c>
      <c r="O19" s="3153" t="s">
        <v>3431</v>
      </c>
      <c r="P19" s="3159">
        <f>N19-B20</f>
        <v>2001</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3182">
        <v>1</v>
      </c>
      <c r="C20" s="2559" t="s">
        <v>2299</v>
      </c>
      <c r="D20" s="2449"/>
      <c r="E20" s="2437"/>
      <c r="F20" s="2437"/>
      <c r="G20" s="2437"/>
      <c r="H20" s="2437"/>
      <c r="I20" s="3144" t="s">
        <v>3396</v>
      </c>
      <c r="J20" s="3144" t="s">
        <v>3397</v>
      </c>
      <c r="K20" s="3144" t="s">
        <v>3398</v>
      </c>
      <c r="L20" s="2447"/>
      <c r="M20" s="3153" t="s">
        <v>3402</v>
      </c>
      <c r="N20" s="2446">
        <f>ROUND(1-(1-2%)*(2024-N19)/50,2)</f>
        <v>0.56999999999999995</v>
      </c>
      <c r="O20" s="2446">
        <v>0.3</v>
      </c>
      <c r="P20" s="3159">
        <f>P19+40</f>
        <v>2041</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3182">
        <v>1</v>
      </c>
      <c r="C21" s="2437"/>
      <c r="D21" s="2449"/>
      <c r="E21" s="2437"/>
      <c r="F21" s="2437"/>
      <c r="G21" s="2437"/>
      <c r="H21" s="2437"/>
      <c r="I21" s="3145">
        <v>10</v>
      </c>
      <c r="J21" s="3145">
        <v>6</v>
      </c>
      <c r="K21" s="3145">
        <v>3</v>
      </c>
      <c r="L21" s="2447"/>
      <c r="M21" s="3153" t="s">
        <v>3403</v>
      </c>
      <c r="N21" s="2446">
        <v>0.75</v>
      </c>
      <c r="O21" s="2446">
        <v>0.7</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8">
        <f>B19+B20</f>
        <v>1</v>
      </c>
      <c r="C22" s="2437"/>
      <c r="D22" s="2449"/>
      <c r="E22" s="2437"/>
      <c r="F22" s="2437"/>
      <c r="G22" s="2437"/>
      <c r="H22" s="2437"/>
      <c r="I22" s="3145">
        <v>2</v>
      </c>
      <c r="J22" s="3145">
        <v>2</v>
      </c>
      <c r="K22" s="3145">
        <v>0</v>
      </c>
      <c r="L22" s="2447"/>
      <c r="M22" s="3153" t="s">
        <v>3404</v>
      </c>
      <c r="N22" s="2446">
        <f>ROUND((N20*O20+N21*O21),2)</f>
        <v>0.7</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8">
        <f>B19+B21</f>
        <v>1</v>
      </c>
      <c r="C23" s="2437"/>
      <c r="D23" s="2449"/>
      <c r="E23" s="2437"/>
      <c r="F23" s="2437"/>
      <c r="G23" s="2437"/>
      <c r="H23" s="2437"/>
      <c r="I23" s="3145">
        <v>67000</v>
      </c>
      <c r="J23" s="3145">
        <v>100000</v>
      </c>
      <c r="K23" s="3145">
        <v>21000</v>
      </c>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99">
        <f>B20-B21</f>
        <v>0</v>
      </c>
      <c r="C24" s="2437"/>
      <c r="D24" s="2449"/>
      <c r="E24" s="2437"/>
      <c r="F24" s="2437"/>
      <c r="G24" s="2437"/>
      <c r="H24" s="2437"/>
      <c r="I24" s="3146">
        <v>52000</v>
      </c>
      <c r="J24" s="3146">
        <v>72000</v>
      </c>
      <c r="K24" s="3146">
        <v>21000</v>
      </c>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3146">
        <v>15000</v>
      </c>
      <c r="J25" s="3146">
        <v>28000</v>
      </c>
      <c r="K25" s="3146">
        <v>0</v>
      </c>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3147">
        <f t="shared" ref="I26:K26" si="12">I27+I31+I30</f>
        <v>6002</v>
      </c>
      <c r="J26" s="3147">
        <f t="shared" si="12"/>
        <v>4964</v>
      </c>
      <c r="K26" s="3147">
        <f t="shared" si="12"/>
        <v>3045</v>
      </c>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0">
        <v>100</v>
      </c>
      <c r="C27" s="2560" t="s">
        <v>2303</v>
      </c>
      <c r="D27" s="2452"/>
      <c r="E27" s="2438"/>
      <c r="F27" s="2438"/>
      <c r="G27" s="2437"/>
      <c r="H27" s="2437"/>
      <c r="I27" s="3148">
        <v>2924</v>
      </c>
      <c r="J27" s="3148">
        <v>2788</v>
      </c>
      <c r="K27" s="3148">
        <v>1470</v>
      </c>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2">
        <v>150</v>
      </c>
      <c r="C28" s="2453"/>
      <c r="D28" s="2452"/>
      <c r="E28" s="2438"/>
      <c r="F28" s="2438"/>
      <c r="G28" s="2437"/>
      <c r="H28" s="2437"/>
      <c r="I28" s="3146">
        <v>2105</v>
      </c>
      <c r="J28" s="3146">
        <v>2008</v>
      </c>
      <c r="K28" s="3146">
        <v>1470</v>
      </c>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4"/>
      <c r="C29" s="2561" t="s">
        <v>2292</v>
      </c>
      <c r="D29" s="2452"/>
      <c r="E29" s="2438"/>
      <c r="F29" s="2438"/>
      <c r="G29" s="2437"/>
      <c r="H29" s="2437"/>
      <c r="I29" s="3146">
        <v>5763</v>
      </c>
      <c r="J29" s="3146">
        <v>4793</v>
      </c>
      <c r="K29" s="3146" t="s">
        <v>3399</v>
      </c>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3149">
        <v>1397</v>
      </c>
      <c r="J30" s="3149">
        <v>700</v>
      </c>
      <c r="K30" s="3149">
        <v>350</v>
      </c>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3">
        <f>B30-B32</f>
        <v>200</v>
      </c>
      <c r="C31" s="2451"/>
      <c r="D31" s="2452"/>
      <c r="E31" s="2438"/>
      <c r="F31" s="2438"/>
      <c r="G31" s="2437"/>
      <c r="H31" s="2437"/>
      <c r="I31" s="3150">
        <v>1681</v>
      </c>
      <c r="J31" s="3150">
        <v>1476</v>
      </c>
      <c r="K31" s="3150">
        <v>1225</v>
      </c>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3151"/>
      <c r="J32" s="3151"/>
      <c r="K32" s="3151"/>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0.03</v>
      </c>
      <c r="C33" s="2562" t="s">
        <v>3379</v>
      </c>
      <c r="D33" s="2449"/>
      <c r="E33" s="2437"/>
      <c r="F33" s="2437"/>
      <c r="G33" s="2437"/>
      <c r="H33" s="2437"/>
      <c r="I33" s="3151"/>
      <c r="J33" s="3151"/>
      <c r="K33" s="3151"/>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2293</v>
      </c>
      <c r="D34" s="2457" t="s">
        <v>2300</v>
      </c>
      <c r="E34" s="2455"/>
      <c r="F34" s="2437"/>
      <c r="G34" s="2437"/>
      <c r="H34" s="2437"/>
      <c r="I34" s="3151"/>
      <c r="J34" s="3151"/>
      <c r="K34" s="3151"/>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2">
        <v>200</v>
      </c>
      <c r="C35" s="2562" t="s">
        <v>2294</v>
      </c>
      <c r="D35" s="2452"/>
      <c r="E35" s="2438"/>
      <c r="F35" s="2438"/>
      <c r="G35" s="2437"/>
      <c r="H35" s="2437"/>
      <c r="I35" s="3151"/>
      <c r="J35" s="3151"/>
      <c r="K35" s="3151"/>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3380</v>
      </c>
      <c r="D36" s="2449"/>
      <c r="E36" s="2437"/>
      <c r="F36" s="2437"/>
      <c r="G36" s="2437"/>
      <c r="H36" s="2437"/>
      <c r="I36" s="3152">
        <f t="shared" ref="I36:K36" si="13">I27/I26</f>
        <v>0.48717094301899366</v>
      </c>
      <c r="J36" s="3152">
        <f t="shared" si="13"/>
        <v>0.56164383561643838</v>
      </c>
      <c r="K36" s="3152">
        <f t="shared" si="13"/>
        <v>0.48275862068965519</v>
      </c>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0.02</v>
      </c>
      <c r="C37" s="2562" t="s">
        <v>2295</v>
      </c>
      <c r="D37" s="2449"/>
      <c r="E37" s="2437"/>
      <c r="F37" s="2437"/>
      <c r="G37" s="2437"/>
      <c r="H37" s="2437"/>
      <c r="I37" s="3152">
        <f t="shared" ref="I37:K37" si="14">I30/I26</f>
        <v>0.23275574808397201</v>
      </c>
      <c r="J37" s="3152">
        <f t="shared" si="14"/>
        <v>0.14101531023368252</v>
      </c>
      <c r="K37" s="3152">
        <f t="shared" si="14"/>
        <v>0.11494252873563218</v>
      </c>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0.02</v>
      </c>
      <c r="C38" s="2562" t="s">
        <v>2295</v>
      </c>
      <c r="D38" s="2449"/>
      <c r="E38" s="2437"/>
      <c r="F38" s="2437"/>
      <c r="G38" s="2437"/>
      <c r="H38" s="2437"/>
      <c r="I38" s="3152">
        <f t="shared" ref="I38:K38" si="15">I31/I26</f>
        <v>0.2800733088970343</v>
      </c>
      <c r="J38" s="3152">
        <f t="shared" si="15"/>
        <v>0.29734085414987915</v>
      </c>
      <c r="K38" s="3152">
        <f t="shared" si="15"/>
        <v>0.40229885057471265</v>
      </c>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4">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0.05</v>
      </c>
      <c r="C44" s="2562" t="s">
        <v>2304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mergeCells count="1">
    <mergeCell ref="I18:K18"/>
  </mergeCells>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79" t="s">
        <v>2284</v>
      </c>
      <c r="B1" s="3280"/>
      <c r="C1" s="3280"/>
      <c r="D1" s="3280"/>
      <c r="E1" s="3280"/>
      <c r="F1" s="3280"/>
      <c r="G1" s="328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4"/>
      <c r="E2" s="2258"/>
      <c r="F2" s="2261"/>
      <c r="G2" s="2260" t="s">
        <v>2280</v>
      </c>
      <c r="H2" s="750"/>
      <c r="I2" s="750"/>
      <c r="J2" s="750"/>
      <c r="K2" s="750"/>
      <c r="L2" s="750"/>
      <c r="M2" s="750"/>
      <c r="N2" s="750"/>
      <c r="O2" s="750"/>
      <c r="P2" s="750"/>
      <c r="Q2" s="750"/>
    </row>
    <row r="3" spans="1:29" ht="48">
      <c r="A3" s="2245" t="s">
        <v>2281</v>
      </c>
      <c r="B3" s="2262" t="s">
        <v>2252</v>
      </c>
      <c r="C3" s="2263" t="s">
        <v>2282</v>
      </c>
      <c r="D3" s="2264"/>
      <c r="E3" s="2246" t="s">
        <v>2281</v>
      </c>
      <c r="F3" s="2265" t="s">
        <v>2253</v>
      </c>
      <c r="G3" s="2266" t="s">
        <v>2283</v>
      </c>
      <c r="H3" s="750"/>
      <c r="I3" s="750"/>
      <c r="J3" s="750"/>
      <c r="K3" s="750"/>
      <c r="L3" s="750"/>
      <c r="M3" s="750"/>
      <c r="N3" s="750"/>
      <c r="O3" s="750"/>
      <c r="P3" s="750"/>
      <c r="Q3" s="750"/>
    </row>
    <row r="4" spans="1:29" ht="48">
      <c r="A4" s="2246"/>
      <c r="B4" s="314" t="s">
        <v>2254</v>
      </c>
      <c r="C4" s="3171" t="s">
        <v>3505</v>
      </c>
      <c r="D4" s="2264"/>
      <c r="E4" s="2268"/>
      <c r="F4" s="1280" t="s">
        <v>2255</v>
      </c>
      <c r="G4" s="2269" t="s">
        <v>2256</v>
      </c>
      <c r="H4" s="750"/>
      <c r="I4" s="750"/>
      <c r="J4" s="750"/>
      <c r="K4" s="750"/>
      <c r="L4" s="750"/>
      <c r="M4" s="750"/>
      <c r="N4" s="750"/>
      <c r="O4" s="750"/>
      <c r="P4" s="750"/>
      <c r="Q4" s="750"/>
    </row>
    <row r="5" spans="1:29" ht="37.200000000000003">
      <c r="A5" s="2246"/>
      <c r="B5" s="314" t="s">
        <v>2257</v>
      </c>
      <c r="C5" s="2267" t="s">
        <v>2258</v>
      </c>
      <c r="D5" s="2264"/>
      <c r="E5" s="2268"/>
      <c r="F5" s="314" t="s">
        <v>2259</v>
      </c>
      <c r="G5" s="2269" t="s">
        <v>2260</v>
      </c>
      <c r="H5" s="750"/>
      <c r="I5" s="750"/>
      <c r="J5" s="750"/>
      <c r="K5" s="750"/>
      <c r="L5" s="750"/>
      <c r="M5" s="750"/>
      <c r="N5" s="750"/>
      <c r="O5" s="750"/>
      <c r="P5" s="750"/>
      <c r="Q5" s="750"/>
    </row>
    <row r="6" spans="1:29" ht="60">
      <c r="A6" s="2246"/>
      <c r="B6" s="314" t="s">
        <v>2261</v>
      </c>
      <c r="C6" s="3172" t="s">
        <v>3550</v>
      </c>
      <c r="D6" s="2264"/>
      <c r="E6" s="2268"/>
      <c r="F6" s="314" t="s">
        <v>2262</v>
      </c>
      <c r="G6" s="2269" t="s">
        <v>2263</v>
      </c>
      <c r="H6" s="750"/>
      <c r="I6" s="750"/>
      <c r="J6" s="750"/>
      <c r="K6" s="750"/>
      <c r="L6" s="750"/>
      <c r="M6" s="750"/>
      <c r="N6" s="750"/>
      <c r="O6" s="750"/>
      <c r="P6" s="750"/>
      <c r="Q6" s="750"/>
    </row>
    <row r="7" spans="1:29" ht="84.6" thickBot="1">
      <c r="A7" s="2246"/>
      <c r="B7" s="314" t="s">
        <v>2259</v>
      </c>
      <c r="C7" s="3172" t="s">
        <v>3507</v>
      </c>
      <c r="D7" s="2243"/>
      <c r="E7" s="2270"/>
      <c r="F7" s="2271" t="s">
        <v>2264</v>
      </c>
      <c r="G7" s="2272" t="s">
        <v>2265</v>
      </c>
      <c r="H7" s="750"/>
      <c r="I7" s="750"/>
      <c r="J7" s="750"/>
      <c r="K7" s="750"/>
      <c r="L7" s="750"/>
      <c r="M7" s="750"/>
      <c r="N7" s="750"/>
      <c r="O7" s="750"/>
      <c r="P7" s="750"/>
      <c r="Q7" s="750"/>
    </row>
    <row r="8" spans="1:29" ht="24">
      <c r="A8" s="2246"/>
      <c r="B8" s="314" t="s">
        <v>2262</v>
      </c>
      <c r="C8" s="2269" t="s">
        <v>2263</v>
      </c>
      <c r="D8" s="2243"/>
      <c r="E8" s="2243"/>
      <c r="F8" s="120"/>
      <c r="G8" s="120"/>
      <c r="H8" s="750"/>
      <c r="I8" s="750"/>
      <c r="J8" s="750"/>
      <c r="K8" s="750"/>
      <c r="L8" s="750"/>
      <c r="M8" s="750"/>
      <c r="N8" s="750"/>
      <c r="O8" s="750"/>
      <c r="P8" s="750"/>
      <c r="Q8" s="750"/>
    </row>
    <row r="9" spans="1:29" ht="84">
      <c r="A9" s="2246"/>
      <c r="B9" s="314" t="s">
        <v>2266</v>
      </c>
      <c r="C9" s="3171" t="s">
        <v>3508</v>
      </c>
      <c r="D9" s="2264"/>
      <c r="E9" s="2243"/>
      <c r="F9" s="120"/>
      <c r="G9" s="120"/>
      <c r="H9" s="750"/>
      <c r="I9" s="750"/>
      <c r="J9" s="750"/>
      <c r="K9" s="750"/>
      <c r="L9" s="750"/>
      <c r="M9" s="750"/>
      <c r="N9" s="750"/>
      <c r="O9" s="750"/>
      <c r="P9" s="750"/>
      <c r="Q9" s="750"/>
    </row>
    <row r="10" spans="1:29" ht="14.4" thickBot="1">
      <c r="A10" s="2247"/>
      <c r="B10" s="2273" t="s">
        <v>2267</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2252</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52.8">
      <c r="A16" s="2250"/>
      <c r="B16" s="2289" t="s">
        <v>2254</v>
      </c>
      <c r="C16" s="2290" t="str">
        <f>C4</f>
        <v>估价对象2公里范围内有百品尚购物中心，周边商业氛围一般，人流量一般，商业繁华一般</v>
      </c>
      <c r="D16" s="2264"/>
      <c r="E16" s="2251"/>
      <c r="F16" s="2291" t="s">
        <v>2255</v>
      </c>
      <c r="G16" s="2292" t="str">
        <f>G4</f>
        <v>估价对象周边道路状况、公共交通通达情况、停车便捷程度，综合评价交通便捷度较好</v>
      </c>
    </row>
    <row r="17" spans="1:17" ht="39.6">
      <c r="A17" s="2250"/>
      <c r="B17" s="2289" t="s">
        <v>2257</v>
      </c>
      <c r="C17" s="2290" t="str">
        <f>C5</f>
        <v>估价对象位于XX商圈，周边办公楼项目较多，入驻率高，办公集聚程度较好</v>
      </c>
      <c r="D17" s="2243"/>
      <c r="E17" s="2251"/>
      <c r="F17" s="2291" t="s">
        <v>2273</v>
      </c>
      <c r="G17" s="2293"/>
    </row>
    <row r="18" spans="1:17" ht="66">
      <c r="A18" s="2250"/>
      <c r="B18" s="2291" t="s">
        <v>2261</v>
      </c>
      <c r="C18" s="2292" t="str">
        <f>C6</f>
        <v>估价对象临城市主干道--妫川路，周边有Y9路、919路、920路公交车，门口可停车，停车便捷程度较好，综合评价交通便捷度一般</v>
      </c>
      <c r="D18" s="2243"/>
      <c r="E18" s="2251"/>
      <c r="F18" s="2291" t="s">
        <v>2264</v>
      </c>
      <c r="G18" s="2292" t="str">
        <f>G7</f>
        <v>该园区内是否有污染型企业，绿化情况，卫生条件，整体环境状况判断</v>
      </c>
    </row>
    <row r="19" spans="1:17" ht="26.4">
      <c r="A19" s="2250"/>
      <c r="B19" s="2291" t="s">
        <v>2274</v>
      </c>
      <c r="C19" s="2293"/>
      <c r="D19" s="2264"/>
      <c r="E19" s="2251"/>
      <c r="F19" s="314" t="s">
        <v>2259</v>
      </c>
      <c r="G19" s="2292" t="str">
        <f>G5</f>
        <v>估价对象所在区域公共配套设施齐备情况</v>
      </c>
    </row>
    <row r="20" spans="1:17" ht="92.4">
      <c r="A20" s="2250"/>
      <c r="B20" s="2291" t="s">
        <v>2275</v>
      </c>
      <c r="C20" s="2290" t="str">
        <f>C9</f>
        <v>区域自然环境：迎宾公园、百泉公园、夏都公园、北京延庆世界地质公园；人文环境：延庆区职业学院、妫川宝塔、延庆地质博物馆、水生野生博物馆；综合评价环境状况较好</v>
      </c>
      <c r="D20" s="2243"/>
      <c r="E20" s="2251"/>
      <c r="F20" s="314" t="s">
        <v>2262</v>
      </c>
      <c r="G20" s="2292" t="str">
        <f>G6</f>
        <v>估价对象所在区域基础设施水平</v>
      </c>
    </row>
    <row r="21" spans="1:17" ht="92.4">
      <c r="A21" s="2250"/>
      <c r="B21" s="314" t="s">
        <v>2259</v>
      </c>
      <c r="C21" s="2292" t="str">
        <f>C7</f>
        <v>估价对象所在区域公共配套设施齐备情况：农业银行、农业发展银行、中国银行，司家营小学、北京市延庆区第二中学，国润家园社区卫生服务站、北京中医医院延庆医院，百尚购物中心</v>
      </c>
      <c r="D21" s="2264"/>
      <c r="E21" s="2251"/>
      <c r="F21" s="2291" t="s">
        <v>2276</v>
      </c>
      <c r="G21" s="2294"/>
    </row>
    <row r="22" spans="1:17" ht="13.5" customHeight="1">
      <c r="A22" s="2250"/>
      <c r="B22" s="314" t="s">
        <v>2262</v>
      </c>
      <c r="C22" s="2292" t="str">
        <f>C8</f>
        <v>估价对象所在区域基础设施水平</v>
      </c>
      <c r="D22" s="2264"/>
      <c r="E22" s="2251"/>
      <c r="F22" s="2291" t="s">
        <v>2267</v>
      </c>
      <c r="G22" s="2293"/>
    </row>
    <row r="23" spans="1:17" s="750" customFormat="1" ht="14.4" thickBot="1">
      <c r="A23" s="2250"/>
      <c r="B23" s="2291" t="s">
        <v>2276</v>
      </c>
      <c r="C23" s="2294"/>
      <c r="D23" s="1613"/>
      <c r="E23" s="2252"/>
      <c r="F23" s="2295" t="s">
        <v>2277</v>
      </c>
      <c r="G23" s="2296"/>
      <c r="H23" s="2275"/>
      <c r="I23" s="2275"/>
      <c r="J23" s="2275"/>
      <c r="K23" s="2275"/>
      <c r="L23" s="2275"/>
      <c r="M23" s="2275"/>
      <c r="N23" s="2275"/>
      <c r="O23" s="2275"/>
      <c r="P23" s="2275"/>
      <c r="Q23" s="2275"/>
    </row>
    <row r="24" spans="1:17" s="750" customFormat="1" ht="14.4" thickBot="1">
      <c r="A24" s="2253"/>
      <c r="B24" s="2295" t="s">
        <v>2278</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21" sqref="L21"/>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156.33000000000001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45562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190</v>
      </c>
      <c r="C5" s="2298">
        <f ca="1">IF(B5=D14,结果表1号!H102,ROUND(B5*10000/$B$1,0))</f>
        <v>12143</v>
      </c>
      <c r="D5" s="2298" t="e">
        <f ca="1">ROUND(B5*10000/$B$2,0)</f>
        <v>#DIV/0!</v>
      </c>
      <c r="E5" s="2459"/>
      <c r="F5" s="2460"/>
      <c r="G5" s="2460"/>
      <c r="H5" s="2460"/>
      <c r="I5" s="2460"/>
      <c r="J5" s="2460"/>
      <c r="K5" s="2460"/>
    </row>
    <row r="6" spans="1:11" ht="15.6">
      <c r="A6" s="2298" t="s">
        <v>656</v>
      </c>
      <c r="B6" s="2298">
        <f>SUM(G14:G23)</f>
        <v>0</v>
      </c>
      <c r="C6" s="2298">
        <f ca="1">IF(B6=G14,结果表1号!H108,ROUND(B6*10000/$B$1,0))</f>
        <v>12143</v>
      </c>
      <c r="D6" s="2298" t="e">
        <f>ROUND(B6*10000/$B$2,0)</f>
        <v>#DIV/0!</v>
      </c>
      <c r="E6" s="2459"/>
      <c r="F6" s="2460"/>
      <c r="G6" s="2460"/>
      <c r="H6" s="2460"/>
      <c r="I6" s="2460"/>
      <c r="J6" s="2460"/>
      <c r="K6" s="2460"/>
    </row>
    <row r="7" spans="1:11" ht="15.6">
      <c r="A7" s="2298" t="s">
        <v>664</v>
      </c>
      <c r="B7" s="2298">
        <f>SUM(H14:H23)</f>
        <v>0</v>
      </c>
      <c r="C7" s="2298" t="str">
        <f>IF(B7=H14,结果表1号!H110,ROUND(B7*10000/$B$1,0))</f>
        <v>——</v>
      </c>
      <c r="D7" s="2298" t="e">
        <f>ROUND(B7*10000/$B$2,0)</f>
        <v>#DIV/0!</v>
      </c>
      <c r="E7" s="2459"/>
      <c r="F7" s="2460"/>
      <c r="G7" s="2460"/>
      <c r="H7" s="2460"/>
      <c r="I7" s="2460"/>
      <c r="J7" s="2460"/>
      <c r="K7" s="2460"/>
    </row>
    <row r="8" spans="1:11" ht="15.6">
      <c r="A8" s="2298" t="s">
        <v>587</v>
      </c>
      <c r="B8" s="2298">
        <f>SUM(I14:I23)</f>
        <v>0</v>
      </c>
      <c r="C8" s="2298" t="str">
        <f>IF(B8=I14,结果表1号!H112,ROUND(B8*10000/$B$1,0))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结果表2号!B118</f>
        <v>156.33000000000001</v>
      </c>
      <c r="C14" s="2304"/>
      <c r="D14" s="2304">
        <f ca="1">结果表2号!H118</f>
        <v>190</v>
      </c>
      <c r="E14" s="2304">
        <f ca="1">结果表2号!I118</f>
        <v>12143</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8</v>
      </c>
    </row>
    <row r="2" spans="1:9" s="191" customFormat="1" ht="18" customHeight="1">
      <c r="A2" s="192" t="s">
        <v>1462</v>
      </c>
      <c r="B2" s="193">
        <f ca="1">IF(D2="——",C52,C52-E2)</f>
        <v>99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3166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100</v>
      </c>
      <c r="F9" s="212"/>
      <c r="G9" s="1714"/>
      <c r="H9" s="1069"/>
      <c r="I9" s="1715" t="s">
        <v>1479</v>
      </c>
    </row>
    <row r="10" spans="1:9" s="205" customFormat="1" ht="13.5" customHeight="1">
      <c r="A10" s="732" t="s">
        <v>356</v>
      </c>
      <c r="B10" s="215" t="s">
        <v>1480</v>
      </c>
      <c r="C10" s="216">
        <f ca="1">ROUND(D10*E10/10000,0)</f>
        <v>5</v>
      </c>
      <c r="D10" s="794">
        <f ca="1">IF(B1="",'数据-汇总表'!E6,IF(INDIRECT("'数据-取费表'!c"&amp;$G$1)="住宅",INDIRECT("'数据-取费表'!s"&amp;$G$1),INDIRECT("'数据-取费表'!k"&amp;$G$1)+INDIRECT("'数据-取费表'!s"&amp;$G$1)))</f>
        <v>312.66000000000003</v>
      </c>
      <c r="E10" s="216">
        <f>'数据-取费表'!B28</f>
        <v>150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6</v>
      </c>
      <c r="D19" s="203">
        <f ca="1">D9+D10</f>
        <v>312.66000000000003</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2.9999999999999997E-4</v>
      </c>
      <c r="E22" s="227" t="s">
        <v>1498</v>
      </c>
      <c r="F22" s="228">
        <f ca="1">'数据-取费表'!B40</f>
        <v>3.3500000000000002E-2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1</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105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94</v>
      </c>
      <c r="D34" s="208"/>
      <c r="E34" s="211"/>
      <c r="F34" s="248">
        <f ca="1">IF('数据-取费表'!B24=0,1,IF(B1="",'数据-取费表'!N16,INDIRECT("'数据-取费表'!n"&amp;$G$1)))</f>
        <v>1</v>
      </c>
      <c r="G34" s="210" t="s">
        <v>1526</v>
      </c>
    </row>
    <row r="35" spans="1:7" ht="13.5" customHeight="1">
      <c r="A35" s="733" t="s">
        <v>351</v>
      </c>
      <c r="B35" s="206" t="s">
        <v>1527</v>
      </c>
      <c r="C35" s="211">
        <f ca="1">ROUND(C34*F35,0)</f>
        <v>3</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v>
      </c>
      <c r="D37" s="208">
        <f ca="1">D19</f>
        <v>312.66000000000003</v>
      </c>
      <c r="E37" s="240">
        <f>'数据-取费表'!B35</f>
        <v>200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2.9999999999999997E-4</v>
      </c>
      <c r="E41" s="227" t="s">
        <v>1539</v>
      </c>
      <c r="F41" s="228">
        <f ca="1">F22</f>
        <v>3.3500000000000002E-2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2</v>
      </c>
      <c r="D42" s="229"/>
      <c r="E42" s="229"/>
      <c r="F42" s="230"/>
      <c r="G42" s="3281" t="s">
        <v>1544</v>
      </c>
    </row>
    <row r="43" spans="1:7" ht="13.5" customHeight="1">
      <c r="A43" s="733" t="s">
        <v>347</v>
      </c>
      <c r="B43" s="206" t="s">
        <v>1545</v>
      </c>
      <c r="C43" s="229">
        <f ca="1">ROUND(IF('数据-取费表'!B22&lt;=1,C39*F22*'数据-取费表'!B21/2,C39*(POWER((1+F22),'数据-取费表'!B21/2)-1)),0)</f>
        <v>0</v>
      </c>
      <c r="D43" s="229"/>
      <c r="E43" s="229"/>
      <c r="F43" s="230"/>
      <c r="G43" s="3282"/>
    </row>
    <row r="44" spans="1:7" ht="13.5" customHeight="1">
      <c r="A44" s="733" t="s">
        <v>348</v>
      </c>
      <c r="B44" s="206" t="s">
        <v>1546</v>
      </c>
      <c r="C44" s="229">
        <f ca="1">ROUND(IF('数据-取费表'!B22&lt;=1,C40*F22*'数据-取费表'!B21/2,C40*(POWER((1+F22),'数据-取费表'!B21/2)-1)),4)</f>
        <v>2.9999999999999997E-4</v>
      </c>
      <c r="D44" s="229"/>
      <c r="E44" s="229"/>
      <c r="F44" s="230"/>
      <c r="G44" s="3283"/>
    </row>
    <row r="45" spans="1:7" s="205" customFormat="1" ht="13.5" customHeight="1">
      <c r="A45" s="246" t="s">
        <v>1547</v>
      </c>
      <c r="B45" s="235" t="s">
        <v>1513</v>
      </c>
      <c r="C45" s="236">
        <f ca="1">C46</f>
        <v>11</v>
      </c>
      <c r="D45" s="226">
        <f ca="1">C47</f>
        <v>2E-3</v>
      </c>
      <c r="E45" s="227" t="s">
        <v>1539</v>
      </c>
      <c r="F45" s="237">
        <f ca="1">F27</f>
        <v>0.1</v>
      </c>
      <c r="G45" s="238" t="s">
        <v>1548</v>
      </c>
    </row>
    <row r="46" spans="1:7" s="205" customFormat="1" ht="13.5" customHeight="1">
      <c r="A46" s="733" t="s">
        <v>346</v>
      </c>
      <c r="B46" s="239" t="s">
        <v>1549</v>
      </c>
      <c r="C46" s="240">
        <f ca="1">ROUND((C33+C39)*F27,0)</f>
        <v>11</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130</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91</v>
      </c>
      <c r="D51" s="223"/>
      <c r="E51" s="223"/>
      <c r="F51" s="255"/>
      <c r="G51" s="225" t="s">
        <v>1560</v>
      </c>
    </row>
    <row r="52" spans="1:7" s="199" customFormat="1" ht="16.8" thickBot="1">
      <c r="A52" s="256" t="s">
        <v>1561</v>
      </c>
      <c r="B52" s="257"/>
      <c r="C52" s="258">
        <f ca="1">C31+C51</f>
        <v>99</v>
      </c>
      <c r="D52" s="257"/>
      <c r="E52" s="257"/>
      <c r="F52" s="257"/>
      <c r="G52" s="259"/>
    </row>
    <row r="55" spans="1:7" ht="15">
      <c r="B55" s="261" t="s">
        <v>1562</v>
      </c>
      <c r="C55" s="262"/>
    </row>
    <row r="56" spans="1:7">
      <c r="B56" s="264" t="s">
        <v>802</v>
      </c>
      <c r="C56" s="266">
        <f ca="1">1-C57</f>
        <v>8.0999999999999961E-2</v>
      </c>
    </row>
    <row r="57" spans="1:7">
      <c r="B57" s="264" t="s">
        <v>803</v>
      </c>
      <c r="C57" s="265">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7" t="str">
        <f>项目基本情况!B1</f>
        <v>北京市延庆县燕水佳园14号楼1至2层1号、2号预评估</v>
      </c>
      <c r="C37" s="3187"/>
      <c r="D37" s="3187"/>
      <c r="E37" s="3187"/>
      <c r="F37" s="3187"/>
      <c r="G37" s="3187"/>
      <c r="H37" s="3187"/>
      <c r="I37" s="318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8</v>
      </c>
    </row>
    <row r="2" spans="1:33" ht="18" customHeight="1">
      <c r="A2" s="192" t="s">
        <v>1462</v>
      </c>
      <c r="B2" s="195">
        <f ca="1">C32</f>
        <v>-6</v>
      </c>
      <c r="C2" s="267" t="s">
        <v>1595</v>
      </c>
      <c r="D2" s="267"/>
      <c r="E2" s="2565"/>
      <c r="F2" s="2565"/>
      <c r="G2" s="2565"/>
      <c r="H2" s="2565"/>
      <c r="I2" s="2565"/>
      <c r="J2" s="2565"/>
      <c r="K2" s="2565"/>
    </row>
    <row r="3" spans="1:33" ht="18" customHeight="1" thickBot="1">
      <c r="A3" s="194" t="s">
        <v>1464</v>
      </c>
      <c r="B3" s="195">
        <f ca="1">ROUND(B2*10000/IF(C1="",'数据-汇总表'!E3,INDIRECT("'数据-取费表'!K"&amp;$K$1)),0)</f>
        <v>-192</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312.66000000000003</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312.66000000000003</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100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312.66000000000003</v>
      </c>
      <c r="E20" s="21">
        <f>'数据-取费表'!B28</f>
        <v>150</v>
      </c>
      <c r="F20" s="755"/>
      <c r="G20" s="12"/>
      <c r="H20" s="760"/>
      <c r="I20" s="760"/>
      <c r="J20" s="760"/>
      <c r="K20" s="761"/>
    </row>
    <row r="21" spans="1:33" s="754" customFormat="1" ht="13.5" customHeight="1">
      <c r="A21" s="743" t="s">
        <v>357</v>
      </c>
      <c r="B21" s="764" t="s">
        <v>1628</v>
      </c>
      <c r="C21" s="765">
        <f ca="1">C16+C17+C18</f>
        <v>5</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286" t="s">
        <v>694</v>
      </c>
      <c r="C6" s="1010">
        <f ca="1">ROUND(F6*F8*F7*(1-F9)/10000,0)</f>
        <v>0</v>
      </c>
      <c r="D6" s="146" t="s">
        <v>2109</v>
      </c>
      <c r="E6" s="293" t="s">
        <v>696</v>
      </c>
      <c r="F6" s="294">
        <f ca="1">INDIRECT("'数据-取费表'!u"&amp;$G$1)</f>
        <v>0</v>
      </c>
      <c r="G6" s="1291"/>
      <c r="H6" s="1005" t="s">
        <v>398</v>
      </c>
      <c r="I6" s="3286" t="s">
        <v>694</v>
      </c>
      <c r="J6" s="292">
        <f ca="1">ROUND(M6*M8*M7*(1-M9)/10000,0)</f>
        <v>0</v>
      </c>
      <c r="K6" s="146" t="s">
        <v>2108</v>
      </c>
      <c r="L6" s="293" t="s">
        <v>696</v>
      </c>
      <c r="M6" s="294">
        <f ca="1">INDIRECT("'数据-取费表'!z"&amp;$G$1)</f>
        <v>0</v>
      </c>
    </row>
    <row r="7" spans="1:37" ht="18" customHeight="1">
      <c r="A7" s="1009"/>
      <c r="B7" s="3287"/>
      <c r="C7" s="1011"/>
      <c r="D7" s="298"/>
      <c r="E7" s="1012" t="s">
        <v>697</v>
      </c>
      <c r="F7" s="294">
        <f ca="1">IF(INDIRECT("'数据-取费表'!ah"&amp;$G$1)="",INDIRECT("'数据-取费表'!k"&amp;$G$1),INDIRECT("'数据-取费表'!ah"&amp;$G$1))</f>
        <v>0</v>
      </c>
      <c r="G7" s="1291"/>
      <c r="H7" s="295"/>
      <c r="I7" s="3287"/>
      <c r="J7" s="297"/>
      <c r="K7" s="298"/>
      <c r="L7" s="293" t="s">
        <v>697</v>
      </c>
      <c r="M7" s="294">
        <f ca="1">F7</f>
        <v>0</v>
      </c>
    </row>
    <row r="8" spans="1:37" ht="18" customHeight="1">
      <c r="A8" s="295"/>
      <c r="B8" s="3287"/>
      <c r="C8" s="297"/>
      <c r="D8" s="298"/>
      <c r="E8" s="293" t="s">
        <v>698</v>
      </c>
      <c r="F8" s="294">
        <f ca="1">INDIRECT("'数据-取费表'!ai"&amp;$G$1)</f>
        <v>0</v>
      </c>
      <c r="G8" s="1291"/>
      <c r="H8" s="295"/>
      <c r="I8" s="3287"/>
      <c r="J8" s="297"/>
      <c r="K8" s="298"/>
      <c r="L8" s="293" t="s">
        <v>698</v>
      </c>
      <c r="M8" s="294">
        <f ca="1">INDIRECT("'数据-取费表'!ai"&amp;$G$1)</f>
        <v>0</v>
      </c>
    </row>
    <row r="9" spans="1:37" ht="18" customHeight="1">
      <c r="A9" s="295"/>
      <c r="B9" s="3288"/>
      <c r="C9" s="297"/>
      <c r="D9" s="298"/>
      <c r="E9" s="293" t="s">
        <v>699</v>
      </c>
      <c r="F9" s="303">
        <f ca="1">INDIRECT("'数据-取费表'!w"&amp;$G$1)</f>
        <v>0</v>
      </c>
      <c r="G9" s="1291"/>
      <c r="H9" s="295"/>
      <c r="I9" s="3288"/>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IF(项目基本情况!B11="自然人","——",ROUND(C6*F32/(1+'数据-取费表'!C42),2))</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284" t="s">
        <v>837</v>
      </c>
      <c r="L53" s="3285"/>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3" priority="3">
      <formula>$F$10="自定义"</formula>
    </cfRule>
  </conditionalFormatting>
  <conditionalFormatting sqref="C54">
    <cfRule type="expression" dxfId="162" priority="1">
      <formula>$F$53="自定义"</formula>
    </cfRule>
  </conditionalFormatting>
  <conditionalFormatting sqref="I55 I60">
    <cfRule type="expression" dxfId="161" priority="57">
      <formula>$J$51&gt;$L$48</formula>
    </cfRule>
  </conditionalFormatting>
  <conditionalFormatting sqref="J11">
    <cfRule type="expression" dxfId="160" priority="2">
      <formula>$M$10="自定义"</formula>
    </cfRule>
  </conditionalFormatting>
  <conditionalFormatting sqref="K55 K60">
    <cfRule type="expression" dxfId="15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M5"/>
  <sheetViews>
    <sheetView workbookViewId="0">
      <selection activeCell="O5" sqref="O5"/>
    </sheetView>
  </sheetViews>
  <sheetFormatPr defaultRowHeight="14.4"/>
  <cols>
    <col min="2" max="2" width="18.44140625" customWidth="1"/>
  </cols>
  <sheetData>
    <row r="1" spans="1:13" ht="15.6">
      <c r="A1" s="1404" t="s">
        <v>3466</v>
      </c>
      <c r="B1" s="3229" t="s">
        <v>3446</v>
      </c>
      <c r="C1" s="3229" t="s">
        <v>3447</v>
      </c>
      <c r="D1" s="3229" t="s">
        <v>3448</v>
      </c>
      <c r="E1" s="3229" t="s">
        <v>3449</v>
      </c>
      <c r="F1" s="3229" t="s">
        <v>3450</v>
      </c>
      <c r="G1" s="3229" t="s">
        <v>3451</v>
      </c>
      <c r="H1" s="3229" t="s">
        <v>3452</v>
      </c>
      <c r="I1" s="3229" t="s">
        <v>3453</v>
      </c>
      <c r="J1" s="3229" t="s">
        <v>3454</v>
      </c>
      <c r="K1" s="3229" t="s">
        <v>3455</v>
      </c>
      <c r="L1" s="3229" t="s">
        <v>3456</v>
      </c>
      <c r="M1" s="3229" t="s">
        <v>3457</v>
      </c>
    </row>
    <row r="2" spans="1:13" s="3161" customFormat="1" ht="15.6">
      <c r="B2" s="3232">
        <v>45523.333831018521</v>
      </c>
      <c r="C2" s="3231" t="s">
        <v>3458</v>
      </c>
      <c r="D2" s="3231" t="s">
        <v>633</v>
      </c>
      <c r="E2" s="3231" t="s">
        <v>633</v>
      </c>
      <c r="F2" s="3231">
        <v>1</v>
      </c>
      <c r="G2" s="3231">
        <v>101</v>
      </c>
      <c r="H2" s="3231" t="s">
        <v>3459</v>
      </c>
      <c r="I2" s="3231" t="s">
        <v>673</v>
      </c>
      <c r="J2" s="3231" t="s">
        <v>3460</v>
      </c>
      <c r="K2" s="3231">
        <v>500.02</v>
      </c>
      <c r="L2" s="3231">
        <v>1100</v>
      </c>
      <c r="M2" s="3231">
        <v>21999</v>
      </c>
    </row>
    <row r="3" spans="1:13" ht="15.6">
      <c r="B3" s="3230">
        <v>45499.333831018521</v>
      </c>
      <c r="C3" s="3229" t="s">
        <v>3461</v>
      </c>
      <c r="D3" s="3229" t="s">
        <v>633</v>
      </c>
      <c r="E3" s="3229" t="s">
        <v>633</v>
      </c>
      <c r="F3" s="3229">
        <v>-1</v>
      </c>
      <c r="G3" s="3229">
        <v>101</v>
      </c>
      <c r="H3" s="3229" t="s">
        <v>3462</v>
      </c>
      <c r="I3" s="3229" t="s">
        <v>673</v>
      </c>
      <c r="J3" s="3229" t="s">
        <v>3460</v>
      </c>
      <c r="K3" s="3229">
        <v>844.11</v>
      </c>
      <c r="L3" s="3229">
        <v>1154.72</v>
      </c>
      <c r="M3" s="3229">
        <v>13680</v>
      </c>
    </row>
    <row r="4" spans="1:13" ht="15.6">
      <c r="B4" s="3230">
        <v>45482.333831018521</v>
      </c>
      <c r="C4" s="3229" t="s">
        <v>3461</v>
      </c>
      <c r="D4" s="3229" t="s">
        <v>633</v>
      </c>
      <c r="E4" s="3229" t="s">
        <v>633</v>
      </c>
      <c r="F4" s="3229">
        <v>-1</v>
      </c>
      <c r="G4" s="3229">
        <v>101</v>
      </c>
      <c r="H4" s="3229" t="s">
        <v>3462</v>
      </c>
      <c r="I4" s="3229" t="s">
        <v>673</v>
      </c>
      <c r="J4" s="3229" t="s">
        <v>3460</v>
      </c>
      <c r="K4" s="3229">
        <v>844.11</v>
      </c>
      <c r="L4" s="3229">
        <v>1154.72</v>
      </c>
      <c r="M4" s="3229">
        <v>13680</v>
      </c>
    </row>
    <row r="5" spans="1:13" ht="15.6">
      <c r="B5" s="3230">
        <v>45295.333831018521</v>
      </c>
      <c r="C5" s="3229" t="s">
        <v>3463</v>
      </c>
      <c r="D5" s="3229" t="s">
        <v>633</v>
      </c>
      <c r="E5" s="3229" t="s">
        <v>633</v>
      </c>
      <c r="F5" s="3229">
        <v>-1</v>
      </c>
      <c r="G5" s="3229">
        <v>101</v>
      </c>
      <c r="H5" s="3229" t="s">
        <v>3464</v>
      </c>
      <c r="I5" s="3229" t="s">
        <v>673</v>
      </c>
      <c r="J5" s="3229" t="s">
        <v>3460</v>
      </c>
      <c r="K5" s="3229">
        <v>667.74</v>
      </c>
      <c r="L5" s="3229">
        <v>1000</v>
      </c>
      <c r="M5" s="3229">
        <v>14976</v>
      </c>
    </row>
  </sheetData>
  <mergeCells count="60">
    <mergeCell ref="K5"/>
    <mergeCell ref="L5"/>
    <mergeCell ref="M5"/>
    <mergeCell ref="B5"/>
    <mergeCell ref="C5"/>
    <mergeCell ref="D5"/>
    <mergeCell ref="E5"/>
    <mergeCell ref="F5"/>
    <mergeCell ref="G5"/>
    <mergeCell ref="H5"/>
    <mergeCell ref="I5"/>
    <mergeCell ref="J5"/>
    <mergeCell ref="E3"/>
    <mergeCell ref="F3"/>
    <mergeCell ref="G3"/>
    <mergeCell ref="H3"/>
    <mergeCell ref="I3"/>
    <mergeCell ref="M3"/>
    <mergeCell ref="B4"/>
    <mergeCell ref="C4"/>
    <mergeCell ref="D4"/>
    <mergeCell ref="E4"/>
    <mergeCell ref="F4"/>
    <mergeCell ref="G4"/>
    <mergeCell ref="H4"/>
    <mergeCell ref="I4"/>
    <mergeCell ref="J4"/>
    <mergeCell ref="K4"/>
    <mergeCell ref="L4"/>
    <mergeCell ref="M4"/>
    <mergeCell ref="B3"/>
    <mergeCell ref="C3"/>
    <mergeCell ref="D3"/>
    <mergeCell ref="J1"/>
    <mergeCell ref="K3"/>
    <mergeCell ref="L3"/>
    <mergeCell ref="J3"/>
    <mergeCell ref="K1"/>
    <mergeCell ref="L1"/>
    <mergeCell ref="E1"/>
    <mergeCell ref="F1"/>
    <mergeCell ref="G1"/>
    <mergeCell ref="H1"/>
    <mergeCell ref="I1"/>
    <mergeCell ref="M1"/>
    <mergeCell ref="B2"/>
    <mergeCell ref="C2"/>
    <mergeCell ref="D2"/>
    <mergeCell ref="E2"/>
    <mergeCell ref="F2"/>
    <mergeCell ref="G2"/>
    <mergeCell ref="H2"/>
    <mergeCell ref="I2"/>
    <mergeCell ref="J2"/>
    <mergeCell ref="K2"/>
    <mergeCell ref="L2"/>
    <mergeCell ref="M2"/>
    <mergeCell ref="B1"/>
    <mergeCell ref="C1"/>
    <mergeCell ref="D1"/>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
  <sheetViews>
    <sheetView workbookViewId="0">
      <selection activeCell="N38" sqref="N38"/>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Q80"/>
  <sheetViews>
    <sheetView workbookViewId="0">
      <selection activeCell="B16" sqref="B16"/>
    </sheetView>
  </sheetViews>
  <sheetFormatPr defaultRowHeight="14.4"/>
  <cols>
    <col min="3" max="3" width="9.44140625" bestFit="1" customWidth="1"/>
    <col min="14" max="14" width="19" customWidth="1"/>
  </cols>
  <sheetData>
    <row r="1" spans="1:13">
      <c r="A1" s="3175"/>
      <c r="B1" s="3176" t="s">
        <v>3432</v>
      </c>
      <c r="C1" s="3176" t="s">
        <v>3433</v>
      </c>
      <c r="D1" s="3175"/>
      <c r="E1" s="3175"/>
      <c r="F1" s="3175"/>
      <c r="G1" s="3175"/>
      <c r="H1" s="3175"/>
      <c r="I1" s="3175"/>
      <c r="J1" s="3175"/>
      <c r="K1" s="3175"/>
      <c r="M1" s="1404"/>
    </row>
    <row r="2" spans="1:13">
      <c r="A2" s="3176" t="s">
        <v>3445</v>
      </c>
      <c r="B2" s="3175"/>
      <c r="C2" s="3176" t="s">
        <v>3434</v>
      </c>
      <c r="D2" s="3176" t="s">
        <v>3436</v>
      </c>
      <c r="E2" s="3175"/>
      <c r="F2" s="3176" t="s">
        <v>3444</v>
      </c>
      <c r="G2" s="3175"/>
      <c r="H2" s="3175"/>
      <c r="I2" s="3175"/>
      <c r="J2" s="3175"/>
      <c r="K2" s="3175"/>
    </row>
    <row r="3" spans="1:13">
      <c r="A3" s="3177">
        <v>1</v>
      </c>
      <c r="B3" s="3176" t="s">
        <v>3441</v>
      </c>
      <c r="C3" s="3175">
        <v>280</v>
      </c>
      <c r="D3" s="3176" t="s">
        <v>3437</v>
      </c>
      <c r="E3" s="3175"/>
      <c r="F3" s="3175">
        <v>100000</v>
      </c>
      <c r="G3" s="3175">
        <v>130000</v>
      </c>
      <c r="H3" s="3175"/>
      <c r="I3" s="3176" t="s">
        <v>3511</v>
      </c>
      <c r="J3" s="3175">
        <v>1</v>
      </c>
      <c r="K3" s="3175"/>
    </row>
    <row r="4" spans="1:13">
      <c r="A4" s="3177">
        <v>2</v>
      </c>
      <c r="B4" s="3176" t="s">
        <v>3441</v>
      </c>
      <c r="C4" s="3176" t="s">
        <v>3435</v>
      </c>
      <c r="D4" s="3176" t="s">
        <v>3437</v>
      </c>
      <c r="E4" s="3175"/>
      <c r="F4" s="3175">
        <f>F3/280/365</f>
        <v>0.9784735812133073</v>
      </c>
      <c r="G4" s="3175">
        <f>G3/280/365</f>
        <v>1.2720156555772995</v>
      </c>
      <c r="H4" s="3175"/>
      <c r="I4" s="3175"/>
      <c r="J4" s="3175"/>
      <c r="K4" s="3176" t="s">
        <v>3540</v>
      </c>
    </row>
    <row r="5" spans="1:13">
      <c r="A5" s="3175"/>
      <c r="B5" s="3175"/>
      <c r="C5" s="3175"/>
      <c r="D5" s="3175"/>
      <c r="E5" s="3175"/>
      <c r="F5" s="3175"/>
      <c r="G5" s="3175"/>
      <c r="H5" s="3175"/>
      <c r="I5" s="3176" t="s">
        <v>3438</v>
      </c>
      <c r="J5" s="3175">
        <v>100</v>
      </c>
      <c r="K5" s="3175">
        <f>ROUND(K8/J8*J5,2)</f>
        <v>1.78</v>
      </c>
    </row>
    <row r="6" spans="1:13">
      <c r="A6" s="3175"/>
      <c r="B6" s="3175"/>
      <c r="C6" s="3175"/>
      <c r="D6" s="3175"/>
      <c r="E6" s="3175"/>
      <c r="F6" s="3175"/>
      <c r="G6" s="3175"/>
      <c r="H6" s="3175"/>
      <c r="I6" s="3176" t="s">
        <v>3439</v>
      </c>
      <c r="J6" s="3175">
        <f>B13</f>
        <v>70</v>
      </c>
      <c r="K6" s="3175">
        <f>ROUND(K8/J8*J6,2)</f>
        <v>1.25</v>
      </c>
    </row>
    <row r="7" spans="1:13">
      <c r="A7" s="3175"/>
      <c r="B7" s="3175"/>
      <c r="C7" s="3175"/>
      <c r="D7" s="3175"/>
      <c r="E7" s="3175"/>
      <c r="F7" s="3175"/>
      <c r="G7" s="3175"/>
      <c r="H7" s="3175"/>
      <c r="I7" s="3176" t="s">
        <v>3440</v>
      </c>
      <c r="J7" s="3175">
        <v>50</v>
      </c>
      <c r="K7" s="3175">
        <f>ROUND(K8/J8*J7,2)</f>
        <v>0.89</v>
      </c>
    </row>
    <row r="8" spans="1:13">
      <c r="A8" s="3175"/>
      <c r="B8" s="3175"/>
      <c r="C8" s="3175"/>
      <c r="D8" s="3175"/>
      <c r="E8" s="3175"/>
      <c r="F8" s="3175"/>
      <c r="G8" s="3175"/>
      <c r="H8" s="3175"/>
      <c r="I8" s="3176" t="s">
        <v>3442</v>
      </c>
      <c r="J8" s="3175">
        <f>B16</f>
        <v>73</v>
      </c>
      <c r="K8" s="3175">
        <v>1.3</v>
      </c>
    </row>
    <row r="9" spans="1:13">
      <c r="A9" s="3175"/>
      <c r="B9" s="3175"/>
      <c r="C9" s="3175"/>
      <c r="D9" s="3175"/>
      <c r="E9" s="3175"/>
      <c r="F9" s="3175"/>
      <c r="G9" s="3175"/>
      <c r="H9" s="3175"/>
      <c r="I9" s="3176" t="s">
        <v>3443</v>
      </c>
      <c r="J9" s="3176">
        <f>B14</f>
        <v>85</v>
      </c>
      <c r="K9" s="3178">
        <f>ROUND(K8/J8*J9,2)</f>
        <v>1.51</v>
      </c>
      <c r="L9" s="3167"/>
    </row>
    <row r="10" spans="1:13">
      <c r="I10" s="1404"/>
    </row>
    <row r="11" spans="1:13">
      <c r="A11" s="3179" t="s">
        <v>3518</v>
      </c>
      <c r="B11" s="3179">
        <v>130</v>
      </c>
      <c r="C11" s="3179">
        <f>ROUND(B11*C14/B14,0)</f>
        <v>153</v>
      </c>
      <c r="I11" s="1404"/>
    </row>
    <row r="12" spans="1:13">
      <c r="A12" s="3179" t="s">
        <v>3519</v>
      </c>
      <c r="B12" s="3179">
        <v>100</v>
      </c>
      <c r="C12" s="3179">
        <f>ROUND(B12*C14/B14,0)</f>
        <v>118</v>
      </c>
      <c r="I12" s="1404"/>
    </row>
    <row r="13" spans="1:13">
      <c r="A13" s="3179" t="s">
        <v>3520</v>
      </c>
      <c r="B13" s="3179">
        <v>70</v>
      </c>
      <c r="C13" s="3179"/>
      <c r="I13" s="1404"/>
    </row>
    <row r="14" spans="1:13">
      <c r="A14" s="3180" t="s">
        <v>3522</v>
      </c>
      <c r="B14" s="3180">
        <f>ROUND((B12+B13)/2,2)</f>
        <v>85</v>
      </c>
      <c r="C14" s="3180">
        <v>100</v>
      </c>
      <c r="I14" s="1404"/>
    </row>
    <row r="15" spans="1:13">
      <c r="A15" s="3179" t="s">
        <v>3527</v>
      </c>
      <c r="B15" s="3179">
        <v>50</v>
      </c>
      <c r="C15" s="3178"/>
      <c r="I15" s="1404"/>
    </row>
    <row r="16" spans="1:13">
      <c r="A16" s="3179" t="s">
        <v>3528</v>
      </c>
      <c r="B16" s="3180">
        <f>ROUND((B12+B13+B15)/3,0)</f>
        <v>73</v>
      </c>
      <c r="C16" s="3178"/>
      <c r="I16" s="1404"/>
    </row>
    <row r="17" spans="1:17">
      <c r="I17" s="1404"/>
    </row>
    <row r="18" spans="1:17">
      <c r="P18" s="1404"/>
    </row>
    <row r="19" spans="1:17">
      <c r="I19" s="1404"/>
    </row>
    <row r="20" spans="1:17">
      <c r="P20" s="1404" t="s">
        <v>3517</v>
      </c>
    </row>
    <row r="21" spans="1:17" ht="15.6">
      <c r="A21" s="1404" t="s">
        <v>3541</v>
      </c>
      <c r="B21" s="3160" t="s">
        <v>3446</v>
      </c>
      <c r="C21" s="3160" t="s">
        <v>3447</v>
      </c>
      <c r="D21" s="3160" t="s">
        <v>3448</v>
      </c>
      <c r="E21" s="3160" t="s">
        <v>3449</v>
      </c>
      <c r="F21" s="3160" t="s">
        <v>3450</v>
      </c>
      <c r="G21" s="3160" t="s">
        <v>3451</v>
      </c>
      <c r="H21" s="3160" t="s">
        <v>3452</v>
      </c>
      <c r="I21" s="3160" t="s">
        <v>3453</v>
      </c>
      <c r="J21" s="3160" t="s">
        <v>3454</v>
      </c>
      <c r="K21" s="3160" t="s">
        <v>3455</v>
      </c>
      <c r="L21" s="3160" t="s">
        <v>3456</v>
      </c>
      <c r="M21" s="3160" t="s">
        <v>3457</v>
      </c>
      <c r="P21" s="3163" t="s">
        <v>3482</v>
      </c>
    </row>
    <row r="22" spans="1:17" ht="15.6">
      <c r="A22" s="3161"/>
      <c r="B22" s="3162">
        <v>45523.333831018521</v>
      </c>
      <c r="C22" s="3163" t="s">
        <v>3458</v>
      </c>
      <c r="D22" s="3163" t="s">
        <v>633</v>
      </c>
      <c r="E22" s="3163" t="s">
        <v>633</v>
      </c>
      <c r="F22" s="3163">
        <v>1</v>
      </c>
      <c r="G22" s="3163">
        <v>101</v>
      </c>
      <c r="H22" s="3163" t="s">
        <v>3459</v>
      </c>
      <c r="I22" s="3163" t="s">
        <v>673</v>
      </c>
      <c r="J22" s="3163" t="s">
        <v>3460</v>
      </c>
      <c r="K22" s="3163">
        <v>500.02</v>
      </c>
      <c r="L22" s="3163">
        <v>1100</v>
      </c>
      <c r="M22" s="3163">
        <v>21999</v>
      </c>
      <c r="O22" s="1404" t="s">
        <v>3525</v>
      </c>
      <c r="Q22" s="3161">
        <f>ROUND(M22/C12*100,0)</f>
        <v>18643</v>
      </c>
    </row>
    <row r="23" spans="1:17" ht="15.6">
      <c r="A23" s="3164"/>
      <c r="B23" s="3165"/>
      <c r="C23" s="3166"/>
      <c r="D23" s="3166"/>
      <c r="E23" s="3166"/>
      <c r="F23" s="3166"/>
      <c r="G23" s="3166"/>
      <c r="H23" s="3166"/>
      <c r="I23" s="3166"/>
      <c r="J23" s="3166"/>
      <c r="K23" s="3166"/>
      <c r="L23" s="3166"/>
      <c r="M23" s="3166"/>
    </row>
    <row r="24" spans="1:17" ht="15.6">
      <c r="A24" s="3164"/>
      <c r="B24" s="3165"/>
      <c r="C24" s="3166"/>
      <c r="D24" s="3166"/>
      <c r="E24" s="3166"/>
      <c r="F24" s="3166"/>
      <c r="G24" s="3166"/>
      <c r="H24" s="3166"/>
      <c r="I24" s="3166"/>
      <c r="J24" s="3166"/>
      <c r="K24" s="3166"/>
      <c r="L24" s="3166"/>
      <c r="M24" s="3166"/>
    </row>
    <row r="25" spans="1:17">
      <c r="A25" s="3164"/>
      <c r="B25" s="3164"/>
      <c r="C25" s="3164"/>
      <c r="D25" s="3164"/>
      <c r="E25" s="3164"/>
      <c r="F25" s="3164"/>
      <c r="G25" s="3164"/>
      <c r="H25" s="3164"/>
      <c r="I25" s="3164"/>
      <c r="J25" s="3164"/>
      <c r="K25" s="3164"/>
      <c r="L25" s="3164"/>
      <c r="M25" s="3164"/>
    </row>
    <row r="27" spans="1:17">
      <c r="N27" s="1404" t="s">
        <v>3485</v>
      </c>
      <c r="P27" s="3167" t="s">
        <v>3483</v>
      </c>
    </row>
    <row r="28" spans="1:17">
      <c r="N28" s="1404" t="s">
        <v>3481</v>
      </c>
      <c r="O28">
        <v>25300</v>
      </c>
    </row>
    <row r="29" spans="1:17">
      <c r="C29" s="1404"/>
      <c r="D29" s="1404"/>
      <c r="E29" s="1404"/>
      <c r="F29" s="1404"/>
      <c r="G29" s="1404"/>
      <c r="H29" s="1404"/>
      <c r="I29" s="1404"/>
      <c r="J29" s="1404"/>
      <c r="K29" s="1404"/>
      <c r="L29" s="1404"/>
      <c r="M29" s="1404"/>
      <c r="N29" s="1404" t="s">
        <v>3486</v>
      </c>
      <c r="O29" s="1404">
        <v>83.05</v>
      </c>
      <c r="Q29" s="1404" t="s">
        <v>3525</v>
      </c>
    </row>
    <row r="30" spans="1:17">
      <c r="Q30" s="3161">
        <f>ROUND(O28/C11*100,0)</f>
        <v>16536</v>
      </c>
    </row>
    <row r="74" spans="13:16">
      <c r="P74" s="3167" t="s">
        <v>3484</v>
      </c>
    </row>
    <row r="75" spans="13:16">
      <c r="N75" s="1404" t="s">
        <v>3477</v>
      </c>
      <c r="O75" s="1404" t="s">
        <v>3479</v>
      </c>
      <c r="P75" s="1404" t="s">
        <v>3526</v>
      </c>
    </row>
    <row r="76" spans="13:16">
      <c r="M76" s="1404" t="s">
        <v>3480</v>
      </c>
      <c r="N76" s="1404" t="s">
        <v>3478</v>
      </c>
    </row>
    <row r="77" spans="13:16">
      <c r="N77">
        <f>5000/30/122</f>
        <v>1.3661202185792349</v>
      </c>
    </row>
    <row r="78" spans="13:16">
      <c r="M78" s="1404" t="s">
        <v>3481</v>
      </c>
      <c r="N78">
        <v>23000</v>
      </c>
      <c r="P78" s="1404" t="s">
        <v>3525</v>
      </c>
    </row>
    <row r="79" spans="13:16">
      <c r="P79" s="3161">
        <f>ROUND(N78/C11*100,0)</f>
        <v>15033</v>
      </c>
    </row>
    <row r="80" spans="13:16">
      <c r="M80" s="1404" t="s">
        <v>3486</v>
      </c>
      <c r="N80">
        <v>122</v>
      </c>
    </row>
  </sheetData>
  <phoneticPr fontId="134" type="noConversion"/>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3407</v>
      </c>
      <c r="D1" s="645"/>
      <c r="E1" s="645"/>
      <c r="F1" s="1620" t="s">
        <v>1263</v>
      </c>
      <c r="G1" s="1452" t="s">
        <v>3388</v>
      </c>
      <c r="H1" s="1620" t="str">
        <f>IF(G1="现房","——","估价对象范围")</f>
        <v>——</v>
      </c>
      <c r="I1" s="1621"/>
    </row>
    <row r="2" spans="1:12" ht="21.75" customHeight="1" thickBot="1">
      <c r="A2" s="3323" t="str">
        <f>项目基本情况!S2</f>
        <v>北京市延庆县燕水佳园14号楼1至2层1号、2号房地产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3" t="s">
        <v>1265</v>
      </c>
      <c r="B4" s="1624" t="s">
        <v>1266</v>
      </c>
      <c r="C4" s="1625" t="s">
        <v>3515</v>
      </c>
      <c r="D4" s="1625" t="s">
        <v>3513</v>
      </c>
      <c r="E4" s="3329" t="s">
        <v>1267</v>
      </c>
      <c r="F4" s="3330"/>
      <c r="G4" s="3330"/>
      <c r="H4" s="3330"/>
      <c r="I4" s="3331"/>
      <c r="K4" s="137" t="str">
        <f>IF(ISNUMBER(FIND("比较法",结果表1号!C4)),"比较法",IF(ISNUMBER(FIND("成本法",结果表1号!C4)),"成本法",IF(ISNUMBER(FIND("假设开发法",结果表1号!C4)),"假设开发法",IF(ISNUMBER(FIND("收益法",结果表1号!C4)),"收益法","基准地价系数修正法"))))</f>
        <v>比较法</v>
      </c>
      <c r="L4" s="137" t="str">
        <f>IF(ISNUMBER(FIND("比较法",结果表1号!D4)),"比较法",IF(ISNUMBER(FIND("成本法",结果表1号!D4)),"成本法",IF(ISNUMBER(FIND("假设开发法",结果表1号!D4)),"假设开发法",IF(ISNUMBER(FIND("收益法",结果表1号!D4)),"收益法","基准地价系数修正法"))))</f>
        <v>收益法</v>
      </c>
    </row>
    <row r="5" spans="1:12" ht="13.2">
      <c r="A5" s="3303" t="s">
        <v>1268</v>
      </c>
      <c r="B5" s="3290">
        <v>25</v>
      </c>
      <c r="C5" s="3306"/>
      <c r="D5" s="3326"/>
      <c r="E5" s="122" t="s">
        <v>1269</v>
      </c>
      <c r="F5" s="1626"/>
      <c r="G5" s="1626"/>
      <c r="H5" s="1626"/>
      <c r="I5" s="1280"/>
    </row>
    <row r="6" spans="1:12" ht="13.2">
      <c r="A6" s="3303"/>
      <c r="B6" s="3290"/>
      <c r="C6" s="3307"/>
      <c r="D6" s="3326"/>
      <c r="E6" s="122" t="s">
        <v>1270</v>
      </c>
      <c r="F6" s="1626"/>
      <c r="G6" s="1626"/>
      <c r="H6" s="1626"/>
      <c r="I6" s="1280"/>
    </row>
    <row r="7" spans="1:12" ht="13.2">
      <c r="A7" s="3303"/>
      <c r="B7" s="3290"/>
      <c r="C7" s="3308"/>
      <c r="D7" s="3326"/>
      <c r="E7" s="122" t="s">
        <v>1271</v>
      </c>
      <c r="F7" s="1626"/>
      <c r="G7" s="1626"/>
      <c r="H7" s="1626"/>
      <c r="I7" s="1280"/>
    </row>
    <row r="8" spans="1:12" ht="13.2">
      <c r="A8" s="3303" t="s">
        <v>1272</v>
      </c>
      <c r="B8" s="3290">
        <v>15</v>
      </c>
      <c r="C8" s="3306"/>
      <c r="D8" s="3326"/>
      <c r="E8" s="122" t="s">
        <v>1273</v>
      </c>
      <c r="F8" s="1626"/>
      <c r="G8" s="1626"/>
      <c r="H8" s="1626"/>
      <c r="I8" s="1280"/>
    </row>
    <row r="9" spans="1:12" ht="13.2">
      <c r="A9" s="3303"/>
      <c r="B9" s="3290"/>
      <c r="C9" s="3308"/>
      <c r="D9" s="3326"/>
      <c r="E9" s="122" t="s">
        <v>1274</v>
      </c>
      <c r="F9" s="1626"/>
      <c r="G9" s="1626"/>
      <c r="H9" s="1626"/>
      <c r="I9" s="1280"/>
    </row>
    <row r="10" spans="1:12" ht="13.2">
      <c r="A10" s="3303" t="s">
        <v>1275</v>
      </c>
      <c r="B10" s="3290">
        <v>15</v>
      </c>
      <c r="C10" s="3306"/>
      <c r="D10" s="3326"/>
      <c r="E10" s="122" t="s">
        <v>1276</v>
      </c>
      <c r="F10" s="1626"/>
      <c r="G10" s="1626"/>
      <c r="H10" s="1626"/>
      <c r="I10" s="1280"/>
    </row>
    <row r="11" spans="1:12" ht="13.2">
      <c r="A11" s="3303"/>
      <c r="B11" s="3290"/>
      <c r="C11" s="3308"/>
      <c r="D11" s="3326"/>
      <c r="E11" s="122" t="s">
        <v>1277</v>
      </c>
      <c r="F11" s="1626"/>
      <c r="G11" s="1626"/>
      <c r="H11" s="1626"/>
      <c r="I11" s="1280"/>
    </row>
    <row r="12" spans="1:12" ht="13.2">
      <c r="A12" s="3303" t="s">
        <v>1278</v>
      </c>
      <c r="B12" s="3290">
        <v>15</v>
      </c>
      <c r="C12" s="3306"/>
      <c r="D12" s="3326"/>
      <c r="E12" s="122" t="s">
        <v>1279</v>
      </c>
      <c r="F12" s="1626"/>
      <c r="G12" s="1626"/>
      <c r="H12" s="1626"/>
      <c r="I12" s="1280"/>
    </row>
    <row r="13" spans="1:12" ht="13.2">
      <c r="A13" s="3303"/>
      <c r="B13" s="3290"/>
      <c r="C13" s="3308"/>
      <c r="D13" s="3326"/>
      <c r="E13" s="122" t="s">
        <v>1280</v>
      </c>
      <c r="F13" s="1626"/>
      <c r="G13" s="1626"/>
      <c r="H13" s="1626"/>
      <c r="I13" s="1280"/>
    </row>
    <row r="14" spans="1:12" ht="13.2">
      <c r="A14" s="3303" t="s">
        <v>1281</v>
      </c>
      <c r="B14" s="3290">
        <v>30</v>
      </c>
      <c r="C14" s="3306">
        <v>6</v>
      </c>
      <c r="D14" s="3326">
        <v>4</v>
      </c>
      <c r="E14" s="122" t="s">
        <v>1282</v>
      </c>
      <c r="F14" s="1626"/>
      <c r="G14" s="1626"/>
      <c r="H14" s="1626"/>
      <c r="I14" s="1280"/>
    </row>
    <row r="15" spans="1:12" ht="13.2">
      <c r="A15" s="3303"/>
      <c r="B15" s="3290"/>
      <c r="C15" s="3307"/>
      <c r="D15" s="3326"/>
      <c r="E15" s="122" t="s">
        <v>1283</v>
      </c>
      <c r="F15" s="1626"/>
      <c r="G15" s="1626"/>
      <c r="H15" s="1626"/>
      <c r="I15" s="1280"/>
    </row>
    <row r="16" spans="1:12" ht="13.2">
      <c r="A16" s="3303"/>
      <c r="B16" s="3290"/>
      <c r="C16" s="3308"/>
      <c r="D16" s="3326"/>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13" t="s">
        <v>2131</v>
      </c>
      <c r="F18" s="3314"/>
      <c r="G18" s="3314"/>
      <c r="H18" s="3314"/>
      <c r="I18" s="3314"/>
      <c r="K18" s="293" t="s">
        <v>1289</v>
      </c>
      <c r="L18" s="293">
        <f>IF(C1="",'数据-汇总表'!E3,SUMIF(项目类型,C1,'数据-汇总表'!E17:E26)+SUMIF(项目类型,C1,'数据-汇总表'!I17:I26))</f>
        <v>156.33000000000001</v>
      </c>
      <c r="M18" s="293">
        <f>IF(C1="",'数据-汇总表'!E3,SUMIF(项目类型,C1,'数据-汇总表'!E17:E26))</f>
        <v>156.33000000000001</v>
      </c>
    </row>
    <row r="19" spans="1:36" ht="14.4">
      <c r="A19" s="1629" t="s">
        <v>1290</v>
      </c>
      <c r="B19" s="1630" t="s">
        <v>1291</v>
      </c>
      <c r="C19" s="125">
        <f ca="1">SUMIF(INDIRECT("'"&amp;C4&amp;"'"&amp;"!A:A"),结果表1号!B19,INDIRECT("'"&amp;C4&amp;"'"&amp;"!B:B"))</f>
        <v>253.27019999999999</v>
      </c>
      <c r="D19" s="126">
        <f ca="1">SUMIF(INDIRECT("'"&amp;D4&amp;"'"&amp;"!A:A"),结果表1号!B19,INDIRECT("'"&amp;D4&amp;"'"&amp;"!B:B"))</f>
        <v>94.671499999999995</v>
      </c>
      <c r="E19" s="1629" t="s">
        <v>1292</v>
      </c>
      <c r="F19" s="1630" t="s">
        <v>1291</v>
      </c>
      <c r="G19" s="127">
        <f ca="1">ROUND(C19*$C$18+D19*$D$18,0)</f>
        <v>190</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SUMIF(INDIRECT("'"&amp;C4&amp;"'"&amp;"!A:A"),结果表1号!B20,INDIRECT("'"&amp;C4&amp;"'"&amp;"!B:B"))</f>
        <v>16201</v>
      </c>
      <c r="D20" s="129">
        <f ca="1">SUMIF(INDIRECT("'"&amp;D4&amp;"'"&amp;"!A:A"),结果表1号!B20,INDIRECT("'"&amp;D4&amp;"'"&amp;"!B:B"))</f>
        <v>6056</v>
      </c>
      <c r="E20" s="1632"/>
      <c r="F20" s="43" t="s">
        <v>1295</v>
      </c>
      <c r="G20" s="130">
        <f ca="1">ROUND(C20*$C$18+D20*$D$18,0)</f>
        <v>12143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1.6752528480059996</v>
      </c>
      <c r="E22" s="120"/>
      <c r="F22" s="120"/>
      <c r="G22" s="120"/>
      <c r="H22" s="120"/>
      <c r="I22" s="120"/>
    </row>
    <row r="23" spans="1:36" ht="13.8" thickBot="1">
      <c r="A23" s="645"/>
      <c r="B23" s="645"/>
      <c r="C23" s="645"/>
      <c r="D23" s="645"/>
      <c r="E23" s="120"/>
      <c r="F23" s="120"/>
      <c r="G23" s="120"/>
      <c r="H23" s="120"/>
      <c r="I23" s="120"/>
    </row>
    <row r="24" spans="1:36" ht="14.4">
      <c r="A24" s="3297" t="s">
        <v>1299</v>
      </c>
      <c r="B24" s="1630" t="s">
        <v>1291</v>
      </c>
      <c r="C24" s="127">
        <f>IF(B30=0,0,D30)</f>
        <v>0</v>
      </c>
      <c r="D24" s="1636"/>
      <c r="E24" s="120"/>
      <c r="F24" s="120"/>
      <c r="G24" s="120"/>
      <c r="H24" s="120"/>
      <c r="I24" s="120"/>
    </row>
    <row r="25" spans="1:36" ht="14.4">
      <c r="A25" s="329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12143</v>
      </c>
      <c r="D32" s="1640" t="s">
        <v>3405</v>
      </c>
      <c r="E32" s="120"/>
      <c r="F32" s="120"/>
      <c r="G32" s="120"/>
      <c r="H32" s="120"/>
      <c r="I32" s="120"/>
    </row>
    <row r="33" spans="1:15" ht="14.4">
      <c r="A33" s="739" t="s">
        <v>1306</v>
      </c>
      <c r="B33" s="122"/>
      <c r="C33" s="1641" t="s">
        <v>3406</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317" t="s">
        <v>1312</v>
      </c>
      <c r="B36" s="1651" t="s">
        <v>1313</v>
      </c>
      <c r="C36" s="136"/>
      <c r="D36" s="1652"/>
      <c r="E36" s="1566"/>
      <c r="F36" s="1653"/>
      <c r="G36" s="120"/>
      <c r="H36" s="120"/>
      <c r="I36" s="120"/>
    </row>
    <row r="37" spans="1:15" ht="15" thickBot="1">
      <c r="A37" s="3318"/>
      <c r="B37" s="1554" t="s">
        <v>1314</v>
      </c>
      <c r="C37" s="138"/>
      <c r="D37" s="1070"/>
      <c r="E37" s="1070"/>
      <c r="F37" s="1653"/>
      <c r="G37" s="120"/>
      <c r="H37" s="120"/>
      <c r="I37" s="120"/>
    </row>
    <row r="38" spans="1:15" ht="15" thickBot="1">
      <c r="A38" s="3319"/>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4" t="s">
        <v>1326</v>
      </c>
      <c r="B45" s="3295"/>
      <c r="C45" s="3296"/>
      <c r="D45" s="146">
        <f ca="1">ROUND(H101*F45,0)</f>
        <v>190</v>
      </c>
      <c r="E45" s="147" t="s">
        <v>1327</v>
      </c>
      <c r="F45" s="148">
        <v>1</v>
      </c>
      <c r="G45" s="149" t="s">
        <v>1328</v>
      </c>
      <c r="H45" s="120"/>
      <c r="I45" s="120"/>
      <c r="J45" s="3372" t="s">
        <v>1329</v>
      </c>
      <c r="K45" s="3372"/>
      <c r="L45" s="3372"/>
      <c r="M45" s="3372"/>
      <c r="N45" s="3372"/>
      <c r="O45" s="3372"/>
    </row>
    <row r="46" spans="1:15" ht="14.25" customHeight="1">
      <c r="A46" s="3291" t="s">
        <v>1330</v>
      </c>
      <c r="B46" s="3292"/>
      <c r="C46" s="3292"/>
      <c r="D46" s="3292"/>
      <c r="E46" s="3292"/>
      <c r="F46" s="3292"/>
      <c r="G46" s="3293"/>
      <c r="H46" s="1667"/>
      <c r="I46" s="150"/>
      <c r="J46" s="2308">
        <v>1</v>
      </c>
      <c r="K46" s="3353" t="s">
        <v>1331</v>
      </c>
      <c r="L46" s="3353"/>
      <c r="M46" s="3373"/>
      <c r="N46" s="3373"/>
      <c r="O46" s="3373"/>
    </row>
    <row r="47" spans="1:15" ht="12" customHeight="1">
      <c r="A47" s="151" t="s">
        <v>1332</v>
      </c>
      <c r="B47" s="152"/>
      <c r="C47" s="153"/>
      <c r="D47" s="1023" t="s">
        <v>1333</v>
      </c>
      <c r="E47" s="293" t="s">
        <v>1334</v>
      </c>
      <c r="F47" s="154" t="s">
        <v>1335</v>
      </c>
      <c r="G47" s="2331" t="s">
        <v>1336</v>
      </c>
      <c r="H47" s="2332"/>
      <c r="I47" s="150"/>
      <c r="J47" s="2308">
        <v>2</v>
      </c>
      <c r="K47" s="3353" t="s">
        <v>1337</v>
      </c>
      <c r="L47" s="3353"/>
      <c r="M47" s="3374">
        <f>'数据-取费表'!B2</f>
        <v>45562</v>
      </c>
      <c r="N47" s="3374"/>
      <c r="O47" s="3374"/>
    </row>
    <row r="48" spans="1:15" ht="26.4">
      <c r="A48" s="3322" t="s">
        <v>1338</v>
      </c>
      <c r="B48" s="3305"/>
      <c r="C48" s="3305"/>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53" t="s">
        <v>1340</v>
      </c>
      <c r="L48" s="3353"/>
      <c r="M48" s="3375">
        <f ca="1">H101</f>
        <v>190</v>
      </c>
      <c r="N48" s="3375"/>
      <c r="O48" s="3375"/>
    </row>
    <row r="49" spans="1:35" ht="25.5" customHeight="1">
      <c r="A49" s="2151" t="s">
        <v>1341</v>
      </c>
      <c r="B49" s="3289" t="s">
        <v>1342</v>
      </c>
      <c r="C49" s="3289"/>
      <c r="D49" s="1477">
        <v>0</v>
      </c>
      <c r="E49" s="315" t="s">
        <v>1343</v>
      </c>
      <c r="F49" s="2231" t="s">
        <v>28</v>
      </c>
      <c r="G49" s="3359"/>
      <c r="H49" s="2133" t="s">
        <v>2134</v>
      </c>
      <c r="I49" s="2134"/>
      <c r="J49" s="2308">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6"/>
      <c r="B50" s="3289" t="s">
        <v>1344</v>
      </c>
      <c r="C50" s="3289"/>
      <c r="D50" s="2188"/>
      <c r="E50" s="322"/>
      <c r="F50" s="2231"/>
      <c r="G50" s="3360"/>
      <c r="H50" s="2135" t="s">
        <v>2135</v>
      </c>
      <c r="I50" s="2134"/>
      <c r="J50" s="3372" t="s">
        <v>1345</v>
      </c>
      <c r="K50" s="3372"/>
      <c r="L50" s="3372"/>
      <c r="M50" s="3372"/>
      <c r="N50" s="3372"/>
      <c r="O50" s="3372"/>
    </row>
    <row r="51" spans="1:35" ht="20.399999999999999" customHeight="1">
      <c r="A51" s="2337"/>
      <c r="B51" s="3289" t="s">
        <v>1346</v>
      </c>
      <c r="C51" s="3289"/>
      <c r="D51" s="1023"/>
      <c r="E51" s="318"/>
      <c r="F51" s="2231"/>
      <c r="G51" s="3361"/>
      <c r="H51" s="2135" t="s">
        <v>2136</v>
      </c>
      <c r="I51" s="2134"/>
      <c r="J51" s="2309" t="s">
        <v>1347</v>
      </c>
      <c r="K51" s="3353" t="s">
        <v>1348</v>
      </c>
      <c r="L51" s="3353"/>
      <c r="M51" s="2309" t="s">
        <v>1349</v>
      </c>
      <c r="N51" s="2309" t="s">
        <v>1350</v>
      </c>
      <c r="O51" s="2309" t="s">
        <v>1351</v>
      </c>
    </row>
    <row r="52" spans="1:35" ht="24" customHeight="1">
      <c r="A52" s="2152" t="s">
        <v>1352</v>
      </c>
      <c r="B52" s="3289" t="s">
        <v>1353</v>
      </c>
      <c r="C52" s="3289"/>
      <c r="D52" s="1023">
        <f ca="1">ROUND(D45*'数据-取费表'!B41/(1+'数据-取费表'!C42),0)</f>
        <v>10</v>
      </c>
      <c r="E52" s="1255" t="s">
        <v>1354</v>
      </c>
      <c r="F52" s="2338">
        <f>'数据-取费表'!B41</f>
        <v>5.5000000000000007E-2</v>
      </c>
      <c r="G52" s="2339"/>
      <c r="H52" s="2329"/>
      <c r="I52" s="1668"/>
      <c r="J52" s="2308">
        <v>1</v>
      </c>
      <c r="K52" s="3354" t="s">
        <v>1355</v>
      </c>
      <c r="L52" s="3354"/>
      <c r="M52" s="2310" t="b">
        <f>D48</f>
        <v>0</v>
      </c>
      <c r="N52" s="2308" t="str">
        <f>E48</f>
        <v>销售额×税（费）率</v>
      </c>
      <c r="O52" s="2311">
        <f>F48</f>
        <v>5.5000000000000007E-2</v>
      </c>
    </row>
    <row r="53" spans="1:35" ht="12" customHeight="1">
      <c r="A53" s="2152" t="s">
        <v>1356</v>
      </c>
      <c r="B53" s="3315" t="s">
        <v>2289</v>
      </c>
      <c r="C53" s="3316"/>
      <c r="D53" s="1023">
        <f ca="1">ROUND(D45*'数据-取费表'!B41/(1+'数据-取费表'!C42),0)</f>
        <v>10</v>
      </c>
      <c r="E53" s="1255" t="s">
        <v>1354</v>
      </c>
      <c r="F53" s="2338">
        <f>'数据-取费表'!B41</f>
        <v>5.5000000000000007E-2</v>
      </c>
      <c r="G53" s="2339"/>
      <c r="H53" s="2329"/>
      <c r="I53" s="1668"/>
      <c r="J53" s="2308">
        <v>2</v>
      </c>
      <c r="K53" s="3354" t="s">
        <v>1357</v>
      </c>
      <c r="L53" s="3354"/>
      <c r="M53" s="2310">
        <f t="shared" ref="M53:O54" ca="1" si="0">D55</f>
        <v>0</v>
      </c>
      <c r="N53" s="2308" t="str">
        <f t="shared" si="0"/>
        <v>销售额×税（费）率</v>
      </c>
      <c r="O53" s="2311" t="str">
        <f t="shared" si="0"/>
        <v>免征</v>
      </c>
    </row>
    <row r="54" spans="1:35" ht="12" customHeight="1">
      <c r="A54" s="2152" t="s">
        <v>1358</v>
      </c>
      <c r="B54" s="3315" t="s">
        <v>2290</v>
      </c>
      <c r="C54" s="3316"/>
      <c r="D54" s="1023">
        <f ca="1">C68</f>
        <v>10</v>
      </c>
      <c r="E54" s="318" t="s">
        <v>1359</v>
      </c>
      <c r="F54" s="2338">
        <f>'数据-取费表'!B41</f>
        <v>5.5000000000000007E-2</v>
      </c>
      <c r="G54" s="2339"/>
      <c r="H54" s="2340"/>
      <c r="I54" s="1668"/>
      <c r="J54" s="2308">
        <v>3</v>
      </c>
      <c r="K54" s="3354" t="s">
        <v>1360</v>
      </c>
      <c r="L54" s="3354"/>
      <c r="M54" s="2310">
        <f t="shared" ca="1" si="0"/>
        <v>108</v>
      </c>
      <c r="N54" s="2308" t="str">
        <f t="shared" si="0"/>
        <v>增值额×税（费）率</v>
      </c>
      <c r="O54" s="2312" t="str">
        <f t="shared" si="0"/>
        <v>免征</v>
      </c>
    </row>
    <row r="55" spans="1:35" ht="24" customHeight="1">
      <c r="A55" s="3304" t="s">
        <v>1361</v>
      </c>
      <c r="B55" s="3305"/>
      <c r="C55" s="3305"/>
      <c r="D55" s="12">
        <f ca="1">IF(H55="个人住宅",0,ROUND(D45*I55,0))</f>
        <v>0</v>
      </c>
      <c r="E55" s="1255" t="s">
        <v>1362</v>
      </c>
      <c r="F55" s="2338" t="str">
        <f>IF(H55="正常",I55,"免征")</f>
        <v>免征</v>
      </c>
      <c r="G55" s="2339"/>
      <c r="H55" s="2335"/>
      <c r="I55" s="156">
        <f>'数据-取费表'!B49</f>
        <v>5.0000000000000001E-4</v>
      </c>
      <c r="J55" s="2308">
        <f>IF(H59="非个人房产","",4)</f>
        <v>4</v>
      </c>
      <c r="K55" s="3354" t="str">
        <f>IF(H59="非个人房产","——","个人所得税")</f>
        <v>个人所得税</v>
      </c>
      <c r="L55" s="3354"/>
      <c r="M55" s="2313">
        <f ca="1">D59</f>
        <v>2</v>
      </c>
      <c r="N55" s="1882" t="str">
        <f>E59</f>
        <v>差额计税</v>
      </c>
      <c r="O55" s="2314">
        <f>F59</f>
        <v>0.01</v>
      </c>
    </row>
    <row r="56" spans="1:35" ht="25.2">
      <c r="A56" s="3304" t="s">
        <v>1363</v>
      </c>
      <c r="B56" s="3305"/>
      <c r="C56" s="3305"/>
      <c r="D56" s="12">
        <f ca="1">IF(H56="个人住宅",D57,D58)</f>
        <v>108</v>
      </c>
      <c r="E56" s="1255" t="s">
        <v>1364</v>
      </c>
      <c r="F56" s="2338" t="str">
        <f>IF(H56="正常",F58,"免征")</f>
        <v>免征</v>
      </c>
      <c r="G56" s="2341" t="s">
        <v>1365</v>
      </c>
      <c r="H56" s="2342"/>
      <c r="I56" s="1669"/>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3.2">
      <c r="A57" s="2152" t="s">
        <v>1341</v>
      </c>
      <c r="B57" s="3315" t="s">
        <v>1366</v>
      </c>
      <c r="C57" s="3316"/>
      <c r="D57" s="1477">
        <v>0</v>
      </c>
      <c r="E57" s="315" t="s">
        <v>1343</v>
      </c>
      <c r="F57" s="293"/>
      <c r="G57" s="2339"/>
      <c r="H57" s="2343"/>
      <c r="I57" s="1669"/>
      <c r="J57" s="3354">
        <f>IF(AND(J55="",J56=""),4,IF(项目基本情况!K6="上海银行",结果表1号!J56+1,结果表1号!J55+1))</f>
        <v>5</v>
      </c>
      <c r="K57" s="3354" t="s">
        <v>1367</v>
      </c>
      <c r="L57" s="2315" t="s">
        <v>1368</v>
      </c>
      <c r="M57" s="2316"/>
      <c r="N57" s="2317">
        <f ca="1">SUMIF(M52:M56,"&lt;9e307")</f>
        <v>110</v>
      </c>
      <c r="O57" s="2318"/>
      <c r="P57" s="2462" t="e">
        <f ca="1">N57/M49</f>
        <v>#VALUE!</v>
      </c>
    </row>
    <row r="58" spans="1:35" ht="25.2">
      <c r="A58" s="2152" t="s">
        <v>1352</v>
      </c>
      <c r="B58" s="3315" t="s">
        <v>1369</v>
      </c>
      <c r="C58" s="3289"/>
      <c r="D58" s="12">
        <f ca="1">IF(H58="转让取得",C81,C97)</f>
        <v>108</v>
      </c>
      <c r="E58" s="1255" t="s">
        <v>1364</v>
      </c>
      <c r="F58" s="293" t="s">
        <v>28</v>
      </c>
      <c r="G58" s="2339"/>
      <c r="H58" s="2342"/>
      <c r="I58" s="1669"/>
      <c r="J58" s="3354"/>
      <c r="K58" s="3354"/>
      <c r="L58" s="2315" t="s">
        <v>1370</v>
      </c>
      <c r="M58" s="2319"/>
      <c r="N58" s="2320" t="str">
        <f ca="1">NUMBERSTRING(INT(N57*10000),2)&amp;"元整"</f>
        <v>壹佰壹拾万元整</v>
      </c>
      <c r="O58" s="2321"/>
    </row>
    <row r="59" spans="1:35" ht="24.6" thickBot="1">
      <c r="A59" s="3357" t="s">
        <v>1371</v>
      </c>
      <c r="B59" s="3358"/>
      <c r="C59" s="3358"/>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55">
        <f>J57+1</f>
        <v>6</v>
      </c>
      <c r="K59" s="3354" t="s">
        <v>1372</v>
      </c>
      <c r="L59" s="2308" t="s">
        <v>1368</v>
      </c>
      <c r="M59" s="2322"/>
      <c r="N59" s="2323" t="e">
        <f ca="1">M49-N57</f>
        <v>#VALUE!</v>
      </c>
      <c r="O59" s="2324"/>
    </row>
    <row r="60" spans="1:35" ht="12" customHeight="1">
      <c r="A60" s="1670"/>
      <c r="B60" s="645"/>
      <c r="C60" s="645"/>
      <c r="D60" s="645"/>
      <c r="E60" s="1465"/>
      <c r="F60" s="1669"/>
      <c r="G60" s="1669"/>
      <c r="H60" s="150"/>
      <c r="I60" s="120"/>
      <c r="J60" s="3356"/>
      <c r="K60" s="3354"/>
      <c r="L60" s="2315" t="s">
        <v>1370</v>
      </c>
      <c r="M60" s="2319"/>
      <c r="N60" s="2320" t="e">
        <f ca="1">NUMBERSTRING(INT(N59*10000),2)&amp;"元整"</f>
        <v>#VALUE!</v>
      </c>
      <c r="O60" s="2321"/>
    </row>
    <row r="61" spans="1:35" ht="13.8" thickBot="1">
      <c r="A61" s="3302" t="s">
        <v>1373</v>
      </c>
      <c r="B61" s="3302"/>
      <c r="C61" s="3302"/>
      <c r="D61" s="3302"/>
      <c r="E61" s="3302"/>
      <c r="F61" s="1669"/>
      <c r="G61" s="1669"/>
      <c r="H61" s="150"/>
      <c r="I61" s="120"/>
      <c r="J61" s="2308">
        <f>J59+1</f>
        <v>7</v>
      </c>
      <c r="K61" s="3354" t="s">
        <v>1374</v>
      </c>
      <c r="L61" s="3354"/>
      <c r="M61" s="2325"/>
      <c r="N61" s="2326" t="e">
        <f ca="1">ROUND(N59*10000/'数据-汇总表'!E3,0)</f>
        <v>#VALUE!</v>
      </c>
      <c r="O61" s="2327"/>
    </row>
    <row r="62" spans="1:35" ht="13.2">
      <c r="A62" s="3320" t="s">
        <v>1375</v>
      </c>
      <c r="B62" s="3321"/>
      <c r="C62" s="1864"/>
      <c r="D62" s="1864" t="s">
        <v>1376</v>
      </c>
      <c r="E62" s="157" t="s">
        <v>1377</v>
      </c>
      <c r="F62" s="1669"/>
      <c r="G62" s="1669"/>
      <c r="H62" s="150"/>
      <c r="I62" s="120"/>
    </row>
    <row r="63" spans="1:35" ht="13.2">
      <c r="A63" s="164" t="s">
        <v>330</v>
      </c>
      <c r="B63" s="158" t="s">
        <v>1378</v>
      </c>
      <c r="C63" s="2348">
        <f ca="1">ROUND((C64+C65)/(1+'数据-取费表'!C42),0)</f>
        <v>181</v>
      </c>
      <c r="D63" s="158"/>
      <c r="E63" s="159"/>
      <c r="F63" s="1669"/>
      <c r="G63" s="1669"/>
      <c r="H63" s="150"/>
      <c r="I63" s="120"/>
      <c r="J63" s="3379" t="s">
        <v>1379</v>
      </c>
      <c r="K63" s="1244" t="s">
        <v>1380</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1381</v>
      </c>
      <c r="C64" s="2349">
        <f ca="1">D45</f>
        <v>190</v>
      </c>
      <c r="D64" s="161" t="s">
        <v>26</v>
      </c>
      <c r="E64" s="163"/>
      <c r="F64" s="1669"/>
      <c r="G64" s="1669"/>
      <c r="H64" s="150"/>
      <c r="I64" s="120"/>
      <c r="J64" s="337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1383</v>
      </c>
      <c r="Z64" s="1622"/>
      <c r="AI64" s="1560"/>
    </row>
    <row r="65" spans="1:35" ht="14.25" customHeight="1">
      <c r="A65" s="160" t="s">
        <v>326</v>
      </c>
      <c r="B65" s="161" t="s">
        <v>1384</v>
      </c>
      <c r="C65" s="2350"/>
      <c r="D65" s="161"/>
      <c r="E65" s="163"/>
      <c r="F65" s="1669"/>
      <c r="G65" s="1669"/>
      <c r="H65" s="150"/>
      <c r="I65" s="120"/>
      <c r="J65" s="3379"/>
      <c r="K65" s="1244" t="s">
        <v>1385</v>
      </c>
      <c r="L65" s="1244" t="e">
        <f>IF(M49&gt;1000,M49*0.1%,IF(AND(M49&gt;500,M49&lt;=1000),M49*0.5%,IF(AND(M49&gt;50,M49&lt;=500),M49*1%,IF(AND(M49&gt;1,M49&lt;=50),M49*1.5%))))</f>
        <v>#VALUE!</v>
      </c>
      <c r="M65" s="293" t="e">
        <f t="shared" si="1"/>
        <v>#VALUE!</v>
      </c>
      <c r="N65" s="2329" t="s">
        <v>1383</v>
      </c>
      <c r="Z65" s="1622"/>
      <c r="AI65" s="1560"/>
    </row>
    <row r="66" spans="1:35" ht="14.25" customHeight="1">
      <c r="A66" s="164" t="s">
        <v>327</v>
      </c>
      <c r="B66" s="165" t="s">
        <v>1386</v>
      </c>
      <c r="C66" s="2351"/>
      <c r="D66" s="165" t="s">
        <v>26</v>
      </c>
      <c r="E66" s="1250" t="s">
        <v>671</v>
      </c>
      <c r="F66" s="1669"/>
      <c r="G66" s="1669"/>
      <c r="H66" s="150"/>
      <c r="I66" s="120"/>
      <c r="J66" s="3379"/>
      <c r="K66" s="1244" t="s">
        <v>1387</v>
      </c>
      <c r="L66" s="1244" t="e">
        <f>M49*0.5%</f>
        <v>#VALUE!</v>
      </c>
      <c r="M66" s="293" t="e">
        <f>IF(L66&gt;0.5,0.5,ROUND(L66,0))</f>
        <v>#VALUE!</v>
      </c>
      <c r="N66" s="2329" t="s">
        <v>1388</v>
      </c>
      <c r="Z66" s="1622"/>
      <c r="AI66" s="1560"/>
    </row>
    <row r="67" spans="1:35" ht="14.25" customHeight="1">
      <c r="A67" s="164" t="s">
        <v>328</v>
      </c>
      <c r="B67" s="165" t="s">
        <v>1389</v>
      </c>
      <c r="C67" s="2352">
        <f ca="1">C63-C66</f>
        <v>181</v>
      </c>
      <c r="D67" s="161" t="s">
        <v>26</v>
      </c>
      <c r="E67" s="163"/>
      <c r="F67" s="1669"/>
      <c r="G67" s="1669"/>
      <c r="H67" s="150"/>
      <c r="I67" s="120"/>
      <c r="J67" s="337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1391</v>
      </c>
      <c r="C68" s="2353">
        <f ca="1">IF(C67&lt;=0,0,ROUND(C67*D68,0))</f>
        <v>10</v>
      </c>
      <c r="D68" s="2354">
        <f>'数据-取费表'!B41</f>
        <v>5.5000000000000007E-2</v>
      </c>
      <c r="E68" s="169"/>
      <c r="F68" s="1669"/>
      <c r="G68" s="1669"/>
      <c r="H68" s="150"/>
      <c r="I68" s="120"/>
      <c r="J68" s="3379"/>
      <c r="K68" s="1244" t="s">
        <v>1392</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379"/>
      <c r="K69" s="1244" t="s">
        <v>1393</v>
      </c>
      <c r="L69" s="1244"/>
      <c r="M69" s="293" t="e">
        <f>ROUND(SUM(M63:M68),0)</f>
        <v>#VALUE!</v>
      </c>
      <c r="N69" s="2330" t="e">
        <f>M69/M49</f>
        <v>#VALUE!</v>
      </c>
      <c r="Z69" s="1622"/>
      <c r="AI69" s="1560"/>
    </row>
    <row r="70" spans="1:35" s="641" customFormat="1" ht="14.4" thickBot="1">
      <c r="A70" s="3341" t="s">
        <v>1394</v>
      </c>
      <c r="B70" s="3342"/>
      <c r="C70" s="3342"/>
      <c r="D70" s="3342"/>
      <c r="E70" s="3342"/>
      <c r="F70" s="3342"/>
      <c r="G70" s="3342"/>
      <c r="H70" s="334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0" t="s">
        <v>1375</v>
      </c>
      <c r="B71" s="332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181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5" t="s">
        <v>1402</v>
      </c>
      <c r="F76" s="3289"/>
      <c r="G76" s="3289"/>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1</v>
      </c>
      <c r="D78" s="2361">
        <f>'数据-取费表'!B43</f>
        <v>5.000000000000001E-3</v>
      </c>
      <c r="E78" s="3299" t="s">
        <v>1406</v>
      </c>
      <c r="F78" s="3300"/>
      <c r="G78" s="3300"/>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180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180</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108</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0" t="s">
        <v>1375</v>
      </c>
      <c r="B84" s="332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181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1</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81" t="s">
        <v>2129</v>
      </c>
      <c r="H90" s="3382"/>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99" t="s">
        <v>1422</v>
      </c>
      <c r="F92" s="3300"/>
      <c r="G92" s="3300"/>
      <c r="H92" s="3309"/>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1</v>
      </c>
      <c r="D93" s="2361">
        <f>'数据-取费表'!B43</f>
        <v>5.000000000000001E-3</v>
      </c>
      <c r="E93" s="3299" t="s">
        <v>1406</v>
      </c>
      <c r="F93" s="3300"/>
      <c r="G93" s="3300"/>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10" t="s">
        <v>1426</v>
      </c>
      <c r="F94" s="3311"/>
      <c r="G94" s="3311"/>
      <c r="H94" s="331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180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180</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108</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3" t="s">
        <v>1428</v>
      </c>
      <c r="B100" s="3274"/>
      <c r="C100" s="3274"/>
      <c r="D100" s="3301"/>
      <c r="E100" s="3274" t="s">
        <v>1429</v>
      </c>
      <c r="F100" s="3274"/>
      <c r="G100" s="3274"/>
      <c r="H100" s="3301"/>
      <c r="I100" s="120"/>
    </row>
    <row r="101" spans="1:35" ht="18.75" customHeight="1">
      <c r="A101" s="3362" t="s">
        <v>1430</v>
      </c>
      <c r="B101" s="3363"/>
      <c r="C101" s="2369" t="str">
        <f>C4</f>
        <v>比较法-商业1号</v>
      </c>
      <c r="D101" s="2370" t="str">
        <f>D4</f>
        <v>收益法 (元)1号</v>
      </c>
      <c r="E101" s="3376" t="s">
        <v>1431</v>
      </c>
      <c r="F101" s="3333"/>
      <c r="G101" s="1686" t="s">
        <v>1432</v>
      </c>
      <c r="H101" s="2379">
        <f ca="1">H118</f>
        <v>190</v>
      </c>
      <c r="I101" s="120"/>
    </row>
    <row r="102" spans="1:35" ht="18.75" customHeight="1">
      <c r="A102" s="3335" t="s">
        <v>1433</v>
      </c>
      <c r="B102" s="2368" t="s">
        <v>1432</v>
      </c>
      <c r="C102" s="2369">
        <f ca="1">IF(D32="楼面单价",ROUND(C19,0),C19)</f>
        <v>253</v>
      </c>
      <c r="D102" s="2370">
        <f ca="1">IF(D32="楼面单价",ROUND(D19,0),D19)</f>
        <v>95</v>
      </c>
      <c r="E102" s="3376"/>
      <c r="F102" s="3333"/>
      <c r="G102" s="1686" t="s">
        <v>1434</v>
      </c>
      <c r="H102" s="2339">
        <f ca="1">I118</f>
        <v>12143</v>
      </c>
      <c r="I102" s="120"/>
    </row>
    <row r="103" spans="1:35" ht="42.75" customHeight="1">
      <c r="A103" s="3335"/>
      <c r="B103" s="2368" t="s">
        <v>1434</v>
      </c>
      <c r="C103" s="2371">
        <f ca="1">C20</f>
        <v>16201</v>
      </c>
      <c r="D103" s="2372">
        <f ca="1">D20</f>
        <v>6056</v>
      </c>
      <c r="E103" s="3370" t="s">
        <v>1435</v>
      </c>
      <c r="F103" s="3371"/>
      <c r="G103" s="1687" t="s">
        <v>1436</v>
      </c>
      <c r="H103" s="2379">
        <f>IF(D36="正常操作",H104+H105+H106,H105+H106)</f>
        <v>0</v>
      </c>
      <c r="I103" s="120"/>
    </row>
    <row r="104" spans="1:35" ht="18.75" customHeight="1">
      <c r="A104" s="3335" t="s">
        <v>1437</v>
      </c>
      <c r="B104" s="2373" t="s">
        <v>1432</v>
      </c>
      <c r="C104" s="2374">
        <f ca="1">H118</f>
        <v>190</v>
      </c>
      <c r="D104" s="2375"/>
      <c r="E104" s="1554" t="s">
        <v>1438</v>
      </c>
      <c r="F104" s="1547"/>
      <c r="G104" s="1687" t="s">
        <v>1436</v>
      </c>
      <c r="H104" s="2380">
        <f>IF(D36="同一抵押权人同一抵押物续贷",C36&amp;"（续贷，未扣减，详见特别提示）",C36)</f>
        <v>0</v>
      </c>
      <c r="I104" s="120"/>
    </row>
    <row r="105" spans="1:35" ht="18.75" customHeight="1" thickBot="1">
      <c r="A105" s="3336"/>
      <c r="B105" s="2376" t="s">
        <v>1434</v>
      </c>
      <c r="C105" s="2377">
        <f ca="1">I118</f>
        <v>12143</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32" t="str">
        <f>IF(项目基本情况!E8="已注销","——","3.房地产抵押价值")</f>
        <v>3.房地产抵押价值</v>
      </c>
      <c r="F107" s="3333"/>
      <c r="G107" s="1686" t="s">
        <v>1432</v>
      </c>
      <c r="H107" s="2379">
        <f ca="1">IF(E107="——","——",H101-H103)</f>
        <v>190</v>
      </c>
      <c r="I107" s="120"/>
    </row>
    <row r="108" spans="1:35" ht="18.75" customHeight="1">
      <c r="A108" s="120"/>
      <c r="B108" s="120"/>
      <c r="C108" s="120"/>
      <c r="D108" s="120"/>
      <c r="E108" s="3332"/>
      <c r="F108" s="3333"/>
      <c r="G108" s="1686" t="s">
        <v>1434</v>
      </c>
      <c r="H108" s="2339">
        <f ca="1">IF(H107=H101,H102,ROUND(H107*10000/'数据-汇总表'!E3,0))</f>
        <v>12143</v>
      </c>
      <c r="I108" s="120"/>
    </row>
    <row r="109" spans="1:35" ht="18.75" customHeight="1">
      <c r="A109" s="120"/>
      <c r="B109" s="120"/>
      <c r="C109" s="120"/>
      <c r="D109" s="120"/>
      <c r="E109" s="3332" t="str">
        <f>IF(项目基本情况!E8="已注销及未注销","4.抵押担保权已注销时的房地产抵押价值",IF(项目基本情况!E8="已注销","3.抵押担保权已注销时的房地产抵押价值","——"))</f>
        <v>——</v>
      </c>
      <c r="F109" s="3333"/>
      <c r="G109" s="1686" t="s">
        <v>1432</v>
      </c>
      <c r="H109" s="2382" t="str">
        <f>IF(E109="——","——",H101-H105-H106)</f>
        <v>——</v>
      </c>
      <c r="I109" s="120"/>
    </row>
    <row r="110" spans="1:35" ht="18.75" customHeight="1">
      <c r="A110" s="120"/>
      <c r="B110" s="120"/>
      <c r="C110" s="120"/>
      <c r="D110" s="120"/>
      <c r="E110" s="3332"/>
      <c r="F110" s="3333"/>
      <c r="G110" s="1686" t="s">
        <v>1434</v>
      </c>
      <c r="H110" s="2339" t="str">
        <f>IF(H109="——","——",ROUND(H109*10000/'数据-汇总表'!E3,0))</f>
        <v>——</v>
      </c>
      <c r="I110" s="120"/>
    </row>
    <row r="111" spans="1:35" ht="18.75" customHeight="1">
      <c r="A111" s="120"/>
      <c r="B111" s="120"/>
      <c r="C111" s="120"/>
      <c r="D111" s="120"/>
      <c r="E111" s="3364" t="str">
        <f>IF(项目基本情况!E9="抵押净值",IF(OR(项目基本情况!E8="已注销",项目基本情况!E8="房地产抵押价值"),"4.抵押净值","5.抵押净值"),"——")</f>
        <v>——</v>
      </c>
      <c r="F111" s="3334"/>
      <c r="G111" s="1686" t="s">
        <v>1432</v>
      </c>
      <c r="H111" s="2379" t="str">
        <f>IF(E111="——","——",N59)</f>
        <v>——</v>
      </c>
      <c r="I111" s="120"/>
    </row>
    <row r="112" spans="1:35" ht="18.75" customHeight="1" thickBot="1">
      <c r="A112" s="120"/>
      <c r="B112" s="120"/>
      <c r="C112" s="120"/>
      <c r="D112" s="120"/>
      <c r="E112" s="3365"/>
      <c r="F112" s="3366"/>
      <c r="G112" s="1689" t="s">
        <v>1434</v>
      </c>
      <c r="H112" s="2383" t="str">
        <f>IF(E111="——","——",N61)</f>
        <v>——</v>
      </c>
      <c r="I112" s="120"/>
    </row>
    <row r="113" spans="1:27" ht="18.75" customHeight="1">
      <c r="A113" s="120"/>
      <c r="B113" s="120"/>
      <c r="C113" s="120"/>
      <c r="D113" s="120"/>
      <c r="E113" s="3337" t="s">
        <v>1440</v>
      </c>
      <c r="F113" s="3337"/>
      <c r="G113" s="3337"/>
      <c r="H113" s="3337"/>
      <c r="I113" s="120"/>
    </row>
    <row r="114" spans="1:27" ht="3.75" customHeight="1">
      <c r="A114" s="645"/>
      <c r="B114" s="645"/>
      <c r="C114" s="645"/>
      <c r="D114" s="645"/>
      <c r="E114" s="1670"/>
      <c r="F114" s="1670"/>
      <c r="G114" s="1670"/>
      <c r="H114" s="1670"/>
      <c r="I114" s="645"/>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9" t="s">
        <v>1449</v>
      </c>
      <c r="E117" s="2149" t="s">
        <v>1450</v>
      </c>
      <c r="F117" s="2149" t="s">
        <v>1449</v>
      </c>
      <c r="G117" s="2149" t="s">
        <v>1451</v>
      </c>
      <c r="H117" s="2149" t="s">
        <v>1449</v>
      </c>
      <c r="I117" s="2149" t="s">
        <v>1451</v>
      </c>
    </row>
    <row r="118" spans="1:27" ht="24.75" customHeight="1">
      <c r="A118" s="2384" t="str">
        <f>项目基本情况!S2</f>
        <v>北京市延庆县燕水佳园14号楼1至2层1号、2号房地产</v>
      </c>
      <c r="B118" s="2149">
        <f>M18</f>
        <v>156.33000000000001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190</v>
      </c>
      <c r="I118" s="2149">
        <f ca="1">ROUND(IF(D32="楼面单价",C32,H118*10000/B118),0)</f>
        <v>12143</v>
      </c>
    </row>
    <row r="119" spans="1:27" ht="18.75" customHeight="1">
      <c r="A119" s="3303" t="s">
        <v>1452</v>
      </c>
      <c r="B119" s="3303"/>
      <c r="C119" s="3303"/>
      <c r="D119" s="3343" t="str">
        <f>NUMBERSTRING(INT(D118*10000),2)&amp;"元整"</f>
        <v>零元整</v>
      </c>
      <c r="E119" s="3345"/>
      <c r="F119" s="3343" t="str">
        <f>NUMBERSTRING(INT(F118*10000),2)&amp;"元整"</f>
        <v>零元整</v>
      </c>
      <c r="G119" s="3345"/>
      <c r="H119" s="3343" t="str">
        <f ca="1">NUMBERSTRING(INT(H118*10000),2)&amp;"元整"</f>
        <v>壹佰玖拾万元整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3" t="s">
        <v>1452</v>
      </c>
      <c r="B121" s="3344"/>
      <c r="C121" s="3345"/>
      <c r="D121" s="3343" t="str">
        <f>IF(D120=0,"零元整",NUMBERSTRING(INT(D120*10000),2)&amp;"元整")</f>
        <v>零元整</v>
      </c>
      <c r="E121" s="3344"/>
      <c r="F121" s="3344"/>
      <c r="G121" s="3344"/>
      <c r="H121" s="3344"/>
      <c r="I121" s="3345"/>
      <c r="AA121" s="683"/>
    </row>
    <row r="122" spans="1:27" ht="18.75" customHeight="1">
      <c r="A122" s="3334" t="str">
        <f>IF(项目基本情况!B9="房地产市场价值","",MID(E107,3,LEN(E107)-2))</f>
        <v>房地产抵押价值</v>
      </c>
      <c r="B122" s="3334"/>
      <c r="C122" s="3334"/>
      <c r="D122" s="3367">
        <f ca="1">H107</f>
        <v>190</v>
      </c>
      <c r="E122" s="3368"/>
      <c r="F122" s="3368"/>
      <c r="G122" s="3368"/>
      <c r="H122" s="3368"/>
      <c r="I122" s="3369"/>
      <c r="AA122" s="683"/>
    </row>
    <row r="123" spans="1:27" ht="18.75" customHeight="1">
      <c r="A123" s="3303" t="s">
        <v>1452</v>
      </c>
      <c r="B123" s="3303"/>
      <c r="C123" s="3303"/>
      <c r="D123" s="3343" t="str">
        <f ca="1">NUMBERSTRING(INT(D122*10000),2)&amp;"元整"</f>
        <v>壹佰玖拾万元整</v>
      </c>
      <c r="E123" s="3344"/>
      <c r="F123" s="3344"/>
      <c r="G123" s="3344"/>
      <c r="H123" s="3344"/>
      <c r="I123" s="3345"/>
      <c r="AA123" s="683"/>
    </row>
    <row r="124" spans="1:27" ht="18.75" customHeight="1">
      <c r="A124" s="3334" t="str">
        <f>IF(项目基本情况!B9="房地产市场价值","",MID(E109,3,LEN(E109)-2))</f>
        <v/>
      </c>
      <c r="B124" s="3334"/>
      <c r="C124" s="3334"/>
      <c r="D124" s="3367" t="str">
        <f>H109</f>
        <v>——</v>
      </c>
      <c r="E124" s="3368"/>
      <c r="F124" s="3368"/>
      <c r="G124" s="3368"/>
      <c r="H124" s="3368"/>
      <c r="I124" s="3369"/>
      <c r="AA124" s="683"/>
    </row>
    <row r="125" spans="1:27" ht="18.75" customHeight="1">
      <c r="A125" s="3303" t="s">
        <v>1452</v>
      </c>
      <c r="B125" s="3303"/>
      <c r="C125" s="3303"/>
      <c r="D125" s="3343" t="e">
        <f>NUMBERSTRING(INT(D124*10000),2)&amp;"元整"</f>
        <v>#VALUE!</v>
      </c>
      <c r="E125" s="3344"/>
      <c r="F125" s="3344"/>
      <c r="G125" s="3344"/>
      <c r="H125" s="3344"/>
      <c r="I125" s="3345"/>
      <c r="AA125" s="683"/>
    </row>
    <row r="126" spans="1:27" ht="18.75" customHeight="1">
      <c r="A126" s="3334" t="str">
        <f>IF(项目基本情况!B9="房地产市场价值","",MID(E111,3,LEN(E111)-2))</f>
        <v/>
      </c>
      <c r="B126" s="3334"/>
      <c r="C126" s="3334"/>
      <c r="D126" s="3367" t="str">
        <f>H111</f>
        <v>——</v>
      </c>
      <c r="E126" s="3368"/>
      <c r="F126" s="3368"/>
      <c r="G126" s="3368"/>
      <c r="H126" s="3368"/>
      <c r="I126" s="3369"/>
      <c r="AA126" s="683"/>
    </row>
    <row r="127" spans="1:27" ht="18.75" customHeight="1">
      <c r="A127" s="3303" t="s">
        <v>1452</v>
      </c>
      <c r="B127" s="3303"/>
      <c r="C127" s="3303"/>
      <c r="D127" s="3343" t="e">
        <f>NUMBERSTRING(INT(D126*10000),2)&amp;"元整"</f>
        <v>#VALUE!</v>
      </c>
      <c r="E127" s="3344"/>
      <c r="F127" s="3344"/>
      <c r="G127" s="3344"/>
      <c r="H127" s="3344"/>
      <c r="I127" s="3345"/>
      <c r="AA127" s="683"/>
    </row>
    <row r="128" spans="1:27" ht="21.75" customHeight="1">
      <c r="A128" s="3350" t="s">
        <v>1453</v>
      </c>
      <c r="B128" s="3350"/>
      <c r="C128" s="3350"/>
      <c r="D128" s="3350"/>
      <c r="E128" s="3350"/>
      <c r="F128" s="3350"/>
      <c r="G128" s="3350"/>
      <c r="H128" s="3350"/>
      <c r="I128" s="335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70" zoomScaleNormal="70" zoomScaleSheetLayoutView="70" workbookViewId="0">
      <selection activeCell="L16" sqref="L16"/>
    </sheetView>
  </sheetViews>
  <sheetFormatPr defaultColWidth="9" defaultRowHeight="13.8"/>
  <cols>
    <col min="1" max="1" width="10.44140625" style="346" customWidth="1"/>
    <col min="2" max="2" width="15.77734375" style="346" customWidth="1"/>
    <col min="3" max="3" width="18.33203125" style="346" customWidth="1"/>
    <col min="4" max="4" width="12.21875" style="346" customWidth="1"/>
    <col min="5" max="5" width="17.6640625" style="346" customWidth="1"/>
    <col min="6" max="6" width="12.21875" style="346" customWidth="1"/>
    <col min="7" max="7" width="17.88671875" style="346" customWidth="1"/>
    <col min="8" max="8" width="12.21875" style="346" customWidth="1"/>
    <col min="9" max="9" width="16.7773437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3407</v>
      </c>
      <c r="E1" s="3122" t="s">
        <v>3410</v>
      </c>
      <c r="F1" s="1734" t="s">
        <v>3411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253.27019999999999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16201</v>
      </c>
      <c r="C3" s="343" t="s">
        <v>1768</v>
      </c>
      <c r="D3" s="342">
        <f>IF(D1="",'数据-汇总表'!E3,SUMIF('数据-汇总表'!$C19:$C33,D1,'数据-汇总表'!$E19:$E33))</f>
        <v>156.33000000000001</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84" t="s">
        <v>1772</v>
      </c>
      <c r="AC4" s="3398" t="s">
        <v>1773</v>
      </c>
    </row>
    <row r="5" spans="1:29">
      <c r="A5" s="347"/>
      <c r="B5" s="348"/>
      <c r="C5" s="3424" t="s">
        <v>3512</v>
      </c>
      <c r="D5" s="3420"/>
      <c r="E5" s="3427" t="str">
        <f>案例!A21</f>
        <v>辉煌云上</v>
      </c>
      <c r="F5" s="3428"/>
      <c r="G5" s="3419" t="str">
        <f>案例!N27</f>
        <v>城建万科城</v>
      </c>
      <c r="H5" s="3420"/>
      <c r="I5" s="3419" t="str">
        <f>G5</f>
        <v>城建万科城</v>
      </c>
      <c r="J5" s="3420"/>
      <c r="K5" s="536"/>
      <c r="L5" s="2484"/>
      <c r="M5" s="2485"/>
      <c r="N5" s="2485"/>
      <c r="O5" s="2485"/>
      <c r="P5" s="3407"/>
      <c r="Q5" s="3408"/>
      <c r="R5" s="3413"/>
      <c r="S5" s="3414"/>
      <c r="T5" s="3413"/>
      <c r="U5" s="3414"/>
      <c r="V5" s="3384"/>
      <c r="W5" s="3384"/>
      <c r="X5" s="1264"/>
      <c r="Y5" s="3413"/>
      <c r="Z5" s="3414"/>
      <c r="AA5" s="3399"/>
      <c r="AB5" s="3384"/>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384"/>
      <c r="AC6" s="3400"/>
    </row>
    <row r="7" spans="1:29" s="101" customFormat="1" ht="15" thickBot="1">
      <c r="A7" s="351" t="s">
        <v>1679</v>
      </c>
      <c r="B7" s="352"/>
      <c r="C7" s="353">
        <f>'数据-取费表'!B2</f>
        <v>45562</v>
      </c>
      <c r="D7" s="354">
        <v>100</v>
      </c>
      <c r="E7" s="355">
        <f>案例!$B$22</f>
        <v>45523.333831018521</v>
      </c>
      <c r="F7" s="356">
        <f>SUMIF(58:58,YEAR(E7)&amp;"-"&amp;MONTH(E7),59:59)</f>
        <v>100</v>
      </c>
      <c r="G7" s="355">
        <v>45536</v>
      </c>
      <c r="H7" s="354">
        <f>SUMIF(58:58,YEAR(G7)&amp;"-"&amp;MONTH(G7),59:59)</f>
        <v>100</v>
      </c>
      <c r="I7" s="355">
        <f>G7</f>
        <v>45536</v>
      </c>
      <c r="J7" s="354">
        <f>SUMIF(58:58,YEAR(I7)&amp;"-"&amp;MONTH(I7),59:59)</f>
        <v>100</v>
      </c>
      <c r="K7" s="38"/>
      <c r="L7" s="2486"/>
      <c r="M7" s="2438"/>
      <c r="N7" s="2438"/>
      <c r="O7" s="2438"/>
      <c r="P7" s="3421" t="s">
        <v>1680</v>
      </c>
      <c r="Q7" s="3423"/>
      <c r="R7" s="663" t="s">
        <v>14</v>
      </c>
      <c r="S7" s="664">
        <f t="shared" ref="S7:S15" si="0">F7</f>
        <v>100</v>
      </c>
      <c r="T7" s="663" t="s">
        <v>14</v>
      </c>
      <c r="U7" s="664">
        <f t="shared" ref="U7:U15" si="1">H7</f>
        <v>100</v>
      </c>
      <c r="V7" s="663" t="s">
        <v>14</v>
      </c>
      <c r="W7" s="664">
        <f t="shared" ref="W7:W15" si="2">J7</f>
        <v>100</v>
      </c>
      <c r="X7" s="665"/>
      <c r="Y7" s="3421" t="s">
        <v>1680</v>
      </c>
      <c r="Z7" s="3422"/>
      <c r="AA7" s="50">
        <f>D7/F7</f>
        <v>1</v>
      </c>
      <c r="AB7" s="50">
        <f>D7/H7</f>
        <v>1</v>
      </c>
      <c r="AC7" s="50">
        <f>D7/J7</f>
        <v>1</v>
      </c>
    </row>
    <row r="8" spans="1:29" s="101" customFormat="1" ht="15" thickBot="1">
      <c r="A8" s="351" t="s">
        <v>1681</v>
      </c>
      <c r="B8" s="352"/>
      <c r="C8" s="357" t="s">
        <v>3412</v>
      </c>
      <c r="D8" s="354">
        <v>100</v>
      </c>
      <c r="E8" s="357" t="s">
        <v>3412</v>
      </c>
      <c r="F8" s="356">
        <f>SUMIF(61:61,E8,62:62)-SUMIF(61:61,C8,62:62)+100</f>
        <v>100</v>
      </c>
      <c r="G8" s="357" t="s">
        <v>3414</v>
      </c>
      <c r="H8" s="354">
        <f>SUMIF(61:61,G8,62:62)-SUMIF(61:61,C8,62:62)+100</f>
        <v>102</v>
      </c>
      <c r="I8" s="357" t="s">
        <v>3414</v>
      </c>
      <c r="J8" s="354">
        <f>SUMIF(61:61,I8,62:62)-SUMIF(61:61,C8,62:62)+100</f>
        <v>102</v>
      </c>
      <c r="K8" s="38"/>
      <c r="L8" s="2486"/>
      <c r="M8" s="2438"/>
      <c r="N8" s="2438"/>
      <c r="O8" s="2438"/>
      <c r="P8" s="3421" t="s">
        <v>1683</v>
      </c>
      <c r="Q8" s="3422"/>
      <c r="R8" s="663" t="s">
        <v>14</v>
      </c>
      <c r="S8" s="664">
        <f t="shared" si="0"/>
        <v>100</v>
      </c>
      <c r="T8" s="663" t="s">
        <v>14</v>
      </c>
      <c r="U8" s="664">
        <f t="shared" si="1"/>
        <v>102</v>
      </c>
      <c r="V8" s="663" t="s">
        <v>14</v>
      </c>
      <c r="W8" s="664">
        <f t="shared" si="2"/>
        <v>102</v>
      </c>
      <c r="X8" s="665"/>
      <c r="Y8" s="3421" t="s">
        <v>1683</v>
      </c>
      <c r="Z8" s="3422"/>
      <c r="AA8" s="50">
        <f t="shared" ref="AA8:AA46" si="3">D8/F8</f>
        <v>1</v>
      </c>
      <c r="AB8" s="50">
        <f t="shared" ref="AB8:AB46" si="4">D8/H8</f>
        <v>0.98039215686274506</v>
      </c>
      <c r="AC8" s="50">
        <f t="shared" ref="AC8:AC46" si="5">D8/J8</f>
        <v>0.98039215686274506</v>
      </c>
    </row>
    <row r="9" spans="1:29" s="101" customFormat="1" ht="14.4">
      <c r="A9" s="358" t="s">
        <v>1684</v>
      </c>
      <c r="B9" s="60" t="s">
        <v>1685</v>
      </c>
      <c r="C9" s="3154" t="s">
        <v>3413</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97"/>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97"/>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97"/>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97"/>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8" t="s">
        <v>1777</v>
      </c>
      <c r="C15" s="1749" t="str">
        <f>估价对象房地状况!C4</f>
        <v>估价对象2公里范围内有百品尚购物中心，周边商业氛围一般，人流量一般，商业繁华一般</v>
      </c>
      <c r="D15" s="379">
        <v>100</v>
      </c>
      <c r="E15" s="3173" t="s">
        <v>3544</v>
      </c>
      <c r="F15" s="381">
        <f>SUMIF(76:76,E16,77:77)-SUMIF(76:76,C16,77:77)+100</f>
        <v>102</v>
      </c>
      <c r="G15" s="3174" t="s">
        <v>3545</v>
      </c>
      <c r="H15" s="379">
        <f>SUMIF(76:76,G16,77:77)-SUMIF(76:76,C16,77:77)+100</f>
        <v>98</v>
      </c>
      <c r="I15" s="3174" t="s">
        <v>3545</v>
      </c>
      <c r="J15" s="379">
        <f>SUMIF(76:76,I16,77:77)-SUMIF(76:76,C16,77:77)+100</f>
        <v>98</v>
      </c>
      <c r="K15" s="539">
        <v>2</v>
      </c>
      <c r="L15" s="2490"/>
      <c r="M15" s="2485"/>
      <c r="N15" s="2485"/>
      <c r="O15" s="2485"/>
      <c r="P15" s="3388" t="s">
        <v>1691</v>
      </c>
      <c r="Q15" s="1262" t="str">
        <f t="shared" si="6"/>
        <v>商业繁华度</v>
      </c>
      <c r="R15" s="666" t="s">
        <v>14</v>
      </c>
      <c r="S15" s="667">
        <f t="shared" si="0"/>
        <v>102</v>
      </c>
      <c r="T15" s="666" t="s">
        <v>14</v>
      </c>
      <c r="U15" s="667">
        <f t="shared" si="1"/>
        <v>98</v>
      </c>
      <c r="V15" s="666" t="s">
        <v>14</v>
      </c>
      <c r="W15" s="667">
        <f t="shared" si="2"/>
        <v>98</v>
      </c>
      <c r="X15" s="1264"/>
      <c r="Y15" s="3390" t="s">
        <v>1691</v>
      </c>
      <c r="Z15" s="1263" t="str">
        <f t="shared" si="7"/>
        <v>商业繁华度</v>
      </c>
      <c r="AA15" s="1263">
        <f t="shared" si="3"/>
        <v>0.98039215686274506</v>
      </c>
      <c r="AB15" s="1263">
        <f t="shared" si="4"/>
        <v>1.0204081632653061</v>
      </c>
      <c r="AC15" s="1263">
        <f t="shared" si="5"/>
        <v>1.0204081632653061</v>
      </c>
    </row>
    <row r="16" spans="1:29" ht="15">
      <c r="A16" s="366"/>
      <c r="B16" s="384"/>
      <c r="C16" s="385" t="s">
        <v>3424</v>
      </c>
      <c r="D16" s="386"/>
      <c r="E16" s="385" t="s">
        <v>3425</v>
      </c>
      <c r="F16" s="387"/>
      <c r="G16" s="385" t="s">
        <v>3430</v>
      </c>
      <c r="H16" s="388"/>
      <c r="I16" s="385" t="s">
        <v>3430</v>
      </c>
      <c r="J16" s="386"/>
      <c r="K16" s="540"/>
      <c r="L16" s="2490"/>
      <c r="M16" s="2485"/>
      <c r="N16" s="2485"/>
      <c r="O16" s="2485"/>
      <c r="P16" s="3389"/>
      <c r="Q16" s="1262"/>
      <c r="R16" s="666"/>
      <c r="S16" s="667"/>
      <c r="T16" s="666"/>
      <c r="U16" s="667"/>
      <c r="V16" s="666"/>
      <c r="W16" s="667"/>
      <c r="X16" s="1264"/>
      <c r="Y16" s="3391"/>
      <c r="Z16" s="1263"/>
      <c r="AA16" s="1263">
        <v>1</v>
      </c>
      <c r="AB16" s="1263">
        <v>1</v>
      </c>
      <c r="AC16" s="1263">
        <v>1</v>
      </c>
    </row>
    <row r="17" spans="1:29" ht="96.6">
      <c r="A17" s="366"/>
      <c r="B17" s="389" t="s">
        <v>1259</v>
      </c>
      <c r="C17" s="1753" t="str">
        <f>估价对象房地状况!C6</f>
        <v>估价对象临城市主干道--妫川路，周边有Y9路、919路、920路公交车，门口可停车，停车便捷程度较好，综合评价交通便捷度一般</v>
      </c>
      <c r="D17" s="388">
        <v>100</v>
      </c>
      <c r="E17" s="390" t="s">
        <v>3504</v>
      </c>
      <c r="F17" s="391">
        <f>SUMIF(78:78,E18,79:79)-SUMIF(78:78,C18,79:79)+100</f>
        <v>100</v>
      </c>
      <c r="G17" s="392" t="s">
        <v>3509</v>
      </c>
      <c r="H17" s="393">
        <f>SUMIF(78:78,G18,79:79)-SUMIF(78:78,C18,79:79)+100</f>
        <v>100</v>
      </c>
      <c r="I17" s="392" t="s">
        <v>3509</v>
      </c>
      <c r="J17" s="393">
        <f>SUMIF(78:78,I18,79:79)-SUMIF(78:78,C18,79:79)+100</f>
        <v>100</v>
      </c>
      <c r="K17" s="539">
        <v>1</v>
      </c>
      <c r="L17" s="2490"/>
      <c r="M17" s="2485"/>
      <c r="N17" s="2485"/>
      <c r="O17" s="2485"/>
      <c r="P17" s="3389"/>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t="s">
        <v>3424</v>
      </c>
      <c r="D18" s="388"/>
      <c r="E18" s="1756" t="s">
        <v>3424</v>
      </c>
      <c r="F18" s="391"/>
      <c r="G18" s="1755" t="s">
        <v>3424</v>
      </c>
      <c r="H18" s="386"/>
      <c r="I18" s="1756" t="s">
        <v>3424</v>
      </c>
      <c r="J18" s="386"/>
      <c r="K18" s="540"/>
      <c r="L18" s="2490"/>
      <c r="M18" s="2485"/>
      <c r="N18" s="2485"/>
      <c r="O18" s="2485"/>
      <c r="P18" s="3389"/>
      <c r="Q18" s="1262"/>
      <c r="R18" s="666"/>
      <c r="S18" s="667"/>
      <c r="T18" s="666"/>
      <c r="U18" s="667"/>
      <c r="V18" s="666"/>
      <c r="W18" s="667"/>
      <c r="X18" s="1264"/>
      <c r="Y18" s="3391"/>
      <c r="Z18" s="1263"/>
      <c r="AA18" s="1263">
        <v>1</v>
      </c>
      <c r="AB18" s="1263">
        <v>1</v>
      </c>
      <c r="AC18" s="1263">
        <v>1</v>
      </c>
    </row>
    <row r="19" spans="1:29" ht="151.80000000000001">
      <c r="A19" s="366"/>
      <c r="B19" s="389" t="s">
        <v>1778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186" t="s">
        <v>3552</v>
      </c>
      <c r="F19" s="396">
        <f>SUMIF(80:80,E20,81:81)-SUMIF(80:80,C20,81:81)+100</f>
        <v>99</v>
      </c>
      <c r="G19" s="3185" t="s">
        <v>3551</v>
      </c>
      <c r="H19" s="388">
        <f>SUMIF(80:80,G20,81:81)-SUMIF(80:80,C20,81:81)+100</f>
        <v>99</v>
      </c>
      <c r="I19" s="3185" t="s">
        <v>3551</v>
      </c>
      <c r="J19" s="388">
        <f>SUMIF(80:80,I20,81:81)-SUMIF(80:80,C20,81:81)+100</f>
        <v>99</v>
      </c>
      <c r="K19" s="539">
        <v>1</v>
      </c>
      <c r="L19" s="2490"/>
      <c r="M19" s="2485"/>
      <c r="N19" s="2485"/>
      <c r="O19" s="2485"/>
      <c r="P19" s="3389"/>
      <c r="Q19" s="1262" t="str">
        <f>B19</f>
        <v>公共配套设施</v>
      </c>
      <c r="R19" s="666" t="s">
        <v>14</v>
      </c>
      <c r="S19" s="667">
        <f>F19</f>
        <v>99</v>
      </c>
      <c r="T19" s="666" t="s">
        <v>14</v>
      </c>
      <c r="U19" s="667">
        <f>H19</f>
        <v>99</v>
      </c>
      <c r="V19" s="666" t="s">
        <v>14</v>
      </c>
      <c r="W19" s="667">
        <f>J19</f>
        <v>99</v>
      </c>
      <c r="X19" s="1264"/>
      <c r="Y19" s="3391"/>
      <c r="Z19" s="1263" t="str">
        <f>Q19</f>
        <v>公共配套设施</v>
      </c>
      <c r="AA19" s="1263">
        <f t="shared" si="3"/>
        <v>1.0101010101010102</v>
      </c>
      <c r="AB19" s="1263">
        <f t="shared" si="4"/>
        <v>1.0101010101010102</v>
      </c>
      <c r="AC19" s="1263">
        <f t="shared" si="5"/>
        <v>1.0101010101010102</v>
      </c>
    </row>
    <row r="20" spans="1:29" ht="15">
      <c r="A20" s="366"/>
      <c r="B20" s="394"/>
      <c r="C20" s="385" t="s">
        <v>3425</v>
      </c>
      <c r="D20" s="386"/>
      <c r="E20" s="1751" t="s">
        <v>3424</v>
      </c>
      <c r="F20" s="387"/>
      <c r="G20" s="1750" t="s">
        <v>3424</v>
      </c>
      <c r="H20" s="386"/>
      <c r="I20" s="1751" t="s">
        <v>3424</v>
      </c>
      <c r="J20" s="386"/>
      <c r="K20" s="540"/>
      <c r="L20" s="2490"/>
      <c r="M20" s="2485"/>
      <c r="N20" s="2485"/>
      <c r="O20" s="2485"/>
      <c r="P20" s="3389"/>
      <c r="Q20" s="1262"/>
      <c r="R20" s="666"/>
      <c r="S20" s="667"/>
      <c r="T20" s="666"/>
      <c r="U20" s="667"/>
      <c r="V20" s="666"/>
      <c r="W20" s="667"/>
      <c r="X20" s="1264"/>
      <c r="Y20" s="3391"/>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t="s">
        <v>3529</v>
      </c>
      <c r="D22" s="386"/>
      <c r="E22" s="385" t="s">
        <v>3529</v>
      </c>
      <c r="F22" s="387"/>
      <c r="G22" s="385" t="s">
        <v>3529</v>
      </c>
      <c r="H22" s="386"/>
      <c r="I22" s="385" t="s">
        <v>3529</v>
      </c>
      <c r="J22" s="386"/>
      <c r="K22" s="1063"/>
      <c r="L22" s="2490"/>
      <c r="M22" s="2485"/>
      <c r="N22" s="2485"/>
      <c r="O22" s="2485"/>
      <c r="P22" s="3389"/>
      <c r="Q22" s="1262"/>
      <c r="R22" s="666"/>
      <c r="S22" s="667"/>
      <c r="T22" s="666"/>
      <c r="U22" s="667"/>
      <c r="V22" s="666"/>
      <c r="W22" s="667"/>
      <c r="X22" s="1264"/>
      <c r="Y22" s="3391"/>
      <c r="Z22" s="1263"/>
      <c r="AA22" s="1263">
        <v>1</v>
      </c>
      <c r="AB22" s="1263">
        <v>1</v>
      </c>
      <c r="AC22" s="1263">
        <v>1</v>
      </c>
    </row>
    <row r="23" spans="1:29" ht="138">
      <c r="A23" s="366"/>
      <c r="B23" s="389" t="s">
        <v>1261</v>
      </c>
      <c r="C23" s="1805" t="str">
        <f>估价对象房地状况!C9</f>
        <v>区域自然环境：迎宾公园、百泉公园、夏都公园、北京延庆世界地质公园；人文环境：延庆区职业学院、妫川宝塔、延庆地质博物馆、水生野生博物馆；综合评价环境状况较好</v>
      </c>
      <c r="D23" s="388">
        <v>100</v>
      </c>
      <c r="E23" s="390" t="s">
        <v>3506</v>
      </c>
      <c r="F23" s="391">
        <f>SUMIF(84:84,E24,85:85)-SUMIF(84:84,C24,85:85)+100</f>
        <v>100</v>
      </c>
      <c r="G23" s="392" t="s">
        <v>3510</v>
      </c>
      <c r="H23" s="388">
        <f>SUMIF(84:84,G24,85:85)-SUMIF(84:84,C24,85:85)+100</f>
        <v>98</v>
      </c>
      <c r="I23" s="392" t="s">
        <v>3510</v>
      </c>
      <c r="J23" s="388">
        <f>SUMIF(84:84,I24,85:85)-SUMIF(84:84,C24,85:85)+100</f>
        <v>98</v>
      </c>
      <c r="K23" s="539">
        <v>2</v>
      </c>
      <c r="L23" s="2490"/>
      <c r="M23" s="2485"/>
      <c r="N23" s="2485"/>
      <c r="O23" s="2485"/>
      <c r="P23" s="3389"/>
      <c r="Q23" s="1262" t="str">
        <f>B23</f>
        <v>自然及人文环境</v>
      </c>
      <c r="R23" s="666" t="s">
        <v>14</v>
      </c>
      <c r="S23" s="667">
        <f>F23</f>
        <v>100</v>
      </c>
      <c r="T23" s="666" t="s">
        <v>14</v>
      </c>
      <c r="U23" s="667">
        <f>H23</f>
        <v>98</v>
      </c>
      <c r="V23" s="666" t="s">
        <v>14</v>
      </c>
      <c r="W23" s="667">
        <f>J23</f>
        <v>98</v>
      </c>
      <c r="X23" s="1264"/>
      <c r="Y23" s="3391"/>
      <c r="Z23" s="1263" t="str">
        <f>Q23</f>
        <v>自然及人文环境</v>
      </c>
      <c r="AA23" s="1263">
        <f t="shared" si="3"/>
        <v>1</v>
      </c>
      <c r="AB23" s="1263">
        <f t="shared" si="4"/>
        <v>1.0204081632653061</v>
      </c>
      <c r="AC23" s="1263">
        <f t="shared" si="5"/>
        <v>1.0204081632653061</v>
      </c>
    </row>
    <row r="24" spans="1:29" ht="15">
      <c r="A24" s="366"/>
      <c r="B24" s="394"/>
      <c r="C24" s="385" t="s">
        <v>3425</v>
      </c>
      <c r="D24" s="386"/>
      <c r="E24" s="1751" t="s">
        <v>3425</v>
      </c>
      <c r="F24" s="387"/>
      <c r="G24" s="1750" t="s">
        <v>3424</v>
      </c>
      <c r="H24" s="386"/>
      <c r="I24" s="1751" t="s">
        <v>3424</v>
      </c>
      <c r="J24" s="386"/>
      <c r="K24" s="540"/>
      <c r="L24" s="2490"/>
      <c r="M24" s="2485"/>
      <c r="N24" s="2485"/>
      <c r="O24" s="2485"/>
      <c r="P24" s="3389"/>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90"/>
      <c r="M25" s="2485"/>
      <c r="N25" s="2485"/>
      <c r="O25" s="2485"/>
      <c r="P25" s="3389"/>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170" t="s">
        <v>3503</v>
      </c>
      <c r="D26" s="373">
        <v>100</v>
      </c>
      <c r="E26" s="3170" t="s">
        <v>3503</v>
      </c>
      <c r="F26" s="399">
        <f>SUMIF(88:88,E26,89:89)-SUMIF(88:88,C26,89:89)+100</f>
        <v>100</v>
      </c>
      <c r="G26" s="3170" t="s">
        <v>3503</v>
      </c>
      <c r="H26" s="373">
        <f>SUMIF(88:88,G26,89:89)-SUMIF(88:88,C26,89:89)+100</f>
        <v>100</v>
      </c>
      <c r="I26" s="3170" t="s">
        <v>3503</v>
      </c>
      <c r="J26" s="373">
        <f>SUMIF(88:88,I26,89:89)-SUMIF(88:88,C26,89:89)+100</f>
        <v>100</v>
      </c>
      <c r="K26" s="538"/>
      <c r="L26" s="2490"/>
      <c r="M26" s="2485"/>
      <c r="N26" s="2485"/>
      <c r="O26" s="2485"/>
      <c r="P26" s="3389"/>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t="s">
        <v>3430</v>
      </c>
      <c r="D27" s="400">
        <v>100</v>
      </c>
      <c r="E27" s="1806" t="s">
        <v>3424</v>
      </c>
      <c r="F27" s="394">
        <f>SUMIF(90:90,E27,91:91)-SUMIF(90:90,C27,91:91)+100</f>
        <v>102</v>
      </c>
      <c r="G27" s="1806" t="s">
        <v>3430</v>
      </c>
      <c r="H27" s="400">
        <f>SUMIF(90:90,G27,91:91)-SUMIF(90:90,C27,91:91)+100</f>
        <v>100</v>
      </c>
      <c r="I27" s="1806" t="s">
        <v>3430</v>
      </c>
      <c r="J27" s="400">
        <f>SUMIF(90:90,I27,91:91)-SUMIF(90:90,C27,91:91)+100</f>
        <v>100</v>
      </c>
      <c r="K27" s="537">
        <v>2</v>
      </c>
      <c r="L27" s="2486"/>
      <c r="M27" s="2438"/>
      <c r="N27" s="2438"/>
      <c r="O27" s="2438"/>
      <c r="P27" s="3389"/>
      <c r="Q27" s="529" t="str">
        <f t="shared" si="11"/>
        <v>人流量</v>
      </c>
      <c r="R27" s="663" t="s">
        <v>14</v>
      </c>
      <c r="S27" s="664">
        <f>F27</f>
        <v>102</v>
      </c>
      <c r="T27" s="663" t="s">
        <v>14</v>
      </c>
      <c r="U27" s="664">
        <f>H27</f>
        <v>100</v>
      </c>
      <c r="V27" s="663" t="s">
        <v>14</v>
      </c>
      <c r="W27" s="664">
        <f>J27</f>
        <v>100</v>
      </c>
      <c r="X27" s="665"/>
      <c r="Y27" s="3391"/>
      <c r="Z27" s="50" t="str">
        <f>Q27</f>
        <v>人流量</v>
      </c>
      <c r="AA27" s="1263">
        <f>D27/F27</f>
        <v>0.98039215686274506</v>
      </c>
      <c r="AB27" s="1263">
        <f>D27/H27</f>
        <v>1</v>
      </c>
      <c r="AC27" s="1263">
        <f>D27/J27</f>
        <v>1</v>
      </c>
    </row>
    <row r="28" spans="1:29" ht="15">
      <c r="A28" s="366"/>
      <c r="B28" s="363" t="s">
        <v>1783</v>
      </c>
      <c r="C28" s="541" t="s">
        <v>3524</v>
      </c>
      <c r="D28" s="373">
        <v>100</v>
      </c>
      <c r="E28" s="541" t="s">
        <v>3524</v>
      </c>
      <c r="F28" s="399">
        <f>SUMIF(92:92,E28,93:93)-SUMIF(92:92,C28,93:93)+100</f>
        <v>100</v>
      </c>
      <c r="G28" s="541" t="s">
        <v>3524</v>
      </c>
      <c r="H28" s="373">
        <f>SUMIF(92:92,G28,93:93)-SUMIF(92:92,C28,93:93)+100</f>
        <v>100</v>
      </c>
      <c r="I28" s="541" t="s">
        <v>3524</v>
      </c>
      <c r="J28" s="373">
        <f>SUMIF(92:92,I28,93:93)-SUMIF(92:92,C28,93:93)+100</f>
        <v>100</v>
      </c>
      <c r="K28" s="538"/>
      <c r="L28" s="2490"/>
      <c r="M28" s="2485"/>
      <c r="N28" s="2485"/>
      <c r="O28" s="2485"/>
      <c r="P28" s="338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3169">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3168" t="s">
        <v>3491</v>
      </c>
      <c r="N29" s="2485">
        <v>2012</v>
      </c>
      <c r="O29" s="2485"/>
      <c r="P29" s="3389"/>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f>ROUND(1-(1-0)*(2024-N29)/60,2)</f>
        <v>0.8</v>
      </c>
      <c r="O30" s="2485"/>
      <c r="P30" s="3389"/>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89"/>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60" t="s">
        <v>1784</v>
      </c>
      <c r="C32" s="1763" t="s">
        <v>3548</v>
      </c>
      <c r="D32" s="404">
        <v>100</v>
      </c>
      <c r="E32" s="1763" t="s">
        <v>3546</v>
      </c>
      <c r="F32" s="399">
        <f>SUMIF(100:100,E32,101:101)-SUMIF(100:100,C32,101:101)+100</f>
        <v>105</v>
      </c>
      <c r="G32" s="1763" t="s">
        <v>3548</v>
      </c>
      <c r="H32" s="373">
        <f>SUMIF(100:100,G32,101:101)-SUMIF(100:100,C32,101:101)+100</f>
        <v>100</v>
      </c>
      <c r="I32" s="1763" t="s">
        <v>3548</v>
      </c>
      <c r="J32" s="404">
        <f>SUMIF(100:100,I32,101:101)-SUMIF(100:100,C32,101:101)+100</f>
        <v>100</v>
      </c>
      <c r="K32" s="537">
        <v>5</v>
      </c>
      <c r="L32" s="2490"/>
      <c r="M32" s="3168" t="s">
        <v>3492</v>
      </c>
      <c r="N32" s="2485">
        <v>2018</v>
      </c>
      <c r="O32" s="2485"/>
      <c r="P32" s="3392" t="s">
        <v>1696</v>
      </c>
      <c r="Q32" s="1262" t="str">
        <f t="shared" si="11"/>
        <v>商业类型</v>
      </c>
      <c r="R32" s="666" t="s">
        <v>14</v>
      </c>
      <c r="S32" s="667">
        <f t="shared" si="12"/>
        <v>105</v>
      </c>
      <c r="T32" s="666" t="s">
        <v>14</v>
      </c>
      <c r="U32" s="667">
        <f t="shared" si="13"/>
        <v>100</v>
      </c>
      <c r="V32" s="666" t="s">
        <v>14</v>
      </c>
      <c r="W32" s="667">
        <f t="shared" si="14"/>
        <v>100</v>
      </c>
      <c r="X32" s="1264"/>
      <c r="Y32" s="3395" t="s">
        <v>1696</v>
      </c>
      <c r="Z32" s="1263" t="str">
        <f t="shared" si="15"/>
        <v>商业类型</v>
      </c>
      <c r="AA32" s="1263">
        <f t="shared" si="3"/>
        <v>0.95238095238095233</v>
      </c>
      <c r="AB32" s="1263">
        <f t="shared" si="4"/>
        <v>1</v>
      </c>
      <c r="AC32" s="1263">
        <f t="shared" si="5"/>
        <v>1</v>
      </c>
    </row>
    <row r="33" spans="1:29" s="407" customFormat="1" ht="15">
      <c r="A33" s="405"/>
      <c r="B33" s="363" t="s">
        <v>1697</v>
      </c>
      <c r="C33" s="406">
        <f>'数据-汇总表'!E19</f>
        <v>156.33000000000001</v>
      </c>
      <c r="D33" s="118">
        <v>100</v>
      </c>
      <c r="E33" s="368">
        <f>案例!K22</f>
        <v>500.02</v>
      </c>
      <c r="F33" s="363">
        <f>LOOKUP(E33,103:103,104:104)-LOOKUP(C33,103:103,104:104)+100</f>
        <v>96</v>
      </c>
      <c r="G33" s="367">
        <f>案例!O29</f>
        <v>83.05</v>
      </c>
      <c r="H33" s="118">
        <f>LOOKUP(G33,103:103,104:104)-LOOKUP(C33,103:103,104:104)+100</f>
        <v>102</v>
      </c>
      <c r="I33" s="367">
        <f>案例!N80</f>
        <v>122</v>
      </c>
      <c r="J33" s="118">
        <f>LOOKUP(I33,103:103,104:104)-LOOKUP(C33,103:103,104:104)+100</f>
        <v>100</v>
      </c>
      <c r="K33" s="538"/>
      <c r="L33" s="2489"/>
      <c r="M33" s="2491"/>
      <c r="N33" s="2491">
        <f>ROUND(1-(1-0)*(2024-N32)/60,2)</f>
        <v>0.9</v>
      </c>
      <c r="O33" s="2491"/>
      <c r="P33" s="3393"/>
      <c r="Q33" s="530" t="str">
        <f t="shared" si="11"/>
        <v>项目建筑规模</v>
      </c>
      <c r="R33" s="668" t="s">
        <v>14</v>
      </c>
      <c r="S33" s="669">
        <f t="shared" si="12"/>
        <v>96</v>
      </c>
      <c r="T33" s="668" t="s">
        <v>14</v>
      </c>
      <c r="U33" s="669">
        <f t="shared" si="13"/>
        <v>102</v>
      </c>
      <c r="V33" s="668" t="s">
        <v>14</v>
      </c>
      <c r="W33" s="669">
        <f t="shared" si="14"/>
        <v>100</v>
      </c>
      <c r="X33" s="670"/>
      <c r="Y33" s="3395"/>
      <c r="Z33" s="671" t="str">
        <f t="shared" si="15"/>
        <v>项目建筑规模</v>
      </c>
      <c r="AA33" s="1263">
        <f t="shared" si="3"/>
        <v>1.0416666666666667</v>
      </c>
      <c r="AB33" s="1263">
        <f t="shared" si="4"/>
        <v>0.98039215686274506</v>
      </c>
      <c r="AC33" s="1263">
        <f t="shared" si="5"/>
        <v>1</v>
      </c>
    </row>
    <row r="34" spans="1:29" ht="15">
      <c r="A34" s="408"/>
      <c r="B34" s="363" t="s">
        <v>1698</v>
      </c>
      <c r="C34" s="398" t="s">
        <v>3489</v>
      </c>
      <c r="D34" s="373">
        <v>100</v>
      </c>
      <c r="E34" s="398" t="s">
        <v>3487</v>
      </c>
      <c r="F34" s="399">
        <f>SUMIF(105:105,E34,106:106)-SUMIF(105:105,C34,106:106)+100</f>
        <v>102</v>
      </c>
      <c r="G34" s="398" t="s">
        <v>3487</v>
      </c>
      <c r="H34" s="373">
        <f>SUMIF(105:105,G34,106:106)-SUMIF(105:105,C34,106:106)+100</f>
        <v>102</v>
      </c>
      <c r="I34" s="398" t="s">
        <v>3487</v>
      </c>
      <c r="J34" s="373">
        <f>SUMIF(105:105,I34,106:106)-SUMIF(105:105,C34,106:106)+100</f>
        <v>102</v>
      </c>
      <c r="K34" s="537">
        <v>2</v>
      </c>
      <c r="L34" s="2490"/>
      <c r="M34" s="2485"/>
      <c r="N34" s="2485"/>
      <c r="O34" s="2485"/>
      <c r="P34" s="3393"/>
      <c r="Q34" s="1262" t="str">
        <f t="shared" si="11"/>
        <v>建筑结构</v>
      </c>
      <c r="R34" s="666" t="s">
        <v>14</v>
      </c>
      <c r="S34" s="667">
        <f t="shared" si="12"/>
        <v>102</v>
      </c>
      <c r="T34" s="666" t="s">
        <v>14</v>
      </c>
      <c r="U34" s="667">
        <f t="shared" si="13"/>
        <v>102</v>
      </c>
      <c r="V34" s="666" t="s">
        <v>14</v>
      </c>
      <c r="W34" s="667">
        <f t="shared" si="14"/>
        <v>102</v>
      </c>
      <c r="X34" s="1264"/>
      <c r="Y34" s="3395"/>
      <c r="Z34" s="1263" t="str">
        <f t="shared" si="15"/>
        <v>建筑结构</v>
      </c>
      <c r="AA34" s="1263">
        <f t="shared" si="3"/>
        <v>0.98039215686274506</v>
      </c>
      <c r="AB34" s="1263">
        <f t="shared" si="4"/>
        <v>0.98039215686274506</v>
      </c>
      <c r="AC34" s="1263">
        <f t="shared" si="5"/>
        <v>0.98039215686274506</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v>2</v>
      </c>
      <c r="L35" s="2490"/>
      <c r="M35" s="2485"/>
      <c r="N35" s="2485"/>
      <c r="O35" s="2485"/>
      <c r="P35" s="3393"/>
      <c r="Q35" s="1262" t="str">
        <f t="shared" si="11"/>
        <v>公共部分装修</v>
      </c>
      <c r="R35" s="666" t="s">
        <v>14</v>
      </c>
      <c r="S35" s="667">
        <f t="shared" si="12"/>
        <v>100</v>
      </c>
      <c r="T35" s="666" t="s">
        <v>14</v>
      </c>
      <c r="U35" s="667">
        <f t="shared" si="13"/>
        <v>100</v>
      </c>
      <c r="V35" s="666" t="s">
        <v>14</v>
      </c>
      <c r="W35" s="667">
        <f t="shared" si="14"/>
        <v>100</v>
      </c>
      <c r="X35" s="1264"/>
      <c r="Y35" s="3395"/>
      <c r="Z35" s="1263" t="str">
        <f t="shared" si="15"/>
        <v>公共部分装修</v>
      </c>
      <c r="AA35" s="1263">
        <f t="shared" si="3"/>
        <v>1</v>
      </c>
      <c r="AB35" s="1263">
        <f t="shared" si="4"/>
        <v>1</v>
      </c>
      <c r="AC35" s="1263">
        <f t="shared" si="5"/>
        <v>1</v>
      </c>
    </row>
    <row r="36" spans="1:29" ht="15">
      <c r="A36" s="408"/>
      <c r="B36" s="363" t="s">
        <v>1786</v>
      </c>
      <c r="C36" s="410">
        <f>'数据-取费表'!N6</f>
        <v>0.7</v>
      </c>
      <c r="D36" s="373">
        <v>100</v>
      </c>
      <c r="E36" s="410">
        <f>N30</f>
        <v>0.8</v>
      </c>
      <c r="F36" s="399">
        <f>LOOKUP(E36,110:110,111:111)-LOOKUP(C36,110:110,111:111)+100</f>
        <v>102</v>
      </c>
      <c r="G36" s="410">
        <f>N33</f>
        <v>0.9</v>
      </c>
      <c r="H36" s="399">
        <f>LOOKUP(G36,110:110,111:111)-LOOKUP(C36,110:110,111:111)+100</f>
        <v>104</v>
      </c>
      <c r="I36" s="410">
        <f>N33</f>
        <v>0.9</v>
      </c>
      <c r="J36" s="373">
        <f>LOOKUP(I36,110:110,111:111)-LOOKUP(C36,110:110,111:111)+100</f>
        <v>104</v>
      </c>
      <c r="K36" s="3183">
        <v>2</v>
      </c>
      <c r="L36" s="2490"/>
      <c r="M36" s="2485"/>
      <c r="N36" s="2485"/>
      <c r="O36" s="2485"/>
      <c r="P36" s="3393"/>
      <c r="Q36" s="1262" t="str">
        <f t="shared" si="11"/>
        <v>成新度</v>
      </c>
      <c r="R36" s="666" t="s">
        <v>14</v>
      </c>
      <c r="S36" s="667">
        <f t="shared" si="12"/>
        <v>102</v>
      </c>
      <c r="T36" s="666" t="s">
        <v>14</v>
      </c>
      <c r="U36" s="667">
        <f t="shared" si="13"/>
        <v>104</v>
      </c>
      <c r="V36" s="666" t="s">
        <v>14</v>
      </c>
      <c r="W36" s="667">
        <f t="shared" si="14"/>
        <v>104</v>
      </c>
      <c r="X36" s="1264"/>
      <c r="Y36" s="3395"/>
      <c r="Z36" s="1263" t="str">
        <f t="shared" si="15"/>
        <v>成新度</v>
      </c>
      <c r="AA36" s="1263">
        <f t="shared" si="3"/>
        <v>0.98039215686274506</v>
      </c>
      <c r="AB36" s="1263">
        <f t="shared" si="4"/>
        <v>0.96153846153846156</v>
      </c>
      <c r="AC36" s="1263">
        <f t="shared" si="5"/>
        <v>0.96153846153846156</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3183"/>
      <c r="L37" s="2486"/>
      <c r="M37" s="2438"/>
      <c r="N37" s="2438"/>
      <c r="O37" s="2438"/>
      <c r="P37" s="3393"/>
      <c r="Q37" s="529" t="str">
        <f t="shared" si="11"/>
        <v>市政基础设施</v>
      </c>
      <c r="R37" s="663" t="s">
        <v>14</v>
      </c>
      <c r="S37" s="664">
        <f t="shared" si="12"/>
        <v>100</v>
      </c>
      <c r="T37" s="663" t="s">
        <v>14</v>
      </c>
      <c r="U37" s="664">
        <f t="shared" si="13"/>
        <v>100</v>
      </c>
      <c r="V37" s="663" t="s">
        <v>14</v>
      </c>
      <c r="W37" s="664">
        <f t="shared" si="14"/>
        <v>100</v>
      </c>
      <c r="X37" s="665"/>
      <c r="Y37" s="339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3183">
        <v>5</v>
      </c>
      <c r="L38" s="2490"/>
      <c r="M38" s="2485"/>
      <c r="N38" s="2485"/>
      <c r="O38" s="2485"/>
      <c r="P38" s="3393" t="s">
        <v>1696</v>
      </c>
      <c r="Q38" s="1262" t="str">
        <f t="shared" si="11"/>
        <v>业态</v>
      </c>
      <c r="R38" s="666" t="s">
        <v>14</v>
      </c>
      <c r="S38" s="667">
        <f t="shared" si="12"/>
        <v>100</v>
      </c>
      <c r="T38" s="666" t="s">
        <v>14</v>
      </c>
      <c r="U38" s="667">
        <f t="shared" si="13"/>
        <v>100</v>
      </c>
      <c r="V38" s="666" t="s">
        <v>14</v>
      </c>
      <c r="W38" s="667">
        <f t="shared" si="14"/>
        <v>100</v>
      </c>
      <c r="X38" s="1264"/>
      <c r="Y38" s="339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3183"/>
      <c r="L39" s="2490"/>
      <c r="M39" s="2485"/>
      <c r="N39" s="2485"/>
      <c r="O39" s="2485"/>
      <c r="P39" s="3393"/>
      <c r="Q39" s="1262" t="str">
        <f t="shared" si="11"/>
        <v>层高</v>
      </c>
      <c r="R39" s="666" t="s">
        <v>14</v>
      </c>
      <c r="S39" s="667">
        <f t="shared" si="12"/>
        <v>100</v>
      </c>
      <c r="T39" s="666" t="s">
        <v>14</v>
      </c>
      <c r="U39" s="667">
        <f t="shared" si="13"/>
        <v>100</v>
      </c>
      <c r="V39" s="666" t="s">
        <v>14</v>
      </c>
      <c r="W39" s="667">
        <f t="shared" si="14"/>
        <v>100</v>
      </c>
      <c r="X39" s="1264"/>
      <c r="Y39" s="339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3184"/>
      <c r="L40" s="2490"/>
      <c r="M40" s="2485"/>
      <c r="N40" s="2485"/>
      <c r="O40" s="2485"/>
      <c r="P40" s="3393"/>
      <c r="Q40" s="1262" t="str">
        <f t="shared" si="11"/>
        <v>单套建筑面积</v>
      </c>
      <c r="R40" s="666" t="s">
        <v>14</v>
      </c>
      <c r="S40" s="667">
        <f t="shared" si="12"/>
        <v>100</v>
      </c>
      <c r="T40" s="666" t="s">
        <v>14</v>
      </c>
      <c r="U40" s="667">
        <f t="shared" si="13"/>
        <v>100</v>
      </c>
      <c r="V40" s="666" t="s">
        <v>14</v>
      </c>
      <c r="W40" s="667">
        <f t="shared" si="14"/>
        <v>100</v>
      </c>
      <c r="X40" s="1264"/>
      <c r="Y40" s="339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3183"/>
      <c r="L41" s="2489"/>
      <c r="M41" s="2491"/>
      <c r="N41" s="2491"/>
      <c r="O41" s="2491"/>
      <c r="P41" s="3393"/>
      <c r="Q41" s="530" t="str">
        <f t="shared" si="11"/>
        <v>进深比</v>
      </c>
      <c r="R41" s="668" t="s">
        <v>14</v>
      </c>
      <c r="S41" s="669">
        <f t="shared" si="12"/>
        <v>100</v>
      </c>
      <c r="T41" s="668" t="s">
        <v>14</v>
      </c>
      <c r="U41" s="669">
        <f t="shared" si="13"/>
        <v>100</v>
      </c>
      <c r="V41" s="668" t="s">
        <v>14</v>
      </c>
      <c r="W41" s="669">
        <f t="shared" si="14"/>
        <v>100</v>
      </c>
      <c r="X41" s="670"/>
      <c r="Y41" s="3395"/>
      <c r="Z41" s="671" t="str">
        <f t="shared" si="15"/>
        <v>进深比</v>
      </c>
      <c r="AA41" s="1263">
        <f t="shared" si="3"/>
        <v>1</v>
      </c>
      <c r="AB41" s="1263">
        <f t="shared" si="4"/>
        <v>1</v>
      </c>
      <c r="AC41" s="1263">
        <f t="shared" si="5"/>
        <v>1</v>
      </c>
    </row>
    <row r="42" spans="1:29" ht="15">
      <c r="A42" s="408"/>
      <c r="B42" s="363" t="s">
        <v>1792</v>
      </c>
      <c r="C42" s="1759" t="s">
        <v>3499</v>
      </c>
      <c r="D42" s="373">
        <v>100</v>
      </c>
      <c r="E42" s="1759" t="s">
        <v>3500</v>
      </c>
      <c r="F42" s="399">
        <f>SUMIF(122:122,E42,123:123)-SUMIF(122:122,C42,123:123)+100</f>
        <v>98</v>
      </c>
      <c r="G42" s="1759" t="s">
        <v>3500</v>
      </c>
      <c r="H42" s="373">
        <f>SUMIF(122:122,G42,123:123)-SUMIF(122:122,C42,123:123)+100</f>
        <v>98</v>
      </c>
      <c r="I42" s="1759" t="s">
        <v>3500</v>
      </c>
      <c r="J42" s="373">
        <f>SUMIF(122:122,I42,123:123)-SUMIF(122:122,C42,123:123)+100</f>
        <v>98</v>
      </c>
      <c r="K42" s="3183">
        <v>1</v>
      </c>
      <c r="L42" s="2490"/>
      <c r="M42" s="2485"/>
      <c r="N42" s="2485"/>
      <c r="O42" s="2485"/>
      <c r="P42" s="3393"/>
      <c r="Q42" s="1262" t="str">
        <f t="shared" si="11"/>
        <v>内部装修</v>
      </c>
      <c r="R42" s="666" t="s">
        <v>14</v>
      </c>
      <c r="S42" s="667">
        <f t="shared" si="12"/>
        <v>98</v>
      </c>
      <c r="T42" s="666" t="s">
        <v>14</v>
      </c>
      <c r="U42" s="667">
        <f t="shared" si="13"/>
        <v>98</v>
      </c>
      <c r="V42" s="666" t="s">
        <v>14</v>
      </c>
      <c r="W42" s="667">
        <f t="shared" si="14"/>
        <v>98</v>
      </c>
      <c r="X42" s="1264"/>
      <c r="Y42" s="3395"/>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3425</v>
      </c>
      <c r="D43" s="373">
        <v>100</v>
      </c>
      <c r="E43" s="1759" t="s">
        <v>3425</v>
      </c>
      <c r="F43" s="399">
        <f>SUMIF(124:124,E43,125:125)-SUMIF(124:124,C43,125:125)+100</f>
        <v>100</v>
      </c>
      <c r="G43" s="1759" t="s">
        <v>3425</v>
      </c>
      <c r="H43" s="373">
        <f>SUMIF(124:124,G43,125:125)-SUMIF(124:124,C43,125:125)+100</f>
        <v>100</v>
      </c>
      <c r="I43" s="1759" t="s">
        <v>3425</v>
      </c>
      <c r="J43" s="373">
        <f>SUMIF(124:124,I43,125:125)-SUMIF(124:124,C43,125:125)+100</f>
        <v>100</v>
      </c>
      <c r="K43" s="537">
        <v>2</v>
      </c>
      <c r="L43" s="2490"/>
      <c r="M43" s="2485"/>
      <c r="N43" s="2485"/>
      <c r="O43" s="2485"/>
      <c r="P43" s="3393"/>
      <c r="Q43" s="1262" t="str">
        <f t="shared" si="11"/>
        <v>内部装修维护情况</v>
      </c>
      <c r="R43" s="666" t="s">
        <v>14</v>
      </c>
      <c r="S43" s="667">
        <f t="shared" si="12"/>
        <v>100</v>
      </c>
      <c r="T43" s="666" t="s">
        <v>14</v>
      </c>
      <c r="U43" s="667">
        <f t="shared" si="13"/>
        <v>100</v>
      </c>
      <c r="V43" s="666" t="s">
        <v>14</v>
      </c>
      <c r="W43" s="667">
        <f t="shared" si="14"/>
        <v>100</v>
      </c>
      <c r="X43" s="1264"/>
      <c r="Y43" s="339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93"/>
      <c r="Q44" s="529">
        <f t="shared" si="11"/>
        <v>111</v>
      </c>
      <c r="R44" s="663" t="s">
        <v>14</v>
      </c>
      <c r="S44" s="664">
        <f t="shared" si="12"/>
        <v>100</v>
      </c>
      <c r="T44" s="663" t="s">
        <v>14</v>
      </c>
      <c r="U44" s="664">
        <f t="shared" si="13"/>
        <v>100</v>
      </c>
      <c r="V44" s="663" t="s">
        <v>14</v>
      </c>
      <c r="W44" s="664">
        <f t="shared" si="14"/>
        <v>100</v>
      </c>
      <c r="X44" s="665"/>
      <c r="Y44" s="339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93"/>
      <c r="Q45" s="1262">
        <f t="shared" si="11"/>
        <v>111</v>
      </c>
      <c r="R45" s="666" t="s">
        <v>14</v>
      </c>
      <c r="S45" s="667">
        <f t="shared" si="12"/>
        <v>100</v>
      </c>
      <c r="T45" s="666" t="s">
        <v>14</v>
      </c>
      <c r="U45" s="667">
        <f t="shared" si="13"/>
        <v>100</v>
      </c>
      <c r="V45" s="666" t="s">
        <v>14</v>
      </c>
      <c r="W45" s="667">
        <f t="shared" si="14"/>
        <v>100</v>
      </c>
      <c r="X45" s="1264"/>
      <c r="Y45" s="3395"/>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94"/>
      <c r="Q46" s="1262">
        <f t="shared" si="11"/>
        <v>111</v>
      </c>
      <c r="R46" s="666" t="s">
        <v>14</v>
      </c>
      <c r="S46" s="667">
        <f t="shared" si="12"/>
        <v>100</v>
      </c>
      <c r="T46" s="666" t="s">
        <v>14</v>
      </c>
      <c r="U46" s="667">
        <f t="shared" si="13"/>
        <v>100</v>
      </c>
      <c r="V46" s="666" t="s">
        <v>14</v>
      </c>
      <c r="W46" s="667">
        <f t="shared" si="14"/>
        <v>100</v>
      </c>
      <c r="X46" s="1264"/>
      <c r="Y46" s="3396"/>
      <c r="Z46" s="1263">
        <f t="shared" si="15"/>
        <v>111</v>
      </c>
      <c r="AA46" s="1263">
        <f t="shared" si="3"/>
        <v>1</v>
      </c>
      <c r="AB46" s="1263">
        <f t="shared" si="4"/>
        <v>1</v>
      </c>
      <c r="AC46" s="1263">
        <f t="shared" si="5"/>
        <v>1</v>
      </c>
    </row>
    <row r="47" spans="1:29" ht="14.4">
      <c r="A47" s="415" t="s">
        <v>1708</v>
      </c>
      <c r="B47" s="416"/>
      <c r="C47" s="1080" t="s">
        <v>0</v>
      </c>
      <c r="D47" s="417"/>
      <c r="E47" s="418">
        <f>案例!Q22</f>
        <v>18643</v>
      </c>
      <c r="F47" s="419"/>
      <c r="G47" s="420">
        <f>案例!Q30</f>
        <v>16536</v>
      </c>
      <c r="H47" s="421"/>
      <c r="I47" s="418">
        <f>案例!P79</f>
        <v>15033</v>
      </c>
      <c r="J47" s="421"/>
      <c r="K47" s="673"/>
      <c r="L47" s="2492"/>
      <c r="M47" s="2485"/>
      <c r="N47" s="2485"/>
      <c r="O47" s="2485"/>
      <c r="P47" s="3383" t="str">
        <f>A47</f>
        <v>成交单价（元/平方米）</v>
      </c>
      <c r="Q47" s="3383"/>
      <c r="R47" s="3384">
        <f>E47</f>
        <v>18643</v>
      </c>
      <c r="S47" s="3384"/>
      <c r="T47" s="3384">
        <f>G47</f>
        <v>16536</v>
      </c>
      <c r="U47" s="3384"/>
      <c r="V47" s="3384">
        <f>I47</f>
        <v>15033</v>
      </c>
      <c r="W47" s="3384"/>
      <c r="X47" s="384"/>
      <c r="Y47" s="672"/>
      <c r="Z47" s="384"/>
      <c r="AA47" s="384"/>
      <c r="AB47" s="384"/>
      <c r="AC47" s="384"/>
    </row>
    <row r="48" spans="1:29" ht="15" thickBot="1">
      <c r="A48" s="422" t="s">
        <v>1793</v>
      </c>
      <c r="B48" s="423"/>
      <c r="C48" s="1081">
        <f>R49</f>
        <v>16201</v>
      </c>
      <c r="D48" s="2140" t="s">
        <v>2138</v>
      </c>
      <c r="E48" s="1082">
        <f>R48</f>
        <v>17611</v>
      </c>
      <c r="F48" s="2141"/>
      <c r="G48" s="1081">
        <f>T48</f>
        <v>16080</v>
      </c>
      <c r="H48" s="2141"/>
      <c r="I48" s="1082">
        <f>V48</f>
        <v>14911</v>
      </c>
      <c r="J48" s="2141"/>
      <c r="K48" s="2143">
        <f>F48+H48+J48</f>
        <v>0</v>
      </c>
      <c r="L48" s="2492"/>
      <c r="M48" s="2485"/>
      <c r="N48" s="2485"/>
      <c r="O48" s="2485"/>
      <c r="P48" s="3383" t="str">
        <f>A48</f>
        <v>比较价值（元/平方米）</v>
      </c>
      <c r="Q48" s="3383"/>
      <c r="R48" s="3384">
        <f>IF(F1="售价",ROUND(PRODUCT(R47,AA7:AA46),0),ROUND(PRODUCT(R47,AA7:AA46),1))</f>
        <v>17611</v>
      </c>
      <c r="S48" s="3384"/>
      <c r="T48" s="3384">
        <f>IF(F1="售价",ROUND(PRODUCT(T47,AB7:AB46),0),ROUND(PRODUCT(T47,AB7:AB46),1))</f>
        <v>16080</v>
      </c>
      <c r="U48" s="3384"/>
      <c r="V48" s="3384">
        <f>IF(F1="售价",ROUND(PRODUCT(V47,AC7:AC46),0),ROUND(PRODUCT(V47,AC7:AC46),1))</f>
        <v>14911</v>
      </c>
      <c r="W48" s="3384"/>
      <c r="X48" s="384"/>
      <c r="Y48" s="384"/>
      <c r="Z48" s="384"/>
      <c r="AA48" s="384"/>
      <c r="AB48" s="384"/>
      <c r="AC48" s="384"/>
    </row>
    <row r="49" spans="1:29" ht="15" thickBot="1">
      <c r="A49" s="426" t="s">
        <v>1794</v>
      </c>
      <c r="B49" s="427"/>
      <c r="C49" s="350">
        <f>R49</f>
        <v>16201</v>
      </c>
      <c r="D49" s="350"/>
      <c r="E49" s="350"/>
      <c r="F49" s="350"/>
      <c r="G49" s="350"/>
      <c r="H49" s="350"/>
      <c r="I49" s="350"/>
      <c r="J49" s="350"/>
      <c r="K49" s="674"/>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16201</v>
      </c>
      <c r="S49" s="3387"/>
      <c r="T49" s="3387"/>
      <c r="U49" s="3387"/>
      <c r="V49" s="3387"/>
      <c r="W49" s="338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f>IF(E47&lt;E48,E48/E47-1,E47/E48-1)</f>
        <v>5.8599738799613776E-2</v>
      </c>
      <c r="F52" s="434" t="str">
        <f>IF(OR(E52&gt;=0.3,E52&lt;=-0.3),"超过30%","")</f>
        <v/>
      </c>
      <c r="G52" s="433">
        <f>IF(G47&lt;G48,G48/G47-1,G47/G48-1)</f>
        <v>2.8358208955223896E-2</v>
      </c>
      <c r="H52" s="434" t="str">
        <f>IF(OR(G52&gt;=0.3,G52&lt;=-0.3),"超过30%","")</f>
        <v/>
      </c>
      <c r="I52" s="433">
        <f>IF(I47&lt;I48,I48/I47-1,I47/I48-1)</f>
        <v>8.1818791496210963E-3</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f>IF(E48&lt;G48,G48/E48-1,E48/G48-1)</f>
        <v>9.5211442786069744E-2</v>
      </c>
      <c r="F53" s="434" t="str">
        <f>IF(OR(E53&gt;=0.2,E53&lt;=-0.2),"超过20%","")</f>
        <v/>
      </c>
      <c r="G53" s="433">
        <f>IF(G48&lt;I48,I48/G48-1,G48/I48-1)</f>
        <v>7.8398497753336516E-2</v>
      </c>
      <c r="H53" s="434" t="str">
        <f>IF(OR(G53&gt;=0.2,G53&lt;=-0.2),"超过20%","")</f>
        <v/>
      </c>
      <c r="I53" s="433">
        <f>IF(I48&lt;E48,E48/I48-1,I48/E48-1)</f>
        <v>0.18107437462276166</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f>IF(E47&lt;G47,G47/E47-1,E47/G47-1)</f>
        <v>0.12741896468311564</v>
      </c>
      <c r="F54" s="434" t="str">
        <f>IF(OR(E54&gt;=0.3,E54&lt;=-0.3),"超过30%","")</f>
        <v/>
      </c>
      <c r="G54" s="433">
        <f>IF(G47&lt;I47,I47/G47-1,G47/I47-1)</f>
        <v>9.9980043903412419E-2</v>
      </c>
      <c r="H54" s="434" t="str">
        <f>IF(OR(G54&gt;=0.3,G54&lt;=-0.3),"超过30%","")</f>
        <v/>
      </c>
      <c r="I54" s="433">
        <f>IF(I47&lt;E47,E47/I47-1,I47/E47-1)</f>
        <v>0.24013836226967333</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v>100</v>
      </c>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1776</v>
      </c>
      <c r="D61" s="3155" t="s">
        <v>3415</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v>102</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99</v>
      </c>
      <c r="E79" s="474">
        <f>D79-$K17</f>
        <v>98</v>
      </c>
      <c r="F79" s="474">
        <f>E79-$K17</f>
        <v>97</v>
      </c>
      <c r="G79" s="474">
        <f>F79-$K17</f>
        <v>96</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99</v>
      </c>
      <c r="E81" s="474">
        <f>D81-$K19</f>
        <v>98</v>
      </c>
      <c r="F81" s="474">
        <f>E81-$K19</f>
        <v>97</v>
      </c>
      <c r="G81" s="474">
        <f>F81-$K19</f>
        <v>96</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20"/>
      <c r="O87" s="2520"/>
      <c r="P87" s="2511"/>
      <c r="Q87" s="2506"/>
      <c r="R87" s="2438"/>
      <c r="S87" s="2438"/>
      <c r="T87" s="2438"/>
      <c r="U87" s="2438"/>
      <c r="V87" s="2438"/>
      <c r="W87" s="2438"/>
      <c r="X87" s="2438"/>
      <c r="Y87" s="2438"/>
      <c r="Z87" s="2438"/>
      <c r="AA87" s="2438"/>
      <c r="AB87" s="2438"/>
      <c r="AC87" s="2438"/>
    </row>
    <row r="88" spans="1:29" s="101" customFormat="1" ht="15" thickTop="1">
      <c r="A88" s="369"/>
      <c r="B88" s="468" t="str">
        <f>B26</f>
        <v>平面位置/可视性</v>
      </c>
      <c r="C88" s="3157" t="s">
        <v>3503</v>
      </c>
      <c r="D88" s="3157" t="s">
        <v>3502</v>
      </c>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v>100</v>
      </c>
      <c r="D89" s="466">
        <v>95</v>
      </c>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 thickTop="1">
      <c r="A90" s="483"/>
      <c r="B90" s="468" t="str">
        <f>B27</f>
        <v>人流量</v>
      </c>
      <c r="C90" s="3157" t="s">
        <v>3542</v>
      </c>
      <c r="D90" s="3157" t="s">
        <v>3543</v>
      </c>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1"/>
      <c r="O91" s="2521"/>
      <c r="P91" s="2512"/>
      <c r="Q91" s="2513"/>
      <c r="R91" s="2491"/>
      <c r="S91" s="2491"/>
      <c r="T91" s="2491"/>
      <c r="U91" s="2491"/>
      <c r="V91" s="2491"/>
      <c r="W91" s="2491"/>
      <c r="X91" s="2491"/>
      <c r="Y91" s="2491"/>
      <c r="Z91" s="2491"/>
      <c r="AA91" s="2491"/>
      <c r="AB91" s="2491"/>
      <c r="AC91" s="2491"/>
    </row>
    <row r="92" spans="1:29" ht="15" thickTop="1">
      <c r="A92" s="366"/>
      <c r="B92" s="468" t="str">
        <f>B28</f>
        <v>楼层</v>
      </c>
      <c r="C92" s="484" t="s">
        <v>3521</v>
      </c>
      <c r="D92" s="484" t="s">
        <v>3501</v>
      </c>
      <c r="E92" s="484" t="s">
        <v>3523</v>
      </c>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90">
        <v>100</v>
      </c>
      <c r="D93" s="466">
        <f>案例!C11</f>
        <v>153</v>
      </c>
      <c r="E93" s="466">
        <f>案例!C12</f>
        <v>118</v>
      </c>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512"/>
      <c r="D94" s="512"/>
      <c r="E94" s="512"/>
      <c r="F94" s="512"/>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66"/>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28.8">
      <c r="A100" s="378" t="s">
        <v>1694</v>
      </c>
      <c r="B100" s="459" t="s">
        <v>1805</v>
      </c>
      <c r="C100" s="3156" t="s">
        <v>3547</v>
      </c>
      <c r="D100" s="3156" t="s">
        <v>3549</v>
      </c>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0(含)-100</v>
      </c>
      <c r="D102" s="508" t="str">
        <f t="shared" ref="D102:L102" si="23">D103&amp;"(含)"&amp;"-"&amp;E103</f>
        <v>100(含)-200</v>
      </c>
      <c r="E102" s="508" t="str">
        <f t="shared" si="23"/>
        <v>200(含)-300</v>
      </c>
      <c r="F102" s="508" t="str">
        <f t="shared" si="23"/>
        <v>300(含)-700</v>
      </c>
      <c r="G102" s="508" t="str">
        <f t="shared" si="23"/>
        <v>700(含)-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100</v>
      </c>
      <c r="E103" s="6">
        <v>200</v>
      </c>
      <c r="F103" s="6">
        <v>300</v>
      </c>
      <c r="G103" s="6">
        <v>700</v>
      </c>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57" t="s">
        <v>3488</v>
      </c>
      <c r="D105" s="3157" t="s">
        <v>3490</v>
      </c>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6">C108-$K35</f>
        <v>98</v>
      </c>
      <c r="E108" s="474">
        <f t="shared" si="26"/>
        <v>96</v>
      </c>
      <c r="F108" s="474">
        <f t="shared" si="26"/>
        <v>94</v>
      </c>
      <c r="G108" s="474">
        <f t="shared" si="26"/>
        <v>92</v>
      </c>
      <c r="H108" s="474">
        <f t="shared" si="26"/>
        <v>90</v>
      </c>
      <c r="I108" s="474">
        <f t="shared" si="26"/>
        <v>88</v>
      </c>
      <c r="J108" s="474">
        <f t="shared" si="26"/>
        <v>86</v>
      </c>
      <c r="K108" s="474">
        <f t="shared" si="26"/>
        <v>84</v>
      </c>
      <c r="L108" s="474">
        <f t="shared" si="26"/>
        <v>82</v>
      </c>
      <c r="M108" s="475">
        <f t="shared" si="26"/>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102</v>
      </c>
      <c r="E111" s="474">
        <f t="shared" ref="E111:M111" si="27">D111+$K36</f>
        <v>104</v>
      </c>
      <c r="F111" s="474">
        <f t="shared" si="27"/>
        <v>106</v>
      </c>
      <c r="G111" s="474">
        <f t="shared" si="27"/>
        <v>108</v>
      </c>
      <c r="H111" s="474">
        <f t="shared" si="27"/>
        <v>110</v>
      </c>
      <c r="I111" s="474">
        <f t="shared" si="27"/>
        <v>112</v>
      </c>
      <c r="J111" s="474">
        <f t="shared" si="27"/>
        <v>114</v>
      </c>
      <c r="K111" s="474">
        <f t="shared" si="27"/>
        <v>116</v>
      </c>
      <c r="L111" s="474">
        <f t="shared" si="27"/>
        <v>118</v>
      </c>
      <c r="M111" s="474">
        <f t="shared" si="27"/>
        <v>120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3157" t="s">
        <v>3493</v>
      </c>
      <c r="D112" s="3157" t="s">
        <v>3494</v>
      </c>
      <c r="E112" s="3157" t="s">
        <v>3495</v>
      </c>
      <c r="F112" s="3157" t="s">
        <v>3496</v>
      </c>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57" t="s">
        <v>3497</v>
      </c>
      <c r="D114" s="3157" t="s">
        <v>3498</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9">C115-$K38</f>
        <v>95</v>
      </c>
      <c r="E115" s="474">
        <f t="shared" si="29"/>
        <v>90</v>
      </c>
      <c r="F115" s="474">
        <f t="shared" si="29"/>
        <v>85</v>
      </c>
      <c r="G115" s="474">
        <f t="shared" si="29"/>
        <v>80</v>
      </c>
      <c r="H115" s="474">
        <f t="shared" si="29"/>
        <v>75</v>
      </c>
      <c r="I115" s="474">
        <f t="shared" si="29"/>
        <v>70</v>
      </c>
      <c r="J115" s="474">
        <f t="shared" si="29"/>
        <v>65</v>
      </c>
      <c r="K115" s="474">
        <f t="shared" si="29"/>
        <v>60</v>
      </c>
      <c r="L115" s="474">
        <f t="shared" si="29"/>
        <v>55</v>
      </c>
      <c r="M115" s="475">
        <f t="shared" si="29"/>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57" t="s">
        <v>3426</v>
      </c>
      <c r="D122" s="3157" t="s">
        <v>3427</v>
      </c>
      <c r="E122" s="3157" t="s">
        <v>3428</v>
      </c>
      <c r="F122" s="3158" t="s">
        <v>3429</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23" sqref="F2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3407</v>
      </c>
      <c r="D1" s="1270" t="s">
        <v>43</v>
      </c>
      <c r="E1" s="1271" t="s">
        <v>678</v>
      </c>
      <c r="F1" s="998">
        <f ca="1">J53</f>
        <v>17</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94.671499999999995</v>
      </c>
      <c r="C2" s="1288" t="s">
        <v>879</v>
      </c>
      <c r="D2" s="1374">
        <f ca="1">C40+J29+L46</f>
        <v>946715</v>
      </c>
      <c r="E2" s="1294" t="s">
        <v>880</v>
      </c>
      <c r="F2" s="1295"/>
      <c r="G2" s="2476"/>
      <c r="H2" s="2466"/>
      <c r="I2" s="2466"/>
      <c r="J2" s="2466"/>
      <c r="K2" s="2467"/>
      <c r="L2" s="2466"/>
      <c r="M2" s="2466"/>
    </row>
    <row r="3" spans="1:37" ht="18" customHeight="1" thickBot="1">
      <c r="A3" s="1296" t="s">
        <v>881</v>
      </c>
      <c r="B3" s="1297">
        <f ca="1">IF(ISERROR(D2/F43),0,ROUND(D2/F43,0))</f>
        <v>6056</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77128</v>
      </c>
      <c r="D5" s="1272" t="s">
        <v>889</v>
      </c>
      <c r="E5" s="1007"/>
      <c r="F5" s="1008"/>
      <c r="G5" s="1291"/>
      <c r="H5" s="290">
        <v>1</v>
      </c>
      <c r="I5" s="291" t="s">
        <v>888</v>
      </c>
      <c r="J5" s="1006">
        <f ca="1">J6+J10+J12</f>
        <v>0</v>
      </c>
      <c r="K5" s="1272" t="s">
        <v>889</v>
      </c>
      <c r="L5" s="1007"/>
      <c r="M5" s="1008"/>
    </row>
    <row r="6" spans="1:37" ht="18" customHeight="1">
      <c r="A6" s="1005" t="s">
        <v>398</v>
      </c>
      <c r="B6" s="3286" t="s">
        <v>694</v>
      </c>
      <c r="C6" s="1010">
        <f ca="1">ROUND(F6*F8*F7*(1-F9),0)</f>
        <v>77032</v>
      </c>
      <c r="D6" s="146" t="s">
        <v>2106</v>
      </c>
      <c r="E6" s="293" t="s">
        <v>696</v>
      </c>
      <c r="F6" s="294">
        <f ca="1">INDIRECT("'数据-取费表'!u"&amp;$G$1)</f>
        <v>1.5</v>
      </c>
      <c r="G6" s="1291"/>
      <c r="H6" s="1005" t="s">
        <v>398</v>
      </c>
      <c r="I6" s="3286" t="s">
        <v>694</v>
      </c>
      <c r="J6" s="292">
        <f ca="1">ROUND(M6*M8*M7*(1-M9),0)</f>
        <v>0</v>
      </c>
      <c r="K6" s="1283" t="s">
        <v>2107</v>
      </c>
      <c r="L6" s="293" t="s">
        <v>696</v>
      </c>
      <c r="M6" s="294">
        <f ca="1">INDIRECT("'数据-取费表'!z"&amp;$G$1)</f>
        <v>0</v>
      </c>
    </row>
    <row r="7" spans="1:37" ht="18" customHeight="1">
      <c r="A7" s="1009"/>
      <c r="B7" s="3287"/>
      <c r="C7" s="1011"/>
      <c r="D7" s="298"/>
      <c r="E7" s="1012" t="s">
        <v>697</v>
      </c>
      <c r="F7" s="294">
        <f ca="1">IF(INDIRECT("'数据-取费表'!ah"&amp;$G$1)="",INDIRECT("'数据-取费表'!k"&amp;$G$1),INDIRECT("'数据-取费表'!ah"&amp;$G$1))</f>
        <v>156.33000000000001</v>
      </c>
      <c r="G7" s="1291"/>
      <c r="H7" s="295"/>
      <c r="I7" s="3287"/>
      <c r="J7" s="297"/>
      <c r="K7" s="298"/>
      <c r="L7" s="293" t="s">
        <v>697</v>
      </c>
      <c r="M7" s="294">
        <f ca="1">F7</f>
        <v>156.33000000000001</v>
      </c>
    </row>
    <row r="8" spans="1:37" ht="18" customHeight="1">
      <c r="A8" s="295"/>
      <c r="B8" s="3287"/>
      <c r="C8" s="297"/>
      <c r="D8" s="298"/>
      <c r="E8" s="293" t="s">
        <v>698</v>
      </c>
      <c r="F8" s="294">
        <f ca="1">INDIRECT("'数据-取费表'!ai"&amp;$G$1)</f>
        <v>365</v>
      </c>
      <c r="G8" s="1291"/>
      <c r="H8" s="295"/>
      <c r="I8" s="3287"/>
      <c r="J8" s="297"/>
      <c r="K8" s="298"/>
      <c r="L8" s="293" t="s">
        <v>698</v>
      </c>
      <c r="M8" s="294">
        <f ca="1">INDIRECT("'数据-取费表'!ai"&amp;$G$1)</f>
        <v>365</v>
      </c>
    </row>
    <row r="9" spans="1:37" ht="18" customHeight="1">
      <c r="A9" s="295"/>
      <c r="B9" s="3288"/>
      <c r="C9" s="297"/>
      <c r="D9" s="298"/>
      <c r="E9" s="293" t="s">
        <v>699</v>
      </c>
      <c r="F9" s="303">
        <f ca="1">INDIRECT("'数据-取费表'!w"&amp;$G$1)</f>
        <v>0.1</v>
      </c>
      <c r="G9" s="1291"/>
      <c r="H9" s="295"/>
      <c r="I9" s="3288"/>
      <c r="J9" s="297"/>
      <c r="K9" s="298"/>
      <c r="L9" s="304" t="s">
        <v>699</v>
      </c>
      <c r="M9" s="305">
        <f ca="1">INDIRECT("'数据-取费表'!ab"&amp;$G$1)</f>
        <v>0</v>
      </c>
    </row>
    <row r="10" spans="1:37" ht="18" customHeight="1">
      <c r="A10" s="1005" t="s">
        <v>402</v>
      </c>
      <c r="B10" s="1273" t="s">
        <v>700</v>
      </c>
      <c r="C10" s="307">
        <f ca="1">ROUND(IF(F10="押一",C6/12*F11,IF(F10="押二",C6/12*2*F11,IF(F10="押三",C6/12*3*F11,C11*F11))),0)</f>
        <v>96</v>
      </c>
      <c r="D10" s="149" t="s">
        <v>2116</v>
      </c>
      <c r="E10" s="304" t="s">
        <v>701</v>
      </c>
      <c r="F10" s="1052" t="s">
        <v>3416</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451293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468990</v>
      </c>
      <c r="D14" s="1256" t="s">
        <v>708</v>
      </c>
      <c r="E14" s="1254"/>
      <c r="F14" s="310"/>
      <c r="G14" s="1291"/>
      <c r="H14" s="927" t="s">
        <v>398</v>
      </c>
      <c r="I14" s="293" t="s">
        <v>709</v>
      </c>
      <c r="J14" s="21">
        <f ca="1">C29</f>
        <v>644704</v>
      </c>
      <c r="K14" s="12"/>
      <c r="L14" s="758"/>
      <c r="M14" s="759"/>
    </row>
    <row r="15" spans="1:37" s="1303" customFormat="1" ht="18" customHeight="1" thickBot="1">
      <c r="A15" s="927" t="s">
        <v>399</v>
      </c>
      <c r="B15" s="293" t="s">
        <v>710</v>
      </c>
      <c r="C15" s="21">
        <f ca="1">ROUND(C14*F15,0)</f>
        <v>14070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1289</v>
      </c>
      <c r="K16" s="1023" t="s">
        <v>715</v>
      </c>
      <c r="L16" s="1024"/>
      <c r="M16" s="1008"/>
    </row>
    <row r="17" spans="1:37" s="1303" customFormat="1" ht="18" customHeight="1">
      <c r="A17" s="927" t="s">
        <v>681</v>
      </c>
      <c r="B17" s="293" t="s">
        <v>716</v>
      </c>
      <c r="C17" s="21">
        <f ca="1">ROUND(F17*(F43+INDIRECT("'数据-取费表'!S"&amp;$G$1)),0)</f>
        <v>31266</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9380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523706</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10474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1289</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8947</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-1289</v>
      </c>
      <c r="K25" s="1031" t="s">
        <v>753</v>
      </c>
      <c r="L25" s="1032"/>
      <c r="M25" s="1033"/>
    </row>
    <row r="26" spans="1:37" ht="18" customHeight="1">
      <c r="A26" s="927" t="s">
        <v>397</v>
      </c>
      <c r="B26" s="293" t="s">
        <v>754</v>
      </c>
      <c r="C26" s="21">
        <f ca="1">ROUND((C19+C20)*F26,0)</f>
        <v>53418</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644704</v>
      </c>
      <c r="D29" s="1028"/>
      <c r="E29" s="1026"/>
      <c r="F29" s="1029"/>
      <c r="G29" s="1302"/>
      <c r="H29" s="324" t="s">
        <v>396</v>
      </c>
      <c r="I29" s="325" t="s">
        <v>768</v>
      </c>
      <c r="J29" s="326">
        <f ca="1">ROUND(J26/(1+F40)^F41,0)</f>
        <v>0</v>
      </c>
      <c r="K29" s="327" t="s">
        <v>769</v>
      </c>
      <c r="L29" s="328"/>
      <c r="M29" s="329">
        <f ca="1">INDIRECT("'数据-取费表'!k"&amp;$G$1)</f>
        <v>156.33000000000001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7261</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5135</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1289</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451</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386</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69867</v>
      </c>
      <c r="D39" s="1031" t="s">
        <v>773</v>
      </c>
      <c r="E39" s="1032"/>
      <c r="F39" s="1033"/>
      <c r="G39" s="1291"/>
      <c r="H39" s="2471"/>
      <c r="I39" s="1304"/>
      <c r="J39" s="1305"/>
      <c r="K39" s="2469"/>
      <c r="L39" s="2471"/>
      <c r="M39" s="2471"/>
    </row>
    <row r="40" spans="1:18" ht="18" customHeight="1">
      <c r="A40" s="290" t="s">
        <v>395</v>
      </c>
      <c r="B40" s="291" t="s">
        <v>774</v>
      </c>
      <c r="C40" s="292">
        <f ca="1">ROUND(C39*(1-((1+F42)/(1+F40))^F41)/(F40-F42),0)</f>
        <v>871297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17</v>
      </c>
      <c r="G41" s="1291"/>
      <c r="H41" s="120">
        <f ca="1">C39/C5</f>
        <v>0.90585779483456075</v>
      </c>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5573</v>
      </c>
      <c r="D43" s="327" t="s">
        <v>777</v>
      </c>
      <c r="E43" s="328" t="s">
        <v>778</v>
      </c>
      <c r="F43" s="329">
        <f ca="1">INDIRECT("'数据-取费表'!k"&amp;$G$1)</f>
        <v>156.33000000000001</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3350</v>
      </c>
      <c r="B45" s="1306"/>
      <c r="C45" s="1375">
        <f ca="1">ROUND((C68-C40)/10000,4)</f>
        <v>-89.020099999999999</v>
      </c>
      <c r="D45" s="3128" t="s">
        <v>3351</v>
      </c>
      <c r="E45" s="1306"/>
      <c r="F45" s="1306"/>
      <c r="O45" s="1309" t="s">
        <v>808</v>
      </c>
      <c r="P45" s="1365"/>
      <c r="Q45" s="1365"/>
      <c r="R45" s="1365"/>
    </row>
    <row r="46" spans="1:18" s="1291" customFormat="1" ht="13.8" thickBot="1">
      <c r="A46" s="1310" t="s">
        <v>809</v>
      </c>
      <c r="C46" s="1311">
        <f ca="1">ROUND(C45,0)</f>
        <v>-89</v>
      </c>
      <c r="D46" s="1312" t="str">
        <f>C2</f>
        <v>万元</v>
      </c>
      <c r="I46" s="1313" t="s">
        <v>810</v>
      </c>
      <c r="J46" s="1314"/>
      <c r="K46" s="1315"/>
      <c r="L46" s="1316">
        <f ca="1">IF(M47="住宅",0,IF(L48&gt;J51,L60,J60))</f>
        <v>75418</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3417</v>
      </c>
      <c r="K47" s="1322" t="s">
        <v>816</v>
      </c>
      <c r="L47" s="1323">
        <f ca="1">INDIRECT("'数据-取费表'!d"&amp;$G$1)</f>
        <v>40</v>
      </c>
      <c r="M47" s="1287" t="str">
        <f>IF(ISNUMBER(FIND("住宅",C1)),"住宅","非住宅")</f>
        <v>非住宅</v>
      </c>
      <c r="O47" s="1324" t="s">
        <v>403</v>
      </c>
      <c r="P47" s="1325" t="s">
        <v>817</v>
      </c>
      <c r="Q47" s="1326">
        <f ca="1">C40+J29</f>
        <v>871297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3418</v>
      </c>
      <c r="K48" s="1329" t="s">
        <v>820</v>
      </c>
      <c r="L48" s="1330">
        <f ca="1">INDIRECT("'数据-取费表'!f"&amp;$G$1)</f>
        <v>17</v>
      </c>
      <c r="O48" s="1324" t="s">
        <v>404</v>
      </c>
      <c r="P48" s="1325" t="s">
        <v>821</v>
      </c>
      <c r="Q48" s="1326">
        <f ca="1">J60</f>
        <v>75418</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'数据-取费表'!N19</f>
        <v>2002</v>
      </c>
      <c r="K49" s="1329" t="s">
        <v>824</v>
      </c>
      <c r="L49" s="1332"/>
      <c r="O49" s="1333" t="s">
        <v>405</v>
      </c>
      <c r="P49" s="1325" t="s">
        <v>825</v>
      </c>
      <c r="Q49" s="1326">
        <f ca="1">C29</f>
        <v>644704</v>
      </c>
      <c r="R49" s="1326" t="s">
        <v>818</v>
      </c>
    </row>
    <row r="50" spans="1:18" s="1291" customFormat="1" ht="13.8" thickBot="1">
      <c r="A50" s="921"/>
      <c r="B50" s="924"/>
      <c r="C50" s="925"/>
      <c r="D50" s="898"/>
      <c r="E50" s="992" t="s">
        <v>697</v>
      </c>
      <c r="F50" s="993">
        <f ca="1">F7</f>
        <v>156.33000000000001</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28</v>
      </c>
      <c r="K51" s="1338" t="s">
        <v>830</v>
      </c>
      <c r="L51" s="1339">
        <f ca="1">ROUND(-PV(INDIRECT("'数据-取费表'!h"&amp;$G$1),J51,(C39-C13*C76),0),0)</f>
        <v>570248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17</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v>
      </c>
      <c r="K53" s="3284" t="s">
        <v>837</v>
      </c>
      <c r="L53" s="3285"/>
      <c r="O53" s="1324" t="s">
        <v>409</v>
      </c>
      <c r="P53" s="1325" t="s">
        <v>838</v>
      </c>
      <c r="Q53" s="1326">
        <f ca="1">Q47+Q48</f>
        <v>946715</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451293</v>
      </c>
      <c r="D56" s="1351"/>
      <c r="E56" s="1352"/>
      <c r="F56" s="1344"/>
      <c r="I56" s="1353" t="s">
        <v>842</v>
      </c>
      <c r="J56" s="1354" t="s">
        <v>3419</v>
      </c>
      <c r="K56" s="1327" t="s">
        <v>843</v>
      </c>
      <c r="L56" s="1330" t="str">
        <f ca="1">IF(L48&lt;J51,"——",L48-J51)</f>
        <v>——</v>
      </c>
      <c r="O56" s="1324" t="s">
        <v>403</v>
      </c>
      <c r="P56" s="1325" t="s">
        <v>817</v>
      </c>
      <c r="Q56" s="1326">
        <f ca="1">C40+J29</f>
        <v>871297</v>
      </c>
      <c r="R56" s="1326" t="s">
        <v>818</v>
      </c>
    </row>
    <row r="57" spans="1:18" s="1291" customFormat="1" ht="24.6" thickBot="1">
      <c r="A57" s="1355"/>
      <c r="B57" s="895" t="s">
        <v>767</v>
      </c>
      <c r="C57" s="229">
        <f ca="1">C29</f>
        <v>644704</v>
      </c>
      <c r="D57" s="1356"/>
      <c r="E57" s="1357"/>
      <c r="F57" s="1358"/>
      <c r="I57" s="1359" t="s">
        <v>844</v>
      </c>
      <c r="J57" s="1360">
        <f ca="1">IF(OR(M47="住宅",J51&lt;L48,J56="是"),"——",J51-L48)</f>
        <v>11</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1740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257882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75418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871297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1289</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451</v>
      </c>
      <c r="D65" s="909" t="s">
        <v>743</v>
      </c>
      <c r="E65" s="895" t="s">
        <v>744</v>
      </c>
      <c r="F65" s="320">
        <f t="shared" ca="1" si="0"/>
        <v>1E-3</v>
      </c>
      <c r="I65" s="1366" t="s">
        <v>867</v>
      </c>
      <c r="J65" s="609">
        <v>40</v>
      </c>
      <c r="K65" s="609">
        <v>30</v>
      </c>
      <c r="L65" s="609">
        <v>50</v>
      </c>
      <c r="M65" s="1368">
        <v>0.02</v>
      </c>
      <c r="O65" s="1324" t="s">
        <v>403</v>
      </c>
      <c r="P65" s="1325" t="s">
        <v>868</v>
      </c>
      <c r="Q65" s="1326">
        <f ca="1">C40+J29</f>
        <v>871297</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-1740</v>
      </c>
      <c r="D67" s="908" t="s">
        <v>753</v>
      </c>
      <c r="E67" s="913"/>
      <c r="F67" s="914"/>
      <c r="O67" s="1333" t="s">
        <v>405</v>
      </c>
      <c r="P67" s="1325" t="s">
        <v>850</v>
      </c>
      <c r="Q67" s="1369">
        <f ca="1">L51</f>
        <v>570248</v>
      </c>
      <c r="R67" s="1326" t="s">
        <v>870</v>
      </c>
    </row>
    <row r="68" spans="1:18" s="1291" customFormat="1" ht="16.2" thickBot="1">
      <c r="A68" s="892" t="s">
        <v>395</v>
      </c>
      <c r="B68" s="893" t="s">
        <v>774</v>
      </c>
      <c r="C68" s="292">
        <f ca="1">ROUND(C67*(1-((1+F70)/(1+F68))^F69)/(F68-F70),0)</f>
        <v>-18904</v>
      </c>
      <c r="D68" s="910" t="s">
        <v>758</v>
      </c>
      <c r="E68" s="895" t="s">
        <v>759</v>
      </c>
      <c r="F68" s="303">
        <f ca="1">F40</f>
        <v>5.5E-2</v>
      </c>
      <c r="O68" s="1333" t="s">
        <v>406</v>
      </c>
      <c r="P68" s="1370" t="s">
        <v>871</v>
      </c>
      <c r="Q68" s="1326">
        <f ca="1">ROUND(Q69-Q70*Q71,0)</f>
        <v>38276</v>
      </c>
      <c r="R68" s="1326" t="s">
        <v>414</v>
      </c>
    </row>
    <row r="69" spans="1:18" s="1291" customFormat="1" ht="13.8" thickBot="1">
      <c r="A69" s="896"/>
      <c r="B69" s="897"/>
      <c r="C69" s="297"/>
      <c r="D69" s="915" t="s">
        <v>762</v>
      </c>
      <c r="E69" s="895" t="s">
        <v>763</v>
      </c>
      <c r="F69" s="323">
        <f ca="1">F41</f>
        <v>17</v>
      </c>
      <c r="O69" s="1333" t="s">
        <v>411</v>
      </c>
      <c r="P69" s="1370" t="s">
        <v>872</v>
      </c>
      <c r="Q69" s="1326">
        <f ca="1">C39</f>
        <v>69867</v>
      </c>
      <c r="R69" s="1326" t="s">
        <v>818</v>
      </c>
    </row>
    <row r="70" spans="1:18" s="1291" customFormat="1" ht="13.8" thickBot="1">
      <c r="A70" s="899"/>
      <c r="B70" s="900"/>
      <c r="C70" s="301"/>
      <c r="D70" s="911"/>
      <c r="E70" s="895" t="s">
        <v>766</v>
      </c>
      <c r="F70" s="990"/>
      <c r="O70" s="1333" t="s">
        <v>412</v>
      </c>
      <c r="P70" s="1370" t="s">
        <v>873</v>
      </c>
      <c r="Q70" s="1326">
        <f ca="1">C13</f>
        <v>451293</v>
      </c>
      <c r="R70" s="1326" t="s">
        <v>818</v>
      </c>
    </row>
    <row r="71" spans="1:18" s="1291" customFormat="1" ht="13.8" thickBot="1">
      <c r="A71" s="916" t="s">
        <v>396</v>
      </c>
      <c r="B71" s="917" t="s">
        <v>776</v>
      </c>
      <c r="C71" s="326">
        <f ca="1">ROUND(C68/F71,0)</f>
        <v>-121</v>
      </c>
      <c r="D71" s="918" t="s">
        <v>777</v>
      </c>
      <c r="E71" s="919" t="s">
        <v>778</v>
      </c>
      <c r="F71" s="329">
        <f ca="1">F43</f>
        <v>156.33000000000001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31591</v>
      </c>
      <c r="D75" s="1291"/>
      <c r="E75" s="1291"/>
      <c r="F75" s="1291"/>
      <c r="K75" s="1308"/>
      <c r="L75" s="1291"/>
      <c r="O75" s="1324" t="s">
        <v>409</v>
      </c>
      <c r="P75" s="1325" t="s">
        <v>838</v>
      </c>
      <c r="Q75" s="1326">
        <f ca="1">Q65+Q66</f>
        <v>871297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0.54800000000000004</v>
      </c>
    </row>
    <row r="80" spans="1:18">
      <c r="B80" s="330" t="s">
        <v>800</v>
      </c>
      <c r="C80" s="265">
        <f ca="1">ROUND(C75/C39,3)</f>
        <v>0.45200000000000001</v>
      </c>
    </row>
    <row r="81" spans="2:3">
      <c r="B81" s="261" t="s">
        <v>801</v>
      </c>
      <c r="C81" s="229"/>
    </row>
    <row r="82" spans="2:3">
      <c r="B82" s="264" t="s">
        <v>802</v>
      </c>
      <c r="C82" s="266">
        <f ca="1">1-C83</f>
        <v>0.48199999999999998</v>
      </c>
    </row>
    <row r="83" spans="2:3">
      <c r="B83" s="264" t="s">
        <v>803</v>
      </c>
      <c r="C83" s="265">
        <f ca="1">ROUND(C13/C40,3)</f>
        <v>0.51800000000000002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2" t="s">
        <v>2315</v>
      </c>
      <c r="B2" s="2592" t="e">
        <f>IF(D2="——",C40,C40+E2)</f>
        <v>#DIV/0!</v>
      </c>
      <c r="C2" s="2593" t="s">
        <v>2316</v>
      </c>
      <c r="D2" s="3136" t="s">
        <v>3357</v>
      </c>
      <c r="E2" s="3137"/>
      <c r="F2" s="2595"/>
      <c r="G2" s="2596"/>
      <c r="H2" s="2597"/>
      <c r="I2" s="2598"/>
      <c r="J2" s="3435" t="s">
        <v>2317</v>
      </c>
      <c r="K2" s="3436"/>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37" t="s">
        <v>2327</v>
      </c>
      <c r="K3" s="3438"/>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37" t="s">
        <v>2329</v>
      </c>
      <c r="K4" s="3438"/>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43" t="s">
        <v>2333</v>
      </c>
      <c r="B6" s="3444"/>
      <c r="C6" s="3445"/>
      <c r="D6" s="2619"/>
      <c r="E6" s="2620"/>
      <c r="F6" s="2621"/>
      <c r="G6" s="2622"/>
      <c r="H6" s="2597"/>
      <c r="I6" s="2598"/>
      <c r="J6" s="3429">
        <v>1</v>
      </c>
      <c r="K6" s="3430"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9"/>
      <c r="K7" s="3431"/>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46" t="s">
        <v>2347</v>
      </c>
      <c r="C8" s="3447"/>
      <c r="D8" s="2638" t="s">
        <v>2348</v>
      </c>
      <c r="E8" s="2639" t="s">
        <v>2349</v>
      </c>
      <c r="F8" s="2640" t="s">
        <v>2350</v>
      </c>
      <c r="G8" s="2641"/>
      <c r="H8" s="2597"/>
      <c r="I8" s="2598"/>
      <c r="J8" s="3429"/>
      <c r="K8" s="3431"/>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46" t="s">
        <v>2353</v>
      </c>
      <c r="C9" s="3447"/>
      <c r="D9" s="2638">
        <f>ROUND(D6*E9,0)</f>
        <v>0</v>
      </c>
      <c r="E9" s="2642"/>
      <c r="F9" s="2643" t="s">
        <v>2354</v>
      </c>
      <c r="G9" s="2622"/>
      <c r="H9" s="2597"/>
      <c r="I9" s="2598"/>
      <c r="J9" s="3429"/>
      <c r="K9" s="3431"/>
      <c r="L9" s="2632" t="s">
        <v>2355</v>
      </c>
      <c r="M9" s="2633"/>
      <c r="N9" s="2609"/>
      <c r="O9" s="2634"/>
      <c r="P9" s="2634"/>
      <c r="Q9" s="2635">
        <v>365</v>
      </c>
      <c r="R9" s="2636">
        <f t="shared" si="0"/>
        <v>0</v>
      </c>
      <c r="S9" s="2590"/>
      <c r="T9" s="2590"/>
      <c r="U9" s="2590"/>
      <c r="V9" s="2598"/>
    </row>
    <row r="10" spans="1:22" s="2602" customFormat="1" ht="13.2" customHeight="1">
      <c r="A10" s="2637">
        <v>2</v>
      </c>
      <c r="B10" s="3446" t="s">
        <v>2356</v>
      </c>
      <c r="C10" s="3447"/>
      <c r="D10" s="2638">
        <f>ROUND(D6*E10,0)</f>
        <v>0</v>
      </c>
      <c r="E10" s="2642"/>
      <c r="F10" s="2643" t="s">
        <v>2357</v>
      </c>
      <c r="G10" s="2622"/>
      <c r="H10" s="2597"/>
      <c r="I10" s="2598"/>
      <c r="J10" s="3429"/>
      <c r="K10" s="3431"/>
      <c r="L10" s="2632" t="s">
        <v>2358</v>
      </c>
      <c r="M10" s="2633"/>
      <c r="N10" s="2609"/>
      <c r="O10" s="2634"/>
      <c r="P10" s="2634"/>
      <c r="Q10" s="2635">
        <v>365</v>
      </c>
      <c r="R10" s="2636">
        <f t="shared" si="0"/>
        <v>0</v>
      </c>
      <c r="S10" s="2590"/>
      <c r="T10" s="2590"/>
      <c r="U10" s="2590"/>
      <c r="V10" s="2598"/>
    </row>
    <row r="11" spans="1:22" s="2602" customFormat="1" ht="13.2" customHeight="1">
      <c r="A11" s="2637">
        <v>3</v>
      </c>
      <c r="B11" s="3446" t="s">
        <v>2359</v>
      </c>
      <c r="C11" s="3447"/>
      <c r="D11" s="2638">
        <f>D12+D14+D15+D16</f>
        <v>0</v>
      </c>
      <c r="E11" s="2644" t="e">
        <f>D11/D6</f>
        <v>#DIV/0!</v>
      </c>
      <c r="F11" s="2640"/>
      <c r="G11" s="2641"/>
      <c r="H11" s="2597"/>
      <c r="I11" s="2598"/>
      <c r="J11" s="3429"/>
      <c r="K11" s="3431"/>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9" t="s">
        <v>2362</v>
      </c>
      <c r="C12" s="3440"/>
      <c r="D12" s="2646">
        <f>ROUND(D13*1.2%*(1-30%),0)</f>
        <v>0</v>
      </c>
      <c r="E12" s="2647">
        <v>1.2E-2</v>
      </c>
      <c r="F12" s="2640" t="s">
        <v>2363</v>
      </c>
      <c r="G12" s="2641"/>
      <c r="H12" s="2597"/>
      <c r="I12" s="2598"/>
      <c r="J12" s="3429"/>
      <c r="K12" s="3431"/>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9"/>
      <c r="K13" s="3431"/>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9" t="s">
        <v>2368</v>
      </c>
      <c r="C14" s="3440"/>
      <c r="D14" s="2646">
        <f>ROUND(E14*B5/10000,0)</f>
        <v>0</v>
      </c>
      <c r="E14" s="2635"/>
      <c r="F14" s="2640" t="s">
        <v>2369</v>
      </c>
      <c r="G14" s="2641"/>
      <c r="H14" s="2597"/>
      <c r="I14" s="2598"/>
      <c r="J14" s="3429"/>
      <c r="K14" s="3432"/>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9" t="s">
        <v>2372</v>
      </c>
      <c r="C15" s="3440"/>
      <c r="D15" s="2646">
        <f>ROUND(D6*E15,0)</f>
        <v>0</v>
      </c>
      <c r="E15" s="2647">
        <v>5.5E-2</v>
      </c>
      <c r="F15" s="2640" t="s">
        <v>2373</v>
      </c>
      <c r="G15" s="2622"/>
      <c r="H15" s="2597"/>
      <c r="I15" s="2598"/>
      <c r="J15" s="3429">
        <v>2</v>
      </c>
      <c r="K15" s="3430"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9" t="s">
        <v>2381</v>
      </c>
      <c r="C16" s="3440"/>
      <c r="D16" s="2657">
        <f>D6*E16</f>
        <v>0</v>
      </c>
      <c r="E16" s="2658"/>
      <c r="F16" s="2643" t="s">
        <v>2382</v>
      </c>
      <c r="G16" s="2622"/>
      <c r="H16" s="2597"/>
      <c r="I16" s="2598"/>
      <c r="J16" s="3429"/>
      <c r="K16" s="3431"/>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41" t="s">
        <v>2384</v>
      </c>
      <c r="C17" s="3442"/>
      <c r="D17" s="2660">
        <f>ROUND(D6*E17,0)</f>
        <v>0</v>
      </c>
      <c r="E17" s="2661"/>
      <c r="F17" s="2662" t="s">
        <v>2385</v>
      </c>
      <c r="G17" s="2622"/>
      <c r="H17" s="2597"/>
      <c r="I17" s="2598"/>
      <c r="J17" s="3429"/>
      <c r="K17" s="3431"/>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9"/>
      <c r="K18" s="3431"/>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9"/>
      <c r="K19" s="3432"/>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9">
        <v>3</v>
      </c>
      <c r="K20" s="3430"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9"/>
      <c r="K21" s="3431"/>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9"/>
      <c r="K22" s="3431"/>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9"/>
      <c r="K23" s="3431"/>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9"/>
      <c r="K24" s="3432"/>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35" t="s">
        <v>2317</v>
      </c>
      <c r="K32" s="3436"/>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37" t="s">
        <v>2327</v>
      </c>
      <c r="K33" s="3438"/>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37" t="s">
        <v>2329</v>
      </c>
      <c r="K34" s="343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9">
        <v>1</v>
      </c>
      <c r="K36" s="3430"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9"/>
      <c r="K37" s="3431"/>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9"/>
      <c r="K38" s="3431"/>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9"/>
      <c r="K39" s="3431"/>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9"/>
      <c r="K40" s="3432"/>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189.34299999999999</v>
      </c>
      <c r="C2" s="1728" t="s">
        <v>1651</v>
      </c>
      <c r="D2" s="1729" t="s">
        <v>1652</v>
      </c>
      <c r="E2" s="2391">
        <f>SUM(E6:E13)</f>
        <v>312.66000000000003</v>
      </c>
      <c r="F2" s="2477"/>
      <c r="G2" s="458"/>
      <c r="H2" s="458"/>
      <c r="I2" s="458"/>
      <c r="J2" s="458"/>
      <c r="K2" s="458"/>
      <c r="L2" s="458"/>
      <c r="M2" s="458"/>
      <c r="N2" s="458"/>
      <c r="O2" s="458"/>
      <c r="P2" s="458"/>
      <c r="Q2" s="458"/>
      <c r="R2" s="458"/>
      <c r="S2" s="458"/>
    </row>
    <row r="3" spans="1:22" ht="15.6">
      <c r="A3" s="1727" t="s">
        <v>686</v>
      </c>
      <c r="B3" s="2385">
        <f ca="1">ROUND(B2*10000/E2,0)</f>
        <v>6056</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448" t="s">
        <v>1654</v>
      </c>
      <c r="C5" s="3449"/>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(元)1号</v>
      </c>
      <c r="B6" s="2386">
        <f ca="1">IF(F6="是",'数据-取费表'!AO6,0)</f>
        <v>94.671499999999995</v>
      </c>
      <c r="C6" s="1728" t="s">
        <v>1651</v>
      </c>
      <c r="D6" s="2477"/>
      <c r="E6" s="2390">
        <f>IF(OR(A6=0,F6="否"),0,'数据-取费表'!K6+'数据-取费表'!S6)</f>
        <v>156.33000000000001</v>
      </c>
      <c r="F6" s="1731" t="s">
        <v>1657</v>
      </c>
      <c r="G6" s="458"/>
      <c r="H6" s="458"/>
      <c r="I6" s="458"/>
      <c r="J6" s="458"/>
      <c r="K6" s="458"/>
      <c r="L6" s="458"/>
      <c r="M6" s="458"/>
      <c r="N6" s="458"/>
      <c r="O6" s="458"/>
      <c r="P6" s="458"/>
      <c r="Q6" s="458"/>
      <c r="R6" s="458"/>
      <c r="S6" s="458"/>
    </row>
    <row r="7" spans="1:22" ht="14.4">
      <c r="A7" s="2388" t="str">
        <f>'数据-取费表'!AN7</f>
        <v>收益法 (元)2号</v>
      </c>
      <c r="B7" s="2386">
        <f ca="1">IF(F7="是",'数据-取费表'!AO7,0)</f>
        <v>94.671499999999995</v>
      </c>
      <c r="C7" s="1728" t="s">
        <v>1651</v>
      </c>
      <c r="D7" s="2477"/>
      <c r="E7" s="2390">
        <f>IF(OR(A7=0,F7="否"),0,'数据-取费表'!K7+'数据-取费表'!S7)</f>
        <v>156.33000000000001</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受贵公司委托，我公司对北京市延庆县燕水佳园14号楼1至2层1号、2号进行了预评估。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估价对象为北京市延庆县燕水佳园14号楼1至2层1号、2号房地产，为1号郑亚军、2号卓莹莹所有。根据《国有土地使用证》[]，估价对象（分摊）出让国有建设用地使用权面积为0平方米，建筑面积为312.66平方米。</v>
      </c>
    </row>
    <row r="8" spans="1:1" ht="54.6">
      <c r="A8" s="1384" t="s">
        <v>901</v>
      </c>
    </row>
    <row r="9" spans="1:1" ht="17.399999999999999">
      <c r="A9" s="1383" t="s">
        <v>902</v>
      </c>
    </row>
    <row r="10" spans="1:1" ht="69.599999999999994">
      <c r="A10" s="1381" t="str">
        <f>"估价对象为"&amp;项目基本情况!S2&amp;IF(结果表1号!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2024年9月27日（评估专业人员实地查勘之日）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27日，估价对象规划用途为商业，土地取得方式为出让，出让国有建设用地使用权剩余土地使用年限为17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号!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号!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"本次评估采用的主估价方法为"&amp;结果表1号!K4&amp;"和"&amp;结果表1号!L4&amp;"。"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312.66000000000003</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01" t="s">
        <v>1667</v>
      </c>
      <c r="D4" s="3402"/>
      <c r="E4" s="3403" t="s">
        <v>1668</v>
      </c>
      <c r="F4" s="3404"/>
      <c r="G4" s="3401" t="s">
        <v>1669</v>
      </c>
      <c r="H4" s="3402"/>
      <c r="I4" s="3401" t="s">
        <v>1670</v>
      </c>
      <c r="J4" s="3402"/>
      <c r="K4" s="1743" t="s">
        <v>1671</v>
      </c>
      <c r="L4" s="2484"/>
      <c r="M4" s="2485"/>
      <c r="N4" s="2485"/>
      <c r="O4" s="2485"/>
      <c r="P4" s="3405" t="s">
        <v>1672</v>
      </c>
      <c r="Q4" s="3406"/>
      <c r="R4" s="3411" t="s">
        <v>1668</v>
      </c>
      <c r="S4" s="3412"/>
      <c r="T4" s="3411" t="s">
        <v>1669</v>
      </c>
      <c r="U4" s="3412"/>
      <c r="V4" s="3384" t="s">
        <v>1670</v>
      </c>
      <c r="W4" s="3384"/>
      <c r="X4" s="1264"/>
      <c r="Y4" s="3411" t="s">
        <v>1672</v>
      </c>
      <c r="Z4" s="3412"/>
      <c r="AA4" s="3398" t="s">
        <v>1668</v>
      </c>
      <c r="AB4" s="3398" t="s">
        <v>1669</v>
      </c>
      <c r="AC4" s="3398" t="s">
        <v>1670</v>
      </c>
    </row>
    <row r="5" spans="1:29">
      <c r="A5" s="347"/>
      <c r="B5" s="348"/>
      <c r="C5" s="3419" t="s">
        <v>1673</v>
      </c>
      <c r="D5" s="3420"/>
      <c r="E5" s="3427" t="s">
        <v>1674</v>
      </c>
      <c r="F5" s="3428"/>
      <c r="G5" s="3419" t="s">
        <v>1675</v>
      </c>
      <c r="H5" s="3420"/>
      <c r="I5" s="3419" t="s">
        <v>1676</v>
      </c>
      <c r="J5" s="3420"/>
      <c r="K5" s="1744"/>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1744"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21" t="s">
        <v>1680</v>
      </c>
      <c r="Q7" s="3423"/>
      <c r="R7" s="663" t="s">
        <v>20</v>
      </c>
      <c r="S7" s="664">
        <f t="shared" ref="S7:S15" si="0">F7</f>
        <v>0</v>
      </c>
      <c r="T7" s="663" t="s">
        <v>20</v>
      </c>
      <c r="U7" s="664">
        <f t="shared" ref="U7:U15" si="1">H7</f>
        <v>0</v>
      </c>
      <c r="V7" s="663" t="s">
        <v>20</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21" t="s">
        <v>1683</v>
      </c>
      <c r="Q8" s="3422"/>
      <c r="R8" s="663" t="s">
        <v>20</v>
      </c>
      <c r="S8" s="664">
        <f t="shared" si="0"/>
        <v>100</v>
      </c>
      <c r="T8" s="663" t="s">
        <v>20</v>
      </c>
      <c r="U8" s="664">
        <f t="shared" si="1"/>
        <v>100</v>
      </c>
      <c r="V8" s="663" t="s">
        <v>20</v>
      </c>
      <c r="W8" s="664">
        <f t="shared" si="2"/>
        <v>100</v>
      </c>
      <c r="X8" s="665"/>
      <c r="Y8" s="3421" t="s">
        <v>1683</v>
      </c>
      <c r="Z8" s="3422"/>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397"/>
      <c r="Q11" s="529" t="str">
        <f t="shared" si="6"/>
        <v>容积率</v>
      </c>
      <c r="R11" s="663" t="s">
        <v>18</v>
      </c>
      <c r="S11" s="664" t="e">
        <f t="shared" si="0"/>
        <v>#N/A</v>
      </c>
      <c r="T11" s="663" t="s">
        <v>18</v>
      </c>
      <c r="U11" s="664" t="e">
        <f t="shared" si="1"/>
        <v>#N/A</v>
      </c>
      <c r="V11" s="663" t="s">
        <v>18</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397"/>
      <c r="Q12" s="529">
        <f t="shared" si="6"/>
        <v>111</v>
      </c>
      <c r="R12" s="663" t="s">
        <v>18</v>
      </c>
      <c r="S12" s="664">
        <f t="shared" si="0"/>
        <v>100</v>
      </c>
      <c r="T12" s="663" t="s">
        <v>18</v>
      </c>
      <c r="U12" s="664">
        <f t="shared" si="1"/>
        <v>100</v>
      </c>
      <c r="V12" s="663" t="s">
        <v>18</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397"/>
      <c r="Q13" s="529">
        <f t="shared" si="6"/>
        <v>111</v>
      </c>
      <c r="R13" s="663" t="s">
        <v>18</v>
      </c>
      <c r="S13" s="664">
        <f t="shared" si="0"/>
        <v>100</v>
      </c>
      <c r="T13" s="663" t="s">
        <v>18</v>
      </c>
      <c r="U13" s="664">
        <f t="shared" si="1"/>
        <v>100</v>
      </c>
      <c r="V13" s="663" t="s">
        <v>18</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397"/>
      <c r="Q14" s="529">
        <f t="shared" si="6"/>
        <v>111</v>
      </c>
      <c r="R14" s="663" t="s">
        <v>18</v>
      </c>
      <c r="S14" s="664">
        <f t="shared" si="0"/>
        <v>100</v>
      </c>
      <c r="T14" s="663" t="s">
        <v>18</v>
      </c>
      <c r="U14" s="664">
        <f t="shared" si="1"/>
        <v>100</v>
      </c>
      <c r="V14" s="663" t="s">
        <v>18</v>
      </c>
      <c r="W14" s="664">
        <f t="shared" si="2"/>
        <v>100</v>
      </c>
      <c r="X14" s="665"/>
      <c r="Y14" s="3290"/>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388" t="s">
        <v>1691</v>
      </c>
      <c r="Q15" s="1262" t="str">
        <f t="shared" si="6"/>
        <v>居住社区成熟度</v>
      </c>
      <c r="R15" s="666" t="s">
        <v>18</v>
      </c>
      <c r="S15" s="667">
        <f t="shared" si="0"/>
        <v>100</v>
      </c>
      <c r="T15" s="666" t="s">
        <v>18</v>
      </c>
      <c r="U15" s="667">
        <f t="shared" si="1"/>
        <v>100</v>
      </c>
      <c r="V15" s="666" t="s">
        <v>18</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389"/>
      <c r="Q16" s="1262"/>
      <c r="R16" s="666"/>
      <c r="S16" s="667"/>
      <c r="T16" s="666"/>
      <c r="U16" s="667"/>
      <c r="V16" s="666"/>
      <c r="W16" s="667"/>
      <c r="X16" s="1264"/>
      <c r="Y16" s="3391"/>
      <c r="Z16" s="1263"/>
      <c r="AA16" s="1263">
        <v>1</v>
      </c>
      <c r="AB16" s="1263">
        <v>1</v>
      </c>
      <c r="AC16" s="1263">
        <v>1</v>
      </c>
    </row>
    <row r="17" spans="1:29" ht="124.2">
      <c r="A17" s="366"/>
      <c r="B17" s="389" t="s">
        <v>1259</v>
      </c>
      <c r="C17" s="1753" t="str">
        <f>估价对象房地状况!C6</f>
        <v>估价对象临城市主干道--妫川路，周边有Y9路、919路、920路公交车，门口可停车，停车便捷程度较好，综合评价交通便捷度一般</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389"/>
      <c r="Q17" s="1262" t="str">
        <f>B17</f>
        <v>交通便捷度</v>
      </c>
      <c r="R17" s="666" t="s">
        <v>18</v>
      </c>
      <c r="S17" s="667">
        <f>F17</f>
        <v>100</v>
      </c>
      <c r="T17" s="666" t="s">
        <v>18</v>
      </c>
      <c r="U17" s="667">
        <f>H17</f>
        <v>100</v>
      </c>
      <c r="V17" s="666" t="s">
        <v>18</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389"/>
      <c r="Q18" s="1262"/>
      <c r="R18" s="666"/>
      <c r="S18" s="667"/>
      <c r="T18" s="666"/>
      <c r="U18" s="667"/>
      <c r="V18" s="666"/>
      <c r="W18" s="667"/>
      <c r="X18" s="1264"/>
      <c r="Y18" s="3391"/>
      <c r="Z18" s="1263"/>
      <c r="AA18" s="1263">
        <v>1</v>
      </c>
      <c r="AB18" s="1263">
        <v>1</v>
      </c>
      <c r="AC18" s="1263">
        <v>1</v>
      </c>
    </row>
    <row r="19" spans="1:29" ht="165.6">
      <c r="A19" s="366"/>
      <c r="B19" s="389" t="s">
        <v>1258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389"/>
      <c r="Q19" s="1262" t="str">
        <f>B19</f>
        <v>公共配套设施</v>
      </c>
      <c r="R19" s="666" t="s">
        <v>18</v>
      </c>
      <c r="S19" s="667">
        <f>F19</f>
        <v>100</v>
      </c>
      <c r="T19" s="666" t="s">
        <v>18</v>
      </c>
      <c r="U19" s="667">
        <f>H19</f>
        <v>100</v>
      </c>
      <c r="V19" s="666" t="s">
        <v>18</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389"/>
      <c r="Q20" s="1262"/>
      <c r="R20" s="666"/>
      <c r="S20" s="667"/>
      <c r="T20" s="666"/>
      <c r="U20" s="667"/>
      <c r="V20" s="666"/>
      <c r="W20" s="667"/>
      <c r="X20" s="1264"/>
      <c r="Y20" s="3391"/>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389"/>
      <c r="Q22" s="1262"/>
      <c r="R22" s="666"/>
      <c r="S22" s="667"/>
      <c r="T22" s="666"/>
      <c r="U22" s="667"/>
      <c r="V22" s="666"/>
      <c r="W22" s="667"/>
      <c r="X22" s="1264"/>
      <c r="Y22" s="3391"/>
      <c r="Z22" s="1263"/>
      <c r="AA22" s="1263">
        <v>1</v>
      </c>
      <c r="AB22" s="1263">
        <v>1</v>
      </c>
      <c r="AC22" s="1263">
        <v>1</v>
      </c>
    </row>
    <row r="23" spans="1:29" ht="151.80000000000001">
      <c r="A23" s="366"/>
      <c r="B23" s="389" t="s">
        <v>1261</v>
      </c>
      <c r="C23" s="1753" t="str">
        <f>估价对象房地状况!C9</f>
        <v>区域自然环境：迎宾公园、百泉公园、夏都公园、北京延庆世界地质公园；人文环境：延庆区职业学院、妫川宝塔、延庆地质博物馆、水生野生博物馆；综合评价环境状况较好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389"/>
      <c r="Q23" s="1262" t="str">
        <f>B23</f>
        <v>自然及人文环境</v>
      </c>
      <c r="R23" s="666" t="s">
        <v>18</v>
      </c>
      <c r="S23" s="667">
        <f>F23</f>
        <v>100</v>
      </c>
      <c r="T23" s="666" t="s">
        <v>18</v>
      </c>
      <c r="U23" s="667">
        <f>H23</f>
        <v>100</v>
      </c>
      <c r="V23" s="666" t="s">
        <v>18</v>
      </c>
      <c r="W23" s="667">
        <f>J23</f>
        <v>100</v>
      </c>
      <c r="X23" s="1264"/>
      <c r="Y23" s="339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389"/>
      <c r="Q24" s="1262"/>
      <c r="R24" s="666"/>
      <c r="S24" s="667"/>
      <c r="T24" s="666"/>
      <c r="U24" s="667"/>
      <c r="V24" s="666"/>
      <c r="W24" s="667"/>
      <c r="X24" s="1264"/>
      <c r="Y24" s="339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38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389"/>
      <c r="Q26" s="1262" t="str">
        <f t="shared" si="11"/>
        <v>朝向</v>
      </c>
      <c r="R26" s="666" t="s">
        <v>18</v>
      </c>
      <c r="S26" s="667">
        <f t="shared" si="12"/>
        <v>100</v>
      </c>
      <c r="T26" s="666" t="s">
        <v>18</v>
      </c>
      <c r="U26" s="667">
        <f t="shared" si="13"/>
        <v>100</v>
      </c>
      <c r="V26" s="666" t="s">
        <v>18</v>
      </c>
      <c r="W26" s="667">
        <f t="shared" si="14"/>
        <v>100</v>
      </c>
      <c r="X26" s="1264"/>
      <c r="Y26" s="339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389"/>
      <c r="Q27" s="529">
        <f t="shared" si="11"/>
        <v>111</v>
      </c>
      <c r="R27" s="663" t="s">
        <v>18</v>
      </c>
      <c r="S27" s="664">
        <f t="shared" si="12"/>
        <v>100</v>
      </c>
      <c r="T27" s="663" t="s">
        <v>18</v>
      </c>
      <c r="U27" s="664">
        <f t="shared" si="13"/>
        <v>100</v>
      </c>
      <c r="V27" s="663" t="s">
        <v>18</v>
      </c>
      <c r="W27" s="664">
        <f t="shared" si="14"/>
        <v>100</v>
      </c>
      <c r="X27" s="665"/>
      <c r="Y27" s="339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389"/>
      <c r="Q28" s="1262">
        <f t="shared" si="11"/>
        <v>111</v>
      </c>
      <c r="R28" s="666" t="s">
        <v>18</v>
      </c>
      <c r="S28" s="667">
        <f t="shared" si="12"/>
        <v>100</v>
      </c>
      <c r="T28" s="666" t="s">
        <v>18</v>
      </c>
      <c r="U28" s="667">
        <f t="shared" si="13"/>
        <v>100</v>
      </c>
      <c r="V28" s="666" t="s">
        <v>18</v>
      </c>
      <c r="W28" s="667">
        <f t="shared" si="14"/>
        <v>100</v>
      </c>
      <c r="X28" s="1264"/>
      <c r="Y28" s="339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389"/>
      <c r="Q29" s="1262">
        <f t="shared" si="11"/>
        <v>111</v>
      </c>
      <c r="R29" s="666" t="s">
        <v>18</v>
      </c>
      <c r="S29" s="667">
        <f t="shared" si="12"/>
        <v>100</v>
      </c>
      <c r="T29" s="666" t="s">
        <v>18</v>
      </c>
      <c r="U29" s="667">
        <f t="shared" si="13"/>
        <v>100</v>
      </c>
      <c r="V29" s="666" t="s">
        <v>18</v>
      </c>
      <c r="W29" s="667">
        <f t="shared" si="14"/>
        <v>100</v>
      </c>
      <c r="X29" s="1264"/>
      <c r="Y29" s="339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389"/>
      <c r="Q30" s="1262">
        <f t="shared" si="11"/>
        <v>111</v>
      </c>
      <c r="R30" s="666" t="s">
        <v>18</v>
      </c>
      <c r="S30" s="667">
        <f t="shared" si="12"/>
        <v>100</v>
      </c>
      <c r="T30" s="666" t="s">
        <v>18</v>
      </c>
      <c r="U30" s="667">
        <f t="shared" si="13"/>
        <v>100</v>
      </c>
      <c r="V30" s="666" t="s">
        <v>18</v>
      </c>
      <c r="W30" s="667">
        <f t="shared" si="14"/>
        <v>100</v>
      </c>
      <c r="X30" s="1264"/>
      <c r="Y30" s="3391"/>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389"/>
      <c r="Q31" s="1262">
        <f t="shared" si="11"/>
        <v>111</v>
      </c>
      <c r="R31" s="666" t="s">
        <v>18</v>
      </c>
      <c r="S31" s="667">
        <f t="shared" si="12"/>
        <v>100</v>
      </c>
      <c r="T31" s="666" t="s">
        <v>18</v>
      </c>
      <c r="U31" s="667">
        <f t="shared" si="13"/>
        <v>100</v>
      </c>
      <c r="V31" s="666" t="s">
        <v>18</v>
      </c>
      <c r="W31" s="667">
        <f t="shared" si="14"/>
        <v>100</v>
      </c>
      <c r="X31" s="1264"/>
      <c r="Y31" s="339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392" t="s">
        <v>1696</v>
      </c>
      <c r="Q32" s="1262" t="str">
        <f t="shared" si="11"/>
        <v>建筑类型</v>
      </c>
      <c r="R32" s="666" t="s">
        <v>18</v>
      </c>
      <c r="S32" s="667">
        <f t="shared" si="12"/>
        <v>100</v>
      </c>
      <c r="T32" s="666" t="s">
        <v>18</v>
      </c>
      <c r="U32" s="667">
        <f t="shared" si="13"/>
        <v>100</v>
      </c>
      <c r="V32" s="666" t="s">
        <v>18</v>
      </c>
      <c r="W32" s="667">
        <f t="shared" si="14"/>
        <v>100</v>
      </c>
      <c r="X32" s="1264"/>
      <c r="Y32" s="339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393"/>
      <c r="Q33" s="530" t="str">
        <f t="shared" si="11"/>
        <v>项目建筑规模</v>
      </c>
      <c r="R33" s="668" t="s">
        <v>18</v>
      </c>
      <c r="S33" s="669" t="e">
        <f t="shared" si="12"/>
        <v>#N/A</v>
      </c>
      <c r="T33" s="668" t="s">
        <v>18</v>
      </c>
      <c r="U33" s="669" t="e">
        <f t="shared" si="13"/>
        <v>#N/A</v>
      </c>
      <c r="V33" s="668" t="s">
        <v>18</v>
      </c>
      <c r="W33" s="669" t="e">
        <f t="shared" si="14"/>
        <v>#N/A</v>
      </c>
      <c r="X33" s="670"/>
      <c r="Y33" s="339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393"/>
      <c r="Q34" s="1262" t="str">
        <f t="shared" si="11"/>
        <v>建筑结构</v>
      </c>
      <c r="R34" s="666" t="s">
        <v>18</v>
      </c>
      <c r="S34" s="667">
        <f t="shared" si="12"/>
        <v>100</v>
      </c>
      <c r="T34" s="666" t="s">
        <v>18</v>
      </c>
      <c r="U34" s="667">
        <f t="shared" si="13"/>
        <v>100</v>
      </c>
      <c r="V34" s="666" t="s">
        <v>18</v>
      </c>
      <c r="W34" s="667">
        <f t="shared" si="14"/>
        <v>100</v>
      </c>
      <c r="X34" s="1264"/>
      <c r="Y34" s="339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393"/>
      <c r="Q35" s="1262" t="str">
        <f t="shared" si="11"/>
        <v>建筑品质</v>
      </c>
      <c r="R35" s="666" t="s">
        <v>18</v>
      </c>
      <c r="S35" s="667">
        <f t="shared" si="12"/>
        <v>100</v>
      </c>
      <c r="T35" s="666" t="s">
        <v>18</v>
      </c>
      <c r="U35" s="667">
        <f t="shared" si="13"/>
        <v>100</v>
      </c>
      <c r="V35" s="666" t="s">
        <v>18</v>
      </c>
      <c r="W35" s="667">
        <f t="shared" si="14"/>
        <v>100</v>
      </c>
      <c r="X35" s="1264"/>
      <c r="Y35" s="339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393"/>
      <c r="Q36" s="1262" t="str">
        <f t="shared" si="11"/>
        <v>公共部分装修</v>
      </c>
      <c r="R36" s="666" t="s">
        <v>18</v>
      </c>
      <c r="S36" s="667">
        <f t="shared" si="12"/>
        <v>100</v>
      </c>
      <c r="T36" s="666" t="s">
        <v>18</v>
      </c>
      <c r="U36" s="667">
        <f t="shared" si="13"/>
        <v>100</v>
      </c>
      <c r="V36" s="666" t="s">
        <v>18</v>
      </c>
      <c r="W36" s="667">
        <f t="shared" si="14"/>
        <v>100</v>
      </c>
      <c r="X36" s="1264"/>
      <c r="Y36" s="339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393"/>
      <c r="Q37" s="529" t="str">
        <f t="shared" si="11"/>
        <v>成新度</v>
      </c>
      <c r="R37" s="663" t="s">
        <v>18</v>
      </c>
      <c r="S37" s="664" t="e">
        <f t="shared" si="12"/>
        <v>#N/A</v>
      </c>
      <c r="T37" s="663" t="s">
        <v>18</v>
      </c>
      <c r="U37" s="664" t="e">
        <f t="shared" si="13"/>
        <v>#N/A</v>
      </c>
      <c r="V37" s="663" t="s">
        <v>18</v>
      </c>
      <c r="W37" s="664" t="e">
        <f t="shared" si="14"/>
        <v>#N/A</v>
      </c>
      <c r="X37" s="665"/>
      <c r="Y37" s="339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393" t="s">
        <v>1696</v>
      </c>
      <c r="Q38" s="1262" t="str">
        <f t="shared" si="11"/>
        <v>物业管理</v>
      </c>
      <c r="R38" s="666" t="s">
        <v>18</v>
      </c>
      <c r="S38" s="667">
        <f t="shared" si="12"/>
        <v>100</v>
      </c>
      <c r="T38" s="666" t="s">
        <v>18</v>
      </c>
      <c r="U38" s="667">
        <f t="shared" si="13"/>
        <v>100</v>
      </c>
      <c r="V38" s="666" t="s">
        <v>18</v>
      </c>
      <c r="W38" s="667">
        <f t="shared" si="14"/>
        <v>100</v>
      </c>
      <c r="X38" s="1264"/>
      <c r="Y38" s="339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393"/>
      <c r="Q39" s="1262" t="str">
        <f t="shared" si="11"/>
        <v>市政基础设施</v>
      </c>
      <c r="R39" s="666" t="s">
        <v>18</v>
      </c>
      <c r="S39" s="667">
        <f t="shared" si="12"/>
        <v>100</v>
      </c>
      <c r="T39" s="666" t="s">
        <v>18</v>
      </c>
      <c r="U39" s="667">
        <f t="shared" si="13"/>
        <v>100</v>
      </c>
      <c r="V39" s="666" t="s">
        <v>18</v>
      </c>
      <c r="W39" s="667">
        <f t="shared" si="14"/>
        <v>100</v>
      </c>
      <c r="X39" s="1264"/>
      <c r="Y39" s="339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393"/>
      <c r="Q40" s="1262" t="str">
        <f t="shared" si="11"/>
        <v>房型</v>
      </c>
      <c r="R40" s="666" t="s">
        <v>18</v>
      </c>
      <c r="S40" s="667">
        <f t="shared" si="12"/>
        <v>100</v>
      </c>
      <c r="T40" s="666" t="s">
        <v>18</v>
      </c>
      <c r="U40" s="667">
        <f t="shared" si="13"/>
        <v>100</v>
      </c>
      <c r="V40" s="666" t="s">
        <v>18</v>
      </c>
      <c r="W40" s="667">
        <f t="shared" si="14"/>
        <v>100</v>
      </c>
      <c r="X40" s="1264"/>
      <c r="Y40" s="3395"/>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393"/>
      <c r="Q41" s="530" t="str">
        <f t="shared" si="11"/>
        <v>单套/主力户型建筑面积</v>
      </c>
      <c r="R41" s="668" t="s">
        <v>18</v>
      </c>
      <c r="S41" s="669">
        <f t="shared" si="12"/>
        <v>100</v>
      </c>
      <c r="T41" s="668" t="s">
        <v>18</v>
      </c>
      <c r="U41" s="669">
        <f t="shared" si="13"/>
        <v>100</v>
      </c>
      <c r="V41" s="668" t="s">
        <v>18</v>
      </c>
      <c r="W41" s="669">
        <f t="shared" si="14"/>
        <v>100</v>
      </c>
      <c r="X41" s="670"/>
      <c r="Y41" s="339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393"/>
      <c r="Q42" s="1262" t="str">
        <f t="shared" si="11"/>
        <v>内部装修</v>
      </c>
      <c r="R42" s="666" t="s">
        <v>18</v>
      </c>
      <c r="S42" s="667">
        <f t="shared" si="12"/>
        <v>100</v>
      </c>
      <c r="T42" s="666" t="s">
        <v>18</v>
      </c>
      <c r="U42" s="667">
        <f t="shared" si="13"/>
        <v>100</v>
      </c>
      <c r="V42" s="666" t="s">
        <v>18</v>
      </c>
      <c r="W42" s="667">
        <f t="shared" si="14"/>
        <v>100</v>
      </c>
      <c r="X42" s="1264"/>
      <c r="Y42" s="3395"/>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393"/>
      <c r="Q43" s="1262" t="str">
        <f t="shared" si="11"/>
        <v>内部装修维护情况</v>
      </c>
      <c r="R43" s="666" t="s">
        <v>18</v>
      </c>
      <c r="S43" s="667">
        <f t="shared" si="12"/>
        <v>100</v>
      </c>
      <c r="T43" s="666" t="s">
        <v>18</v>
      </c>
      <c r="U43" s="667">
        <f t="shared" si="13"/>
        <v>100</v>
      </c>
      <c r="V43" s="666" t="s">
        <v>18</v>
      </c>
      <c r="W43" s="667">
        <f t="shared" si="14"/>
        <v>100</v>
      </c>
      <c r="X43" s="1264"/>
      <c r="Y43" s="339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393"/>
      <c r="Q44" s="529">
        <f t="shared" si="11"/>
        <v>111</v>
      </c>
      <c r="R44" s="663" t="s">
        <v>18</v>
      </c>
      <c r="S44" s="664">
        <f t="shared" si="12"/>
        <v>100</v>
      </c>
      <c r="T44" s="663" t="s">
        <v>18</v>
      </c>
      <c r="U44" s="664">
        <f t="shared" si="13"/>
        <v>100</v>
      </c>
      <c r="V44" s="663" t="s">
        <v>18</v>
      </c>
      <c r="W44" s="664">
        <f t="shared" si="14"/>
        <v>100</v>
      </c>
      <c r="X44" s="665"/>
      <c r="Y44" s="339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393"/>
      <c r="Q45" s="1262">
        <f t="shared" si="11"/>
        <v>111</v>
      </c>
      <c r="R45" s="666" t="s">
        <v>18</v>
      </c>
      <c r="S45" s="667">
        <f t="shared" si="12"/>
        <v>100</v>
      </c>
      <c r="T45" s="666" t="s">
        <v>18</v>
      </c>
      <c r="U45" s="667">
        <f t="shared" si="13"/>
        <v>100</v>
      </c>
      <c r="V45" s="666" t="s">
        <v>18</v>
      </c>
      <c r="W45" s="667">
        <f t="shared" si="14"/>
        <v>100</v>
      </c>
      <c r="X45" s="1264"/>
      <c r="Y45" s="3395"/>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394"/>
      <c r="Q46" s="1262">
        <f t="shared" si="11"/>
        <v>111</v>
      </c>
      <c r="R46" s="666" t="s">
        <v>17</v>
      </c>
      <c r="S46" s="667">
        <f t="shared" si="12"/>
        <v>100</v>
      </c>
      <c r="T46" s="666" t="s">
        <v>17</v>
      </c>
      <c r="U46" s="667">
        <f t="shared" si="13"/>
        <v>100</v>
      </c>
      <c r="V46" s="666" t="s">
        <v>17</v>
      </c>
      <c r="W46" s="667">
        <f t="shared" si="14"/>
        <v>100</v>
      </c>
      <c r="X46" s="1264"/>
      <c r="Y46" s="3396"/>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383" t="str">
        <f>A47</f>
        <v>成交单价（元/平方米）</v>
      </c>
      <c r="Q47" s="3383"/>
      <c r="R47" s="3384">
        <f>E47</f>
        <v>0</v>
      </c>
      <c r="S47" s="3384"/>
      <c r="T47" s="3384">
        <f>G47</f>
        <v>0</v>
      </c>
      <c r="U47" s="3384"/>
      <c r="V47" s="3384">
        <f>I47</f>
        <v>0</v>
      </c>
      <c r="W47" s="3384"/>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312.66000000000003</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56" t="s">
        <v>1775</v>
      </c>
      <c r="Q4" s="3457"/>
      <c r="R4" s="3460" t="s">
        <v>1771</v>
      </c>
      <c r="S4" s="3461"/>
      <c r="T4" s="3460" t="s">
        <v>1772</v>
      </c>
      <c r="U4" s="3461"/>
      <c r="V4" s="3462" t="s">
        <v>1773</v>
      </c>
      <c r="W4" s="3462"/>
      <c r="X4" s="1808"/>
      <c r="Y4" s="3460" t="s">
        <v>1775</v>
      </c>
      <c r="Z4" s="3461"/>
      <c r="AA4" s="3464" t="s">
        <v>1771</v>
      </c>
      <c r="AB4" s="3464" t="s">
        <v>1772</v>
      </c>
      <c r="AC4" s="3453" t="s">
        <v>1773</v>
      </c>
    </row>
    <row r="5" spans="1:29">
      <c r="A5" s="347"/>
      <c r="B5" s="348"/>
      <c r="C5" s="3419" t="s">
        <v>1673</v>
      </c>
      <c r="D5" s="3420"/>
      <c r="E5" s="3427" t="s">
        <v>1674</v>
      </c>
      <c r="F5" s="3428"/>
      <c r="G5" s="3419" t="s">
        <v>1675</v>
      </c>
      <c r="H5" s="3420"/>
      <c r="I5" s="3419" t="s">
        <v>1676</v>
      </c>
      <c r="J5" s="3420"/>
      <c r="K5" s="536"/>
      <c r="L5" s="2484"/>
      <c r="M5" s="2485"/>
      <c r="N5" s="2485"/>
      <c r="O5" s="2485"/>
      <c r="P5" s="3458"/>
      <c r="Q5" s="3408"/>
      <c r="R5" s="3413"/>
      <c r="S5" s="3414"/>
      <c r="T5" s="3413"/>
      <c r="U5" s="3414"/>
      <c r="V5" s="3384"/>
      <c r="W5" s="3384"/>
      <c r="X5" s="1264"/>
      <c r="Y5" s="3413"/>
      <c r="Z5" s="3414"/>
      <c r="AA5" s="3399"/>
      <c r="AB5" s="3399"/>
      <c r="AC5" s="3454"/>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59"/>
      <c r="Q6" s="3410"/>
      <c r="R6" s="3413"/>
      <c r="S6" s="3414"/>
      <c r="T6" s="3415"/>
      <c r="U6" s="3416"/>
      <c r="V6" s="3384"/>
      <c r="W6" s="3384"/>
      <c r="X6" s="1264"/>
      <c r="Y6" s="3415"/>
      <c r="Z6" s="3416"/>
      <c r="AA6" s="3400"/>
      <c r="AB6" s="3400"/>
      <c r="AC6" s="3455"/>
    </row>
    <row r="7" spans="1:29" s="101" customFormat="1" ht="15" thickBot="1">
      <c r="A7" s="351" t="s">
        <v>1679</v>
      </c>
      <c r="B7" s="352"/>
      <c r="C7" s="353">
        <f>'数据-取费表'!B2</f>
        <v>45562</v>
      </c>
      <c r="D7" s="354">
        <v>100</v>
      </c>
      <c r="E7" s="355"/>
      <c r="F7" s="356">
        <f>SUMIF(59:59,YEAR(E7)&amp;"-"&amp;MONTH(E7),60:60)</f>
        <v>0</v>
      </c>
      <c r="G7" s="355"/>
      <c r="H7" s="354">
        <f>SUMIF(59:59,YEAR(G7)&amp;"-"&amp;MONTH(G7),60:60)</f>
        <v>0</v>
      </c>
      <c r="I7" s="355"/>
      <c r="J7" s="354">
        <f>SUMIF(59:59,YEAR(I7)&amp;"-"&amp;MONTH(I7),60:60)</f>
        <v>0</v>
      </c>
      <c r="K7" s="38"/>
      <c r="L7" s="2486"/>
      <c r="M7" s="2438"/>
      <c r="N7" s="2438"/>
      <c r="O7" s="2438"/>
      <c r="P7" s="3463"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63" t="s">
        <v>1683</v>
      </c>
      <c r="Q8" s="3422"/>
      <c r="R8" s="663" t="s">
        <v>14</v>
      </c>
      <c r="S8" s="664">
        <f t="shared" si="0"/>
        <v>100</v>
      </c>
      <c r="T8" s="663" t="s">
        <v>14</v>
      </c>
      <c r="U8" s="664">
        <f t="shared" si="1"/>
        <v>100</v>
      </c>
      <c r="V8" s="663" t="s">
        <v>14</v>
      </c>
      <c r="W8" s="664">
        <f t="shared" si="2"/>
        <v>100</v>
      </c>
      <c r="X8" s="665"/>
      <c r="Y8" s="3421" t="s">
        <v>1683</v>
      </c>
      <c r="Z8" s="3422"/>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397"/>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397"/>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397"/>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397"/>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388" t="s">
        <v>1691</v>
      </c>
      <c r="Q15" s="1262" t="str">
        <f t="shared" si="6"/>
        <v>办公集聚程度</v>
      </c>
      <c r="R15" s="666" t="s">
        <v>14</v>
      </c>
      <c r="S15" s="667">
        <f t="shared" si="0"/>
        <v>100</v>
      </c>
      <c r="T15" s="666" t="s">
        <v>14</v>
      </c>
      <c r="U15" s="667">
        <f t="shared" si="1"/>
        <v>100</v>
      </c>
      <c r="V15" s="666" t="s">
        <v>14</v>
      </c>
      <c r="W15" s="667">
        <f t="shared" si="2"/>
        <v>100</v>
      </c>
      <c r="X15" s="1264"/>
      <c r="Y15" s="339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389"/>
      <c r="Q16" s="1262"/>
      <c r="R16" s="666"/>
      <c r="S16" s="667"/>
      <c r="T16" s="666"/>
      <c r="U16" s="667"/>
      <c r="V16" s="666"/>
      <c r="W16" s="667"/>
      <c r="X16" s="1264"/>
      <c r="Y16" s="3391"/>
      <c r="Z16" s="1263"/>
      <c r="AA16" s="1263">
        <v>1</v>
      </c>
      <c r="AB16" s="1263">
        <v>1</v>
      </c>
      <c r="AC16" s="1811">
        <v>1</v>
      </c>
    </row>
    <row r="17" spans="1:29" ht="124.2">
      <c r="A17" s="366"/>
      <c r="B17" s="555" t="s">
        <v>1259</v>
      </c>
      <c r="C17" s="1812" t="str">
        <f>估价对象房地状况!C6</f>
        <v>估价对象临城市主干道--妫川路，周边有Y9路、919路、920路公交车，门口可停车，停车便捷程度较好，综合评价交通便捷度一般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389"/>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389"/>
      <c r="Q18" s="1262"/>
      <c r="R18" s="666"/>
      <c r="S18" s="667"/>
      <c r="T18" s="666"/>
      <c r="U18" s="667"/>
      <c r="V18" s="666"/>
      <c r="W18" s="667"/>
      <c r="X18" s="1264"/>
      <c r="Y18" s="3391"/>
      <c r="Z18" s="1263"/>
      <c r="AA18" s="1263">
        <v>1</v>
      </c>
      <c r="AB18" s="1263">
        <v>1</v>
      </c>
      <c r="AC18" s="1811">
        <v>1</v>
      </c>
    </row>
    <row r="19" spans="1:29" ht="165.6">
      <c r="A19" s="366"/>
      <c r="B19" s="555" t="s">
        <v>1812</v>
      </c>
      <c r="C19" s="1812"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389"/>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389"/>
      <c r="Q20" s="1262"/>
      <c r="R20" s="666"/>
      <c r="S20" s="667"/>
      <c r="T20" s="666"/>
      <c r="U20" s="667"/>
      <c r="V20" s="666"/>
      <c r="W20" s="667"/>
      <c r="X20" s="1264"/>
      <c r="Y20" s="3391"/>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389"/>
      <c r="Q22" s="1262"/>
      <c r="R22" s="666"/>
      <c r="S22" s="667"/>
      <c r="T22" s="666"/>
      <c r="U22" s="667"/>
      <c r="V22" s="666"/>
      <c r="W22" s="667"/>
      <c r="X22" s="1264"/>
      <c r="Y22" s="3391"/>
      <c r="Z22" s="1263"/>
      <c r="AA22" s="1263">
        <v>1</v>
      </c>
      <c r="AB22" s="1263">
        <v>1</v>
      </c>
      <c r="AC22" s="1811">
        <v>1</v>
      </c>
    </row>
    <row r="23" spans="1:29" ht="151.80000000000001">
      <c r="A23" s="366"/>
      <c r="B23" s="555" t="s">
        <v>1814</v>
      </c>
      <c r="C23" s="1812" t="str">
        <f>估价对象房地状况!C9</f>
        <v>区域自然环境：迎宾公园、百泉公园、夏都公园、北京延庆世界地质公园；人文环境：延庆区职业学院、妫川宝塔、延庆地质博物馆、水生野生博物馆；综合评价环境状况较好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389"/>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389"/>
      <c r="Q24" s="1262"/>
      <c r="R24" s="666"/>
      <c r="S24" s="667"/>
      <c r="T24" s="666"/>
      <c r="U24" s="667"/>
      <c r="V24" s="666"/>
      <c r="W24" s="667"/>
      <c r="X24" s="1264"/>
      <c r="Y24" s="3391"/>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89"/>
      <c r="Q25" s="1262" t="str">
        <f>B25</f>
        <v>毗邻道路的类型与等级</v>
      </c>
      <c r="R25" s="666" t="s">
        <v>14</v>
      </c>
      <c r="S25" s="667">
        <f>F25</f>
        <v>100</v>
      </c>
      <c r="T25" s="666" t="s">
        <v>14</v>
      </c>
      <c r="U25" s="667">
        <f>H25</f>
        <v>100</v>
      </c>
      <c r="V25" s="666" t="s">
        <v>14</v>
      </c>
      <c r="W25" s="667">
        <f>J25</f>
        <v>100</v>
      </c>
      <c r="X25" s="1264"/>
      <c r="Y25" s="339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89"/>
      <c r="Q26" s="1262"/>
      <c r="R26" s="666"/>
      <c r="S26" s="667"/>
      <c r="T26" s="666"/>
      <c r="U26" s="667"/>
      <c r="V26" s="666"/>
      <c r="W26" s="667"/>
      <c r="X26" s="1264"/>
      <c r="Y26" s="339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389"/>
      <c r="Q27" s="1262" t="str">
        <f t="shared" ref="Q27:Q47" si="11">B27</f>
        <v>楼层</v>
      </c>
      <c r="R27" s="666" t="s">
        <v>14</v>
      </c>
      <c r="S27" s="667">
        <f>F27</f>
        <v>100</v>
      </c>
      <c r="T27" s="666" t="s">
        <v>14</v>
      </c>
      <c r="U27" s="667">
        <f>H27</f>
        <v>100</v>
      </c>
      <c r="V27" s="666" t="s">
        <v>14</v>
      </c>
      <c r="W27" s="667">
        <f>J27</f>
        <v>100</v>
      </c>
      <c r="X27" s="1264"/>
      <c r="Y27" s="339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89"/>
      <c r="Q28" s="529" t="str">
        <f t="shared" si="11"/>
        <v>朝向</v>
      </c>
      <c r="R28" s="663" t="s">
        <v>14</v>
      </c>
      <c r="S28" s="664">
        <f>F28</f>
        <v>100</v>
      </c>
      <c r="T28" s="663" t="s">
        <v>14</v>
      </c>
      <c r="U28" s="664">
        <f>H28</f>
        <v>100</v>
      </c>
      <c r="V28" s="663" t="s">
        <v>14</v>
      </c>
      <c r="W28" s="664">
        <f>J28</f>
        <v>100</v>
      </c>
      <c r="X28" s="665"/>
      <c r="Y28" s="339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89"/>
      <c r="Q29" s="1262">
        <f t="shared" si="11"/>
        <v>111</v>
      </c>
      <c r="R29" s="666" t="s">
        <v>14</v>
      </c>
      <c r="S29" s="667">
        <f t="shared" ref="S29:S47" si="12">F29</f>
        <v>100</v>
      </c>
      <c r="T29" s="666" t="s">
        <v>14</v>
      </c>
      <c r="U29" s="667">
        <f t="shared" ref="U29:U47" si="13">H29</f>
        <v>100</v>
      </c>
      <c r="V29" s="666" t="s">
        <v>14</v>
      </c>
      <c r="W29" s="667">
        <f t="shared" ref="W29:W47" si="14">J29</f>
        <v>100</v>
      </c>
      <c r="X29" s="1264"/>
      <c r="Y29" s="339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89"/>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89"/>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89"/>
      <c r="Q32" s="1262">
        <f t="shared" si="11"/>
        <v>111</v>
      </c>
      <c r="R32" s="666" t="s">
        <v>14</v>
      </c>
      <c r="S32" s="667">
        <f t="shared" si="12"/>
        <v>100</v>
      </c>
      <c r="T32" s="666" t="s">
        <v>14</v>
      </c>
      <c r="U32" s="667">
        <f t="shared" si="13"/>
        <v>100</v>
      </c>
      <c r="V32" s="666" t="s">
        <v>14</v>
      </c>
      <c r="W32" s="667">
        <f t="shared" si="14"/>
        <v>100</v>
      </c>
      <c r="X32" s="1264"/>
      <c r="Y32" s="339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392" t="s">
        <v>1696</v>
      </c>
      <c r="Q33" s="1262" t="str">
        <f t="shared" si="11"/>
        <v>建筑类型</v>
      </c>
      <c r="R33" s="666" t="s">
        <v>14</v>
      </c>
      <c r="S33" s="667">
        <f t="shared" si="12"/>
        <v>100</v>
      </c>
      <c r="T33" s="666" t="s">
        <v>14</v>
      </c>
      <c r="U33" s="667">
        <f t="shared" si="13"/>
        <v>100</v>
      </c>
      <c r="V33" s="666" t="s">
        <v>14</v>
      </c>
      <c r="W33" s="667">
        <f t="shared" si="14"/>
        <v>100</v>
      </c>
      <c r="X33" s="1264"/>
      <c r="Y33" s="339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393"/>
      <c r="Q34" s="530" t="str">
        <f t="shared" si="11"/>
        <v>项目建筑规模</v>
      </c>
      <c r="R34" s="668" t="s">
        <v>14</v>
      </c>
      <c r="S34" s="669" t="e">
        <f t="shared" si="12"/>
        <v>#N/A</v>
      </c>
      <c r="T34" s="668" t="s">
        <v>14</v>
      </c>
      <c r="U34" s="669" t="e">
        <f t="shared" si="13"/>
        <v>#N/A</v>
      </c>
      <c r="V34" s="668" t="s">
        <v>14</v>
      </c>
      <c r="W34" s="669" t="e">
        <f t="shared" si="14"/>
        <v>#N/A</v>
      </c>
      <c r="X34" s="670"/>
      <c r="Y34" s="339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393"/>
      <c r="Q35" s="1262" t="str">
        <f t="shared" si="11"/>
        <v>建筑结构</v>
      </c>
      <c r="R35" s="666" t="s">
        <v>14</v>
      </c>
      <c r="S35" s="667">
        <f t="shared" si="12"/>
        <v>100</v>
      </c>
      <c r="T35" s="666" t="s">
        <v>14</v>
      </c>
      <c r="U35" s="667">
        <f t="shared" si="13"/>
        <v>100</v>
      </c>
      <c r="V35" s="666" t="s">
        <v>14</v>
      </c>
      <c r="W35" s="667">
        <f t="shared" si="14"/>
        <v>100</v>
      </c>
      <c r="X35" s="1264"/>
      <c r="Y35" s="339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393"/>
      <c r="Q36" s="1262" t="str">
        <f t="shared" si="11"/>
        <v>公共部分装修</v>
      </c>
      <c r="R36" s="666" t="s">
        <v>14</v>
      </c>
      <c r="S36" s="667">
        <f t="shared" si="12"/>
        <v>100</v>
      </c>
      <c r="T36" s="666" t="s">
        <v>14</v>
      </c>
      <c r="U36" s="667">
        <f t="shared" si="13"/>
        <v>100</v>
      </c>
      <c r="V36" s="666" t="s">
        <v>14</v>
      </c>
      <c r="W36" s="667">
        <f t="shared" si="14"/>
        <v>100</v>
      </c>
      <c r="X36" s="1264"/>
      <c r="Y36" s="339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393"/>
      <c r="Q37" s="1262" t="str">
        <f t="shared" si="11"/>
        <v>成新度</v>
      </c>
      <c r="R37" s="666" t="s">
        <v>14</v>
      </c>
      <c r="S37" s="667" t="e">
        <f t="shared" si="12"/>
        <v>#N/A</v>
      </c>
      <c r="T37" s="666" t="s">
        <v>14</v>
      </c>
      <c r="U37" s="667" t="e">
        <f t="shared" si="13"/>
        <v>#N/A</v>
      </c>
      <c r="V37" s="666" t="s">
        <v>14</v>
      </c>
      <c r="W37" s="667" t="e">
        <f t="shared" si="14"/>
        <v>#N/A</v>
      </c>
      <c r="X37" s="1264"/>
      <c r="Y37" s="3395"/>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393"/>
      <c r="Q38" s="529" t="str">
        <f t="shared" si="11"/>
        <v>写字楼等级</v>
      </c>
      <c r="R38" s="663" t="s">
        <v>14</v>
      </c>
      <c r="S38" s="664">
        <f t="shared" si="12"/>
        <v>100</v>
      </c>
      <c r="T38" s="663" t="s">
        <v>14</v>
      </c>
      <c r="U38" s="664">
        <f t="shared" si="13"/>
        <v>100</v>
      </c>
      <c r="V38" s="663" t="s">
        <v>14</v>
      </c>
      <c r="W38" s="664">
        <f t="shared" si="14"/>
        <v>100</v>
      </c>
      <c r="X38" s="665"/>
      <c r="Y38" s="339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393" t="s">
        <v>1696</v>
      </c>
      <c r="Q39" s="1262" t="str">
        <f t="shared" si="11"/>
        <v>物业管理</v>
      </c>
      <c r="R39" s="666" t="s">
        <v>14</v>
      </c>
      <c r="S39" s="667">
        <f t="shared" si="12"/>
        <v>100</v>
      </c>
      <c r="T39" s="666" t="s">
        <v>14</v>
      </c>
      <c r="U39" s="667">
        <f t="shared" si="13"/>
        <v>100</v>
      </c>
      <c r="V39" s="666" t="s">
        <v>14</v>
      </c>
      <c r="W39" s="667">
        <f t="shared" si="14"/>
        <v>100</v>
      </c>
      <c r="X39" s="1264"/>
      <c r="Y39" s="339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393"/>
      <c r="Q40" s="1262" t="str">
        <f t="shared" si="11"/>
        <v>市政基础设施</v>
      </c>
      <c r="R40" s="666" t="s">
        <v>14</v>
      </c>
      <c r="S40" s="667">
        <f t="shared" si="12"/>
        <v>100</v>
      </c>
      <c r="T40" s="666" t="s">
        <v>14</v>
      </c>
      <c r="U40" s="667">
        <f t="shared" si="13"/>
        <v>100</v>
      </c>
      <c r="V40" s="666" t="s">
        <v>14</v>
      </c>
      <c r="W40" s="667">
        <f t="shared" si="14"/>
        <v>100</v>
      </c>
      <c r="X40" s="1264"/>
      <c r="Y40" s="339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393"/>
      <c r="Q41" s="1262" t="str">
        <f t="shared" si="11"/>
        <v>层高</v>
      </c>
      <c r="R41" s="666" t="s">
        <v>14</v>
      </c>
      <c r="S41" s="667">
        <f t="shared" si="12"/>
        <v>100</v>
      </c>
      <c r="T41" s="666" t="s">
        <v>14</v>
      </c>
      <c r="U41" s="667">
        <f t="shared" si="13"/>
        <v>100</v>
      </c>
      <c r="V41" s="666" t="s">
        <v>14</v>
      </c>
      <c r="W41" s="667">
        <f t="shared" si="14"/>
        <v>100</v>
      </c>
      <c r="X41" s="1264"/>
      <c r="Y41" s="339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393"/>
      <c r="Q42" s="530" t="str">
        <f t="shared" si="11"/>
        <v>单套建筑面积</v>
      </c>
      <c r="R42" s="668" t="s">
        <v>14</v>
      </c>
      <c r="S42" s="669">
        <f t="shared" si="12"/>
        <v>100</v>
      </c>
      <c r="T42" s="668" t="s">
        <v>14</v>
      </c>
      <c r="U42" s="669">
        <f t="shared" si="13"/>
        <v>100</v>
      </c>
      <c r="V42" s="668" t="s">
        <v>14</v>
      </c>
      <c r="W42" s="669">
        <f t="shared" si="14"/>
        <v>100</v>
      </c>
      <c r="X42" s="670"/>
      <c r="Y42" s="339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393"/>
      <c r="Q43" s="1262" t="str">
        <f t="shared" si="11"/>
        <v>内部装修</v>
      </c>
      <c r="R43" s="666" t="s">
        <v>14</v>
      </c>
      <c r="S43" s="667">
        <f t="shared" si="12"/>
        <v>100</v>
      </c>
      <c r="T43" s="666" t="s">
        <v>14</v>
      </c>
      <c r="U43" s="667">
        <f t="shared" si="13"/>
        <v>100</v>
      </c>
      <c r="V43" s="666" t="s">
        <v>14</v>
      </c>
      <c r="W43" s="667">
        <f t="shared" si="14"/>
        <v>100</v>
      </c>
      <c r="X43" s="1264"/>
      <c r="Y43" s="3395"/>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393"/>
      <c r="Q44" s="1262" t="str">
        <f t="shared" si="11"/>
        <v>内部装修维护情况</v>
      </c>
      <c r="R44" s="666" t="s">
        <v>14</v>
      </c>
      <c r="S44" s="667">
        <f t="shared" si="12"/>
        <v>100</v>
      </c>
      <c r="T44" s="666" t="s">
        <v>14</v>
      </c>
      <c r="U44" s="667">
        <f t="shared" si="13"/>
        <v>100</v>
      </c>
      <c r="V44" s="666" t="s">
        <v>14</v>
      </c>
      <c r="W44" s="667">
        <f t="shared" si="14"/>
        <v>100</v>
      </c>
      <c r="X44" s="1264"/>
      <c r="Y44" s="3395"/>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393"/>
      <c r="Q45" s="529">
        <f t="shared" si="11"/>
        <v>111</v>
      </c>
      <c r="R45" s="663" t="s">
        <v>14</v>
      </c>
      <c r="S45" s="664">
        <f t="shared" si="12"/>
        <v>100</v>
      </c>
      <c r="T45" s="663" t="s">
        <v>14</v>
      </c>
      <c r="U45" s="664">
        <f t="shared" si="13"/>
        <v>100</v>
      </c>
      <c r="V45" s="663" t="s">
        <v>14</v>
      </c>
      <c r="W45" s="664">
        <f t="shared" si="14"/>
        <v>100</v>
      </c>
      <c r="X45" s="665"/>
      <c r="Y45" s="339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393"/>
      <c r="Q46" s="1262">
        <f t="shared" si="11"/>
        <v>111</v>
      </c>
      <c r="R46" s="666" t="s">
        <v>14</v>
      </c>
      <c r="S46" s="667">
        <f t="shared" si="12"/>
        <v>100</v>
      </c>
      <c r="T46" s="666" t="s">
        <v>14</v>
      </c>
      <c r="U46" s="667">
        <f t="shared" si="13"/>
        <v>100</v>
      </c>
      <c r="V46" s="666" t="s">
        <v>14</v>
      </c>
      <c r="W46" s="667">
        <f t="shared" si="14"/>
        <v>100</v>
      </c>
      <c r="X46" s="1264"/>
      <c r="Y46" s="3395"/>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394"/>
      <c r="Q47" s="1262">
        <f t="shared" si="11"/>
        <v>111</v>
      </c>
      <c r="R47" s="666" t="s">
        <v>14</v>
      </c>
      <c r="S47" s="667">
        <f t="shared" si="12"/>
        <v>100</v>
      </c>
      <c r="T47" s="666" t="s">
        <v>14</v>
      </c>
      <c r="U47" s="667">
        <f t="shared" si="13"/>
        <v>100</v>
      </c>
      <c r="V47" s="666" t="s">
        <v>14</v>
      </c>
      <c r="W47" s="667">
        <f t="shared" si="14"/>
        <v>100</v>
      </c>
      <c r="X47" s="1264"/>
      <c r="Y47" s="3396"/>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397" t="str">
        <f>A48</f>
        <v>成交单价（元/平方米）</v>
      </c>
      <c r="Q48" s="3383"/>
      <c r="R48" s="3384">
        <f>E48</f>
        <v>0</v>
      </c>
      <c r="S48" s="3384"/>
      <c r="T48" s="3384">
        <f>G48</f>
        <v>0</v>
      </c>
      <c r="U48" s="3384"/>
      <c r="V48" s="3384">
        <f>I48</f>
        <v>0</v>
      </c>
      <c r="W48" s="3384"/>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397"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5"/>
      <c r="Q59" s="2508"/>
      <c r="R59" s="2508"/>
      <c r="S59" s="2508"/>
      <c r="T59" s="2508"/>
      <c r="U59" s="2508"/>
      <c r="V59" s="2508"/>
      <c r="W59" s="2508"/>
      <c r="X59" s="2508"/>
      <c r="Y59" s="2508"/>
      <c r="Z59" s="2508"/>
      <c r="AA59" s="2508"/>
      <c r="AB59" s="2508"/>
      <c r="AC59" s="2508"/>
    </row>
    <row r="60" spans="1:29" s="101"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4.4">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312.66000000000003</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859"/>
      <c r="M4" s="860"/>
      <c r="N4" s="860"/>
      <c r="O4" s="860"/>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859"/>
      <c r="M5" s="860"/>
      <c r="N5" s="860"/>
      <c r="O5" s="860"/>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859"/>
      <c r="M6" s="860"/>
      <c r="N6" s="860"/>
      <c r="O6" s="860"/>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SUMIF(52:52,YEAR(E7)&amp;"-"&amp;MONTH(E7),53:53)</f>
        <v>0</v>
      </c>
      <c r="G7" s="355"/>
      <c r="H7" s="354">
        <f>SUMIF(52:52,YEAR(G7)&amp;"-"&amp;MONTH(G7),53:53)</f>
        <v>0</v>
      </c>
      <c r="I7" s="355"/>
      <c r="J7" s="354">
        <f>SUMIF(52:52,YEAR(I7)&amp;"-"&amp;MONTH(I7),53:53)</f>
        <v>0</v>
      </c>
      <c r="K7" s="38"/>
      <c r="L7" s="861"/>
      <c r="M7" s="862"/>
      <c r="N7" s="862"/>
      <c r="O7" s="862"/>
      <c r="P7" s="3421"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21" t="s">
        <v>1683</v>
      </c>
      <c r="Q8" s="3422"/>
      <c r="R8" s="663" t="s">
        <v>14</v>
      </c>
      <c r="S8" s="664">
        <f t="shared" si="0"/>
        <v>100</v>
      </c>
      <c r="T8" s="663" t="s">
        <v>14</v>
      </c>
      <c r="U8" s="664">
        <f t="shared" si="1"/>
        <v>100</v>
      </c>
      <c r="V8" s="663" t="s">
        <v>14</v>
      </c>
      <c r="W8" s="664">
        <f t="shared" si="2"/>
        <v>100</v>
      </c>
      <c r="X8" s="665"/>
      <c r="Y8" s="3421" t="s">
        <v>1683</v>
      </c>
      <c r="Z8" s="3422"/>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83"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83"/>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3"/>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83"/>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1"/>
      <c r="Q16" s="1262"/>
      <c r="R16" s="666"/>
      <c r="S16" s="667"/>
      <c r="T16" s="666"/>
      <c r="U16" s="667"/>
      <c r="V16" s="666"/>
      <c r="W16" s="667"/>
      <c r="X16" s="1264"/>
      <c r="Y16" s="3391"/>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1"/>
      <c r="Q18" s="1262"/>
      <c r="R18" s="666"/>
      <c r="S18" s="667"/>
      <c r="T18" s="666"/>
      <c r="U18" s="667"/>
      <c r="V18" s="666"/>
      <c r="W18" s="667"/>
      <c r="X18" s="1264"/>
      <c r="Y18" s="3391"/>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1"/>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1"/>
      <c r="Q20" s="1262"/>
      <c r="R20" s="666"/>
      <c r="S20" s="667"/>
      <c r="T20" s="666"/>
      <c r="U20" s="667"/>
      <c r="V20" s="666"/>
      <c r="W20" s="667"/>
      <c r="X20" s="1264"/>
      <c r="Y20" s="3391"/>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1"/>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1"/>
      <c r="Q22" s="1262"/>
      <c r="R22" s="666"/>
      <c r="S22" s="667"/>
      <c r="T22" s="666"/>
      <c r="U22" s="667"/>
      <c r="V22" s="666"/>
      <c r="W22" s="667"/>
      <c r="X22" s="1264"/>
      <c r="Y22" s="3391"/>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1"/>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1"/>
      <c r="Q24" s="1262"/>
      <c r="R24" s="666"/>
      <c r="S24" s="667"/>
      <c r="T24" s="666"/>
      <c r="U24" s="667"/>
      <c r="V24" s="666"/>
      <c r="W24" s="667"/>
      <c r="X24" s="1264"/>
      <c r="Y24" s="339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1"/>
      <c r="Q25" s="1262">
        <f>B25</f>
        <v>111</v>
      </c>
      <c r="R25" s="666" t="s">
        <v>14</v>
      </c>
      <c r="S25" s="667">
        <f>F25</f>
        <v>100</v>
      </c>
      <c r="T25" s="666" t="s">
        <v>14</v>
      </c>
      <c r="U25" s="667">
        <f>H25</f>
        <v>100</v>
      </c>
      <c r="V25" s="666" t="s">
        <v>14</v>
      </c>
      <c r="W25" s="667">
        <f>J25</f>
        <v>100</v>
      </c>
      <c r="X25" s="1264"/>
      <c r="Y25" s="339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1"/>
      <c r="Q26" s="1262">
        <f t="shared" ref="Q26:Q40" si="11">B26</f>
        <v>111</v>
      </c>
      <c r="R26" s="666" t="s">
        <v>14</v>
      </c>
      <c r="S26" s="667">
        <f>F26</f>
        <v>100</v>
      </c>
      <c r="T26" s="666" t="s">
        <v>14</v>
      </c>
      <c r="U26" s="667">
        <f>H26</f>
        <v>100</v>
      </c>
      <c r="V26" s="666" t="s">
        <v>14</v>
      </c>
      <c r="W26" s="667">
        <f>J26</f>
        <v>100</v>
      </c>
      <c r="X26" s="1264"/>
      <c r="Y26" s="339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1"/>
      <c r="Q27" s="529">
        <f t="shared" si="11"/>
        <v>111</v>
      </c>
      <c r="R27" s="663" t="s">
        <v>14</v>
      </c>
      <c r="S27" s="664">
        <f>F27</f>
        <v>100</v>
      </c>
      <c r="T27" s="663" t="s">
        <v>14</v>
      </c>
      <c r="U27" s="664">
        <f>H27</f>
        <v>100</v>
      </c>
      <c r="V27" s="663" t="s">
        <v>14</v>
      </c>
      <c r="W27" s="664">
        <f>J27</f>
        <v>100</v>
      </c>
      <c r="X27" s="665"/>
      <c r="Y27" s="3391"/>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1"/>
      <c r="Q28" s="1262">
        <f t="shared" si="11"/>
        <v>111</v>
      </c>
      <c r="R28" s="666" t="s">
        <v>14</v>
      </c>
      <c r="S28" s="667">
        <f t="shared" ref="S28:S40" si="12">F28</f>
        <v>100</v>
      </c>
      <c r="T28" s="666" t="s">
        <v>14</v>
      </c>
      <c r="U28" s="667">
        <f t="shared" ref="U28:U40" si="13">H28</f>
        <v>100</v>
      </c>
      <c r="V28" s="666" t="s">
        <v>14</v>
      </c>
      <c r="W28" s="667">
        <f t="shared" ref="W28:W40" si="14">J28</f>
        <v>100</v>
      </c>
      <c r="X28" s="1264"/>
      <c r="Y28" s="3391"/>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5" t="s">
        <v>1696</v>
      </c>
      <c r="Q29" s="1262" t="str">
        <f t="shared" si="11"/>
        <v>建筑类型</v>
      </c>
      <c r="R29" s="666" t="s">
        <v>14</v>
      </c>
      <c r="S29" s="667">
        <f t="shared" si="12"/>
        <v>100</v>
      </c>
      <c r="T29" s="666" t="s">
        <v>14</v>
      </c>
      <c r="U29" s="667">
        <f t="shared" si="13"/>
        <v>100</v>
      </c>
      <c r="V29" s="666" t="s">
        <v>14</v>
      </c>
      <c r="W29" s="667">
        <f t="shared" si="14"/>
        <v>100</v>
      </c>
      <c r="X29" s="1264"/>
      <c r="Y29" s="339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5"/>
      <c r="Q30" s="530" t="str">
        <f t="shared" si="11"/>
        <v>项目建筑规模</v>
      </c>
      <c r="R30" s="668" t="s">
        <v>14</v>
      </c>
      <c r="S30" s="669" t="e">
        <f t="shared" si="12"/>
        <v>#N/A</v>
      </c>
      <c r="T30" s="668" t="s">
        <v>14</v>
      </c>
      <c r="U30" s="669" t="e">
        <f t="shared" si="13"/>
        <v>#N/A</v>
      </c>
      <c r="V30" s="668" t="s">
        <v>14</v>
      </c>
      <c r="W30" s="669" t="e">
        <f t="shared" si="14"/>
        <v>#N/A</v>
      </c>
      <c r="X30" s="670"/>
      <c r="Y30" s="339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5"/>
      <c r="Q31" s="1262" t="str">
        <f t="shared" si="11"/>
        <v>建筑结构</v>
      </c>
      <c r="R31" s="666" t="s">
        <v>14</v>
      </c>
      <c r="S31" s="667">
        <f t="shared" si="12"/>
        <v>100</v>
      </c>
      <c r="T31" s="666" t="s">
        <v>14</v>
      </c>
      <c r="U31" s="667">
        <f t="shared" si="13"/>
        <v>100</v>
      </c>
      <c r="V31" s="666" t="s">
        <v>14</v>
      </c>
      <c r="W31" s="667">
        <f t="shared" si="14"/>
        <v>100</v>
      </c>
      <c r="X31" s="1264"/>
      <c r="Y31" s="339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5"/>
      <c r="Q32" s="1262" t="str">
        <f t="shared" si="11"/>
        <v>公共部分装修</v>
      </c>
      <c r="R32" s="666" t="s">
        <v>14</v>
      </c>
      <c r="S32" s="667">
        <f t="shared" si="12"/>
        <v>100</v>
      </c>
      <c r="T32" s="666" t="s">
        <v>14</v>
      </c>
      <c r="U32" s="667">
        <f t="shared" si="13"/>
        <v>100</v>
      </c>
      <c r="V32" s="666" t="s">
        <v>14</v>
      </c>
      <c r="W32" s="667">
        <f t="shared" si="14"/>
        <v>100</v>
      </c>
      <c r="X32" s="1264"/>
      <c r="Y32" s="339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5"/>
      <c r="Q33" s="1262" t="str">
        <f t="shared" si="11"/>
        <v>成新度</v>
      </c>
      <c r="R33" s="666" t="s">
        <v>14</v>
      </c>
      <c r="S33" s="667" t="e">
        <f t="shared" si="12"/>
        <v>#N/A</v>
      </c>
      <c r="T33" s="666" t="s">
        <v>14</v>
      </c>
      <c r="U33" s="667" t="e">
        <f t="shared" si="13"/>
        <v>#N/A</v>
      </c>
      <c r="V33" s="666" t="s">
        <v>14</v>
      </c>
      <c r="W33" s="667" t="e">
        <f t="shared" si="14"/>
        <v>#N/A</v>
      </c>
      <c r="X33" s="1264"/>
      <c r="Y33" s="339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5"/>
      <c r="Q34" s="529" t="str">
        <f t="shared" si="11"/>
        <v>物业管理</v>
      </c>
      <c r="R34" s="663" t="s">
        <v>14</v>
      </c>
      <c r="S34" s="664">
        <f t="shared" si="12"/>
        <v>100</v>
      </c>
      <c r="T34" s="663" t="s">
        <v>14</v>
      </c>
      <c r="U34" s="664">
        <f t="shared" si="13"/>
        <v>100</v>
      </c>
      <c r="V34" s="663" t="s">
        <v>14</v>
      </c>
      <c r="W34" s="664">
        <f t="shared" si="14"/>
        <v>100</v>
      </c>
      <c r="X34" s="665"/>
      <c r="Y34" s="339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5" t="s">
        <v>1696</v>
      </c>
      <c r="Q35" s="1262" t="str">
        <f t="shared" si="11"/>
        <v>市政基础设施</v>
      </c>
      <c r="R35" s="666" t="s">
        <v>14</v>
      </c>
      <c r="S35" s="667">
        <f t="shared" si="12"/>
        <v>100</v>
      </c>
      <c r="T35" s="666" t="s">
        <v>14</v>
      </c>
      <c r="U35" s="667">
        <f t="shared" si="13"/>
        <v>100</v>
      </c>
      <c r="V35" s="666" t="s">
        <v>14</v>
      </c>
      <c r="W35" s="667">
        <f t="shared" si="14"/>
        <v>100</v>
      </c>
      <c r="X35" s="1264"/>
      <c r="Y35" s="339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5"/>
      <c r="Q36" s="1262" t="str">
        <f t="shared" si="11"/>
        <v>内部装修</v>
      </c>
      <c r="R36" s="666" t="s">
        <v>14</v>
      </c>
      <c r="S36" s="667">
        <f t="shared" si="12"/>
        <v>100</v>
      </c>
      <c r="T36" s="666" t="s">
        <v>14</v>
      </c>
      <c r="U36" s="667">
        <f t="shared" si="13"/>
        <v>100</v>
      </c>
      <c r="V36" s="666" t="s">
        <v>14</v>
      </c>
      <c r="W36" s="667">
        <f t="shared" si="14"/>
        <v>100</v>
      </c>
      <c r="X36" s="1264"/>
      <c r="Y36" s="339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5"/>
      <c r="Q37" s="1262" t="str">
        <f t="shared" si="11"/>
        <v>内部装修状况</v>
      </c>
      <c r="R37" s="666" t="s">
        <v>14</v>
      </c>
      <c r="S37" s="667">
        <f t="shared" si="12"/>
        <v>100</v>
      </c>
      <c r="T37" s="666" t="s">
        <v>14</v>
      </c>
      <c r="U37" s="667">
        <f t="shared" si="13"/>
        <v>100</v>
      </c>
      <c r="V37" s="666" t="s">
        <v>14</v>
      </c>
      <c r="W37" s="667">
        <f t="shared" si="14"/>
        <v>100</v>
      </c>
      <c r="X37" s="1264"/>
      <c r="Y37" s="339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5"/>
      <c r="Q38" s="530">
        <f t="shared" si="11"/>
        <v>111</v>
      </c>
      <c r="R38" s="668" t="s">
        <v>14</v>
      </c>
      <c r="S38" s="669">
        <f t="shared" si="12"/>
        <v>100</v>
      </c>
      <c r="T38" s="668" t="s">
        <v>14</v>
      </c>
      <c r="U38" s="669">
        <f t="shared" si="13"/>
        <v>100</v>
      </c>
      <c r="V38" s="668" t="s">
        <v>14</v>
      </c>
      <c r="W38" s="669">
        <f t="shared" si="14"/>
        <v>100</v>
      </c>
      <c r="X38" s="670"/>
      <c r="Y38" s="339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5"/>
      <c r="Q39" s="1262">
        <f t="shared" si="11"/>
        <v>111</v>
      </c>
      <c r="R39" s="666" t="s">
        <v>14</v>
      </c>
      <c r="S39" s="667">
        <f t="shared" si="12"/>
        <v>100</v>
      </c>
      <c r="T39" s="666" t="s">
        <v>14</v>
      </c>
      <c r="U39" s="667">
        <f t="shared" si="13"/>
        <v>100</v>
      </c>
      <c r="V39" s="666" t="s">
        <v>14</v>
      </c>
      <c r="W39" s="667">
        <f t="shared" si="14"/>
        <v>100</v>
      </c>
      <c r="X39" s="1264"/>
      <c r="Y39" s="3395"/>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6"/>
      <c r="Q40" s="1262">
        <f t="shared" si="11"/>
        <v>111</v>
      </c>
      <c r="R40" s="666" t="s">
        <v>14</v>
      </c>
      <c r="S40" s="667">
        <f t="shared" si="12"/>
        <v>100</v>
      </c>
      <c r="T40" s="666" t="s">
        <v>14</v>
      </c>
      <c r="U40" s="667">
        <f t="shared" si="13"/>
        <v>100</v>
      </c>
      <c r="V40" s="666" t="s">
        <v>14</v>
      </c>
      <c r="W40" s="667">
        <f t="shared" si="14"/>
        <v>100</v>
      </c>
      <c r="X40" s="1264"/>
      <c r="Y40" s="3396"/>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83" t="str">
        <f>A41</f>
        <v>成交单价（元/平方米）</v>
      </c>
      <c r="Q41" s="3383"/>
      <c r="R41" s="3384">
        <f>E41</f>
        <v>0</v>
      </c>
      <c r="S41" s="3384"/>
      <c r="T41" s="3384">
        <f>G41</f>
        <v>0</v>
      </c>
      <c r="U41" s="3384"/>
      <c r="V41" s="3384">
        <f>I41</f>
        <v>0</v>
      </c>
      <c r="W41" s="3384"/>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3332</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SUMIF(48:48,YEAR(E7)&amp;"-"&amp;MONTH(E7),49:49)</f>
        <v>0</v>
      </c>
      <c r="G7" s="355"/>
      <c r="H7" s="354">
        <f>SUMIF(48:48,YEAR(G7)&amp;"-"&amp;MONTH(G7),49:49)</f>
        <v>0</v>
      </c>
      <c r="I7" s="355"/>
      <c r="J7" s="354">
        <f>SUMIF(48:48,YEAR(I7)&amp;"-"&amp;MONTH(I7),49:49)</f>
        <v>0</v>
      </c>
      <c r="K7" s="38"/>
      <c r="L7" s="2486"/>
      <c r="M7" s="2438"/>
      <c r="N7" s="2438"/>
      <c r="O7" s="2438"/>
      <c r="P7" s="3421" t="s">
        <v>1680</v>
      </c>
      <c r="Q7" s="3423"/>
      <c r="R7" s="663" t="s">
        <v>14</v>
      </c>
      <c r="S7" s="664">
        <f t="shared" ref="S7:S14" si="0">F7</f>
        <v>0</v>
      </c>
      <c r="T7" s="663" t="s">
        <v>14</v>
      </c>
      <c r="U7" s="664">
        <f t="shared" ref="U7:U14" si="1">H7</f>
        <v>0</v>
      </c>
      <c r="V7" s="663" t="s">
        <v>14</v>
      </c>
      <c r="W7" s="664">
        <f t="shared" ref="W7:W14" si="2">J7</f>
        <v>0</v>
      </c>
      <c r="X7" s="665"/>
      <c r="Y7" s="3421" t="s">
        <v>1680</v>
      </c>
      <c r="Z7" s="3422"/>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21" t="s">
        <v>1683</v>
      </c>
      <c r="Q8" s="3422"/>
      <c r="R8" s="663" t="s">
        <v>14</v>
      </c>
      <c r="S8" s="664">
        <f t="shared" si="0"/>
        <v>100</v>
      </c>
      <c r="T8" s="663" t="s">
        <v>14</v>
      </c>
      <c r="U8" s="664">
        <f t="shared" si="1"/>
        <v>100</v>
      </c>
      <c r="V8" s="663" t="s">
        <v>14</v>
      </c>
      <c r="W8" s="664">
        <f t="shared" si="2"/>
        <v>100</v>
      </c>
      <c r="X8" s="665"/>
      <c r="Y8" s="3421" t="s">
        <v>1683</v>
      </c>
      <c r="Z8" s="3422"/>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83" t="s">
        <v>1686</v>
      </c>
      <c r="Q9" s="529" t="str">
        <f t="shared" ref="Q9:Q14" si="6">B9</f>
        <v>用途</v>
      </c>
      <c r="R9" s="663" t="s">
        <v>14</v>
      </c>
      <c r="S9" s="664">
        <f t="shared" si="0"/>
        <v>100</v>
      </c>
      <c r="T9" s="663" t="s">
        <v>14</v>
      </c>
      <c r="U9" s="664">
        <f t="shared" si="1"/>
        <v>100</v>
      </c>
      <c r="V9" s="663" t="s">
        <v>14</v>
      </c>
      <c r="W9" s="664">
        <f t="shared" si="2"/>
        <v>100</v>
      </c>
      <c r="X9" s="665"/>
      <c r="Y9" s="3290" t="s">
        <v>1687</v>
      </c>
      <c r="Z9" s="50" t="str">
        <f t="shared" ref="Z9:Z14" si="7">Q9</f>
        <v>用途</v>
      </c>
      <c r="AA9" s="50">
        <f t="shared" si="3"/>
        <v>1</v>
      </c>
      <c r="AB9" s="50">
        <f t="shared" si="4"/>
        <v>1</v>
      </c>
      <c r="AC9" s="50">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83"/>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83"/>
      <c r="Q11" s="529">
        <f t="shared" si="6"/>
        <v>111</v>
      </c>
      <c r="R11" s="663" t="s">
        <v>14</v>
      </c>
      <c r="S11" s="664">
        <f t="shared" si="0"/>
        <v>100</v>
      </c>
      <c r="T11" s="663" t="s">
        <v>14</v>
      </c>
      <c r="U11" s="664">
        <f t="shared" si="1"/>
        <v>100</v>
      </c>
      <c r="V11" s="663" t="s">
        <v>14</v>
      </c>
      <c r="W11" s="664">
        <f t="shared" si="2"/>
        <v>100</v>
      </c>
      <c r="X11" s="665"/>
      <c r="Y11" s="329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38">
      <c r="A14" s="344" t="s">
        <v>1690</v>
      </c>
      <c r="B14" s="553" t="s">
        <v>1833</v>
      </c>
      <c r="C14" s="1818" t="str">
        <f>IF(B1="工业",估价对象房地状况!G4,估价对象房地状况!C6)</f>
        <v>估价对象临城市主干道--妫川路，周边有Y9路、919路、920路公交车，门口可停车，停车便捷程度较好，综合评价交通便捷度一般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91"/>
      <c r="Q15" s="1262"/>
      <c r="R15" s="666"/>
      <c r="S15" s="667"/>
      <c r="T15" s="666"/>
      <c r="U15" s="667"/>
      <c r="V15" s="666"/>
      <c r="W15" s="667"/>
      <c r="X15" s="1264"/>
      <c r="Y15" s="3391"/>
      <c r="Z15" s="1263"/>
      <c r="AA15" s="1263">
        <v>1</v>
      </c>
      <c r="AB15" s="1263">
        <v>1</v>
      </c>
      <c r="AC15" s="1263">
        <v>1</v>
      </c>
    </row>
    <row r="16" spans="1:29" ht="207">
      <c r="A16" s="347"/>
      <c r="B16" s="555" t="s">
        <v>1812</v>
      </c>
      <c r="C16" s="1753"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91"/>
      <c r="Q17" s="1262"/>
      <c r="R17" s="666"/>
      <c r="S17" s="667"/>
      <c r="T17" s="666"/>
      <c r="U17" s="667"/>
      <c r="V17" s="666"/>
      <c r="W17" s="667"/>
      <c r="X17" s="1264"/>
      <c r="Y17" s="3391"/>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91"/>
      <c r="Q19" s="1262"/>
      <c r="R19" s="666"/>
      <c r="S19" s="667"/>
      <c r="T19" s="666"/>
      <c r="U19" s="667"/>
      <c r="V19" s="666"/>
      <c r="W19" s="667"/>
      <c r="X19" s="1264"/>
      <c r="Y19" s="3391"/>
      <c r="Z19" s="1263"/>
      <c r="AA19" s="1263">
        <v>1</v>
      </c>
      <c r="AB19" s="1263">
        <v>1</v>
      </c>
      <c r="AC19" s="1263">
        <v>1</v>
      </c>
    </row>
    <row r="20" spans="1:29" ht="179.4">
      <c r="A20" s="347"/>
      <c r="B20" s="555" t="s">
        <v>1834</v>
      </c>
      <c r="C20" s="1753"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91"/>
      <c r="Q21" s="1262"/>
      <c r="R21" s="666"/>
      <c r="S21" s="667"/>
      <c r="T21" s="666"/>
      <c r="U21" s="667"/>
      <c r="V21" s="666"/>
      <c r="W21" s="667"/>
      <c r="X21" s="1264"/>
      <c r="Y21" s="339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91"/>
      <c r="Q24" s="1262">
        <f t="shared" ref="Q24:Q36"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395"/>
      <c r="Q27" s="530" t="str">
        <f t="shared" si="11"/>
        <v>项目停车位配比</v>
      </c>
      <c r="R27" s="668" t="s">
        <v>14</v>
      </c>
      <c r="S27" s="669">
        <f t="shared" si="12"/>
        <v>100</v>
      </c>
      <c r="T27" s="668" t="s">
        <v>14</v>
      </c>
      <c r="U27" s="669">
        <f t="shared" si="13"/>
        <v>100</v>
      </c>
      <c r="V27" s="668" t="s">
        <v>14</v>
      </c>
      <c r="W27" s="669">
        <f t="shared" si="14"/>
        <v>100</v>
      </c>
      <c r="X27" s="670"/>
      <c r="Y27" s="339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395"/>
      <c r="Q28" s="1262" t="str">
        <f t="shared" si="11"/>
        <v>公共部分装修</v>
      </c>
      <c r="R28" s="666" t="s">
        <v>14</v>
      </c>
      <c r="S28" s="667">
        <f t="shared" si="12"/>
        <v>100</v>
      </c>
      <c r="T28" s="666" t="s">
        <v>14</v>
      </c>
      <c r="U28" s="667">
        <f t="shared" si="13"/>
        <v>100</v>
      </c>
      <c r="V28" s="666" t="s">
        <v>14</v>
      </c>
      <c r="W28" s="667">
        <f t="shared" si="14"/>
        <v>100</v>
      </c>
      <c r="X28" s="1264"/>
      <c r="Y28" s="339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395"/>
      <c r="Q29" s="1262" t="str">
        <f t="shared" si="11"/>
        <v>成新率</v>
      </c>
      <c r="R29" s="666" t="s">
        <v>14</v>
      </c>
      <c r="S29" s="667" t="e">
        <f t="shared" si="12"/>
        <v>#N/A</v>
      </c>
      <c r="T29" s="666" t="s">
        <v>14</v>
      </c>
      <c r="U29" s="667" t="e">
        <f t="shared" si="13"/>
        <v>#N/A</v>
      </c>
      <c r="V29" s="666" t="s">
        <v>14</v>
      </c>
      <c r="W29" s="667" t="e">
        <f t="shared" si="14"/>
        <v>#N/A</v>
      </c>
      <c r="X29" s="1264"/>
      <c r="Y29" s="339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395"/>
      <c r="Q30" s="1262" t="str">
        <f t="shared" si="11"/>
        <v>物业等级</v>
      </c>
      <c r="R30" s="666" t="s">
        <v>14</v>
      </c>
      <c r="S30" s="667">
        <f t="shared" si="12"/>
        <v>100</v>
      </c>
      <c r="T30" s="666" t="s">
        <v>14</v>
      </c>
      <c r="U30" s="667">
        <f t="shared" si="13"/>
        <v>100</v>
      </c>
      <c r="V30" s="666" t="s">
        <v>14</v>
      </c>
      <c r="W30" s="667">
        <f t="shared" si="14"/>
        <v>100</v>
      </c>
      <c r="X30" s="1264"/>
      <c r="Y30" s="339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395"/>
      <c r="Q31" s="529" t="str">
        <f t="shared" si="11"/>
        <v>停车位面积</v>
      </c>
      <c r="R31" s="663" t="s">
        <v>14</v>
      </c>
      <c r="S31" s="664" t="e">
        <f t="shared" si="12"/>
        <v>#N/A</v>
      </c>
      <c r="T31" s="663" t="s">
        <v>14</v>
      </c>
      <c r="U31" s="664" t="e">
        <f t="shared" si="13"/>
        <v>#N/A</v>
      </c>
      <c r="V31" s="663" t="s">
        <v>14</v>
      </c>
      <c r="W31" s="664" t="e">
        <f t="shared" si="14"/>
        <v>#N/A</v>
      </c>
      <c r="X31" s="665"/>
      <c r="Y31" s="339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395" t="s">
        <v>1696</v>
      </c>
      <c r="Q32" s="1262" t="str">
        <f t="shared" si="11"/>
        <v>车位类型</v>
      </c>
      <c r="R32" s="666" t="s">
        <v>14</v>
      </c>
      <c r="S32" s="667">
        <f t="shared" si="12"/>
        <v>100</v>
      </c>
      <c r="T32" s="666" t="s">
        <v>14</v>
      </c>
      <c r="U32" s="667">
        <f t="shared" si="13"/>
        <v>100</v>
      </c>
      <c r="V32" s="666" t="s">
        <v>14</v>
      </c>
      <c r="W32" s="667">
        <f t="shared" si="14"/>
        <v>100</v>
      </c>
      <c r="X32" s="1264"/>
      <c r="Y32" s="339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395"/>
      <c r="Q33" s="1262" t="str">
        <f t="shared" si="11"/>
        <v>是否直接入户</v>
      </c>
      <c r="R33" s="666" t="s">
        <v>14</v>
      </c>
      <c r="S33" s="667">
        <f t="shared" si="12"/>
        <v>100</v>
      </c>
      <c r="T33" s="666" t="s">
        <v>14</v>
      </c>
      <c r="U33" s="667">
        <f t="shared" si="13"/>
        <v>100</v>
      </c>
      <c r="V33" s="666" t="s">
        <v>14</v>
      </c>
      <c r="W33" s="667">
        <f t="shared" si="14"/>
        <v>100</v>
      </c>
      <c r="X33" s="1264"/>
      <c r="Y33" s="339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395"/>
      <c r="Q34" s="1262">
        <f t="shared" si="11"/>
        <v>111</v>
      </c>
      <c r="R34" s="666" t="s">
        <v>14</v>
      </c>
      <c r="S34" s="667">
        <f t="shared" si="12"/>
        <v>100</v>
      </c>
      <c r="T34" s="666" t="s">
        <v>14</v>
      </c>
      <c r="U34" s="667">
        <f t="shared" si="13"/>
        <v>100</v>
      </c>
      <c r="V34" s="666" t="s">
        <v>14</v>
      </c>
      <c r="W34" s="667">
        <f t="shared" si="14"/>
        <v>100</v>
      </c>
      <c r="X34" s="1264"/>
      <c r="Y34" s="339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395"/>
      <c r="Q35" s="530">
        <f t="shared" si="11"/>
        <v>111</v>
      </c>
      <c r="R35" s="668" t="s">
        <v>14</v>
      </c>
      <c r="S35" s="669">
        <f t="shared" si="12"/>
        <v>100</v>
      </c>
      <c r="T35" s="668" t="s">
        <v>14</v>
      </c>
      <c r="U35" s="669">
        <f t="shared" si="13"/>
        <v>100</v>
      </c>
      <c r="V35" s="668" t="s">
        <v>14</v>
      </c>
      <c r="W35" s="669">
        <f t="shared" si="14"/>
        <v>100</v>
      </c>
      <c r="X35" s="670"/>
      <c r="Y35" s="3395"/>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395"/>
      <c r="Q36" s="1262">
        <f t="shared" si="11"/>
        <v>111</v>
      </c>
      <c r="R36" s="666" t="s">
        <v>14</v>
      </c>
      <c r="S36" s="667">
        <f t="shared" si="12"/>
        <v>100</v>
      </c>
      <c r="T36" s="666" t="s">
        <v>14</v>
      </c>
      <c r="U36" s="667">
        <f t="shared" si="13"/>
        <v>100</v>
      </c>
      <c r="V36" s="666" t="s">
        <v>14</v>
      </c>
      <c r="W36" s="667">
        <f t="shared" si="14"/>
        <v>100</v>
      </c>
      <c r="X36" s="1264"/>
      <c r="Y36" s="3395"/>
      <c r="Z36" s="1263">
        <f t="shared" si="15"/>
        <v>111</v>
      </c>
      <c r="AA36" s="1263">
        <f t="shared" si="3"/>
        <v>1</v>
      </c>
      <c r="AB36" s="1263">
        <f t="shared" si="4"/>
        <v>1</v>
      </c>
      <c r="AC36" s="1263">
        <f t="shared" si="5"/>
        <v>1</v>
      </c>
    </row>
    <row r="37" spans="1:29" ht="14.4">
      <c r="A37" s="415" t="s">
        <v>1844</v>
      </c>
      <c r="B37" s="1820" t="s">
        <v>3352</v>
      </c>
      <c r="C37" s="1080" t="s">
        <v>0</v>
      </c>
      <c r="D37" s="417"/>
      <c r="E37" s="418"/>
      <c r="F37" s="419"/>
      <c r="G37" s="420"/>
      <c r="H37" s="421"/>
      <c r="I37" s="418"/>
      <c r="J37" s="421"/>
      <c r="K37" s="544"/>
      <c r="L37" s="2492"/>
      <c r="M37" s="2485"/>
      <c r="N37" s="2485"/>
      <c r="O37" s="2485"/>
      <c r="P37" s="3383" t="str">
        <f>A37</f>
        <v>成交单价</v>
      </c>
      <c r="Q37" s="3383"/>
      <c r="R37" s="3384">
        <f>E37</f>
        <v>0</v>
      </c>
      <c r="S37" s="3384"/>
      <c r="T37" s="3384">
        <f>G37</f>
        <v>0</v>
      </c>
      <c r="U37" s="3384"/>
      <c r="V37" s="3384">
        <f>I37</f>
        <v>0</v>
      </c>
      <c r="W37" s="3384"/>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385" t="str">
        <f>A39</f>
        <v>估价对象XX用房的比较价值（楼面单价，元/平方米）</v>
      </c>
      <c r="Q39" s="3386"/>
      <c r="R39" s="3466" t="e">
        <f>IF(F1="售价",ROUND(IF(D38="简单平均",AVERAGE(R38:W38),R38*F38+T38*H38+V38*J38),0),ROUND(IF(D38="简单平均",AVERAGE(R38:V38),R38*F38+T38*H38+V38*J38),1))</f>
        <v>#DIV/0!</v>
      </c>
      <c r="S39" s="3466"/>
      <c r="T39" s="3466"/>
      <c r="U39" s="3466"/>
      <c r="V39" s="3466"/>
      <c r="W39" s="3466"/>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5"/>
      <c r="Q48" s="2508"/>
      <c r="R48" s="2508"/>
      <c r="S48" s="2508"/>
      <c r="T48" s="2508"/>
      <c r="U48" s="2508"/>
      <c r="V48" s="2508"/>
      <c r="W48" s="2508"/>
      <c r="X48" s="2508"/>
      <c r="Y48" s="2508"/>
      <c r="Z48" s="2508"/>
      <c r="AA48" s="2508"/>
      <c r="AB48" s="2508"/>
      <c r="AC48" s="2508"/>
    </row>
    <row r="49" spans="1:29" s="101"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21" t="s">
        <v>1680</v>
      </c>
      <c r="Q7" s="3423"/>
      <c r="R7" s="663" t="s">
        <v>14</v>
      </c>
      <c r="S7" s="664">
        <f t="shared" ref="S7:S14" si="0">F7</f>
        <v>0</v>
      </c>
      <c r="T7" s="663" t="s">
        <v>14</v>
      </c>
      <c r="U7" s="664">
        <f t="shared" ref="U7:U14" si="1">H7</f>
        <v>0</v>
      </c>
      <c r="V7" s="663" t="s">
        <v>14</v>
      </c>
      <c r="W7" s="664">
        <f t="shared" ref="W7:W14" si="2">J7</f>
        <v>0</v>
      </c>
      <c r="X7" s="665"/>
      <c r="Y7" s="3421" t="s">
        <v>1680</v>
      </c>
      <c r="Z7" s="3422"/>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21" t="s">
        <v>1683</v>
      </c>
      <c r="Q8" s="3422"/>
      <c r="R8" s="663" t="s">
        <v>14</v>
      </c>
      <c r="S8" s="664">
        <f t="shared" si="0"/>
        <v>100</v>
      </c>
      <c r="T8" s="663" t="s">
        <v>14</v>
      </c>
      <c r="U8" s="664">
        <f t="shared" si="1"/>
        <v>100</v>
      </c>
      <c r="V8" s="663" t="s">
        <v>14</v>
      </c>
      <c r="W8" s="664">
        <f t="shared" si="2"/>
        <v>100</v>
      </c>
      <c r="X8" s="665"/>
      <c r="Y8" s="3421" t="s">
        <v>1683</v>
      </c>
      <c r="Z8" s="3422"/>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83" t="s">
        <v>1686</v>
      </c>
      <c r="Q9" s="529" t="str">
        <f t="shared" ref="Q9:Q14" si="6">B9</f>
        <v>用途</v>
      </c>
      <c r="R9" s="663" t="s">
        <v>14</v>
      </c>
      <c r="S9" s="664">
        <f t="shared" si="0"/>
        <v>100</v>
      </c>
      <c r="T9" s="663" t="s">
        <v>14</v>
      </c>
      <c r="U9" s="664">
        <f t="shared" si="1"/>
        <v>100</v>
      </c>
      <c r="V9" s="663" t="s">
        <v>14</v>
      </c>
      <c r="W9" s="664">
        <f t="shared" si="2"/>
        <v>100</v>
      </c>
      <c r="X9" s="665"/>
      <c r="Y9" s="3290" t="s">
        <v>1687</v>
      </c>
      <c r="Z9" s="50" t="str">
        <f t="shared" ref="Z9:Z14" si="7">Q9</f>
        <v>用途</v>
      </c>
      <c r="AA9" s="50">
        <f t="shared" si="3"/>
        <v>1</v>
      </c>
      <c r="AB9" s="50">
        <f t="shared" si="4"/>
        <v>1</v>
      </c>
      <c r="AC9" s="50">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83"/>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83"/>
      <c r="Q11" s="529">
        <f t="shared" si="6"/>
        <v>111</v>
      </c>
      <c r="R11" s="663" t="s">
        <v>14</v>
      </c>
      <c r="S11" s="664">
        <f t="shared" si="0"/>
        <v>100</v>
      </c>
      <c r="T11" s="663" t="s">
        <v>14</v>
      </c>
      <c r="U11" s="664">
        <f t="shared" si="1"/>
        <v>100</v>
      </c>
      <c r="V11" s="663" t="s">
        <v>14</v>
      </c>
      <c r="W11" s="664">
        <f t="shared" si="2"/>
        <v>100</v>
      </c>
      <c r="X11" s="665"/>
      <c r="Y11" s="329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38">
      <c r="A14" s="378" t="s">
        <v>1690</v>
      </c>
      <c r="B14" s="58" t="s">
        <v>1833</v>
      </c>
      <c r="C14" s="1818" t="str">
        <f>IF(B1="工业",估价对象房地状况!G4,估价对象房地状况!C6)</f>
        <v>估价对象临城市主干道--妫川路，周边有Y9路、919路、920路公交车，门口可停车，停车便捷程度较好，综合评价交通便捷度一般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91"/>
      <c r="Q15" s="1262"/>
      <c r="R15" s="666"/>
      <c r="S15" s="667"/>
      <c r="T15" s="666"/>
      <c r="U15" s="667"/>
      <c r="V15" s="666"/>
      <c r="W15" s="667"/>
      <c r="X15" s="1264"/>
      <c r="Y15" s="3391"/>
      <c r="Z15" s="1263"/>
      <c r="AA15" s="1263">
        <v>1</v>
      </c>
      <c r="AB15" s="1263">
        <v>1</v>
      </c>
      <c r="AC15" s="1263">
        <v>1</v>
      </c>
    </row>
    <row r="16" spans="1:29" ht="207">
      <c r="A16" s="366"/>
      <c r="B16" s="389" t="s">
        <v>1812</v>
      </c>
      <c r="C16" s="1753"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91"/>
      <c r="Q17" s="1262"/>
      <c r="R17" s="666"/>
      <c r="S17" s="667"/>
      <c r="T17" s="666"/>
      <c r="U17" s="667"/>
      <c r="V17" s="666"/>
      <c r="W17" s="667"/>
      <c r="X17" s="1264"/>
      <c r="Y17" s="3391"/>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91"/>
      <c r="Q19" s="1262"/>
      <c r="R19" s="666"/>
      <c r="S19" s="667"/>
      <c r="T19" s="666"/>
      <c r="U19" s="667"/>
      <c r="V19" s="666"/>
      <c r="W19" s="667"/>
      <c r="X19" s="1264"/>
      <c r="Y19" s="3391"/>
      <c r="Z19" s="1263"/>
      <c r="AA19" s="1263">
        <v>1</v>
      </c>
      <c r="AB19" s="1263">
        <v>1</v>
      </c>
      <c r="AC19" s="1263">
        <v>1</v>
      </c>
    </row>
    <row r="20" spans="1:29" ht="179.4">
      <c r="A20" s="366"/>
      <c r="B20" s="389" t="s">
        <v>1834</v>
      </c>
      <c r="C20" s="1753"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91"/>
      <c r="Q21" s="1262"/>
      <c r="R21" s="666"/>
      <c r="S21" s="667"/>
      <c r="T21" s="666"/>
      <c r="U21" s="667"/>
      <c r="V21" s="666"/>
      <c r="W21" s="667"/>
      <c r="X21" s="1264"/>
      <c r="Y21" s="339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91"/>
      <c r="Q24" s="1262">
        <f t="shared" ref="Q24:Q34"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6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395"/>
      <c r="Q27" s="530" t="str">
        <f t="shared" si="11"/>
        <v>成新率</v>
      </c>
      <c r="R27" s="668" t="s">
        <v>14</v>
      </c>
      <c r="S27" s="669" t="e">
        <f t="shared" si="12"/>
        <v>#N/A</v>
      </c>
      <c r="T27" s="668" t="s">
        <v>14</v>
      </c>
      <c r="U27" s="669" t="e">
        <f t="shared" si="13"/>
        <v>#N/A</v>
      </c>
      <c r="V27" s="668" t="s">
        <v>14</v>
      </c>
      <c r="W27" s="669" t="e">
        <f t="shared" si="14"/>
        <v>#N/A</v>
      </c>
      <c r="X27" s="670"/>
      <c r="Y27" s="339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395"/>
      <c r="Q28" s="1262" t="str">
        <f t="shared" si="11"/>
        <v>物业等级</v>
      </c>
      <c r="R28" s="666" t="s">
        <v>14</v>
      </c>
      <c r="S28" s="667">
        <f t="shared" si="12"/>
        <v>100</v>
      </c>
      <c r="T28" s="666" t="s">
        <v>14</v>
      </c>
      <c r="U28" s="667">
        <f t="shared" si="13"/>
        <v>100</v>
      </c>
      <c r="V28" s="666" t="s">
        <v>14</v>
      </c>
      <c r="W28" s="667">
        <f t="shared" si="14"/>
        <v>100</v>
      </c>
      <c r="X28" s="1264"/>
      <c r="Y28" s="339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395"/>
      <c r="Q29" s="1262" t="str">
        <f t="shared" si="11"/>
        <v>有无电梯</v>
      </c>
      <c r="R29" s="666" t="s">
        <v>14</v>
      </c>
      <c r="S29" s="667">
        <f t="shared" si="12"/>
        <v>100</v>
      </c>
      <c r="T29" s="666" t="s">
        <v>14</v>
      </c>
      <c r="U29" s="667">
        <f t="shared" si="13"/>
        <v>100</v>
      </c>
      <c r="V29" s="666" t="s">
        <v>14</v>
      </c>
      <c r="W29" s="667">
        <f t="shared" si="14"/>
        <v>100</v>
      </c>
      <c r="X29" s="1264"/>
      <c r="Y29" s="339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395"/>
      <c r="Q30" s="1262" t="str">
        <f t="shared" si="11"/>
        <v>建筑面积</v>
      </c>
      <c r="R30" s="666" t="s">
        <v>14</v>
      </c>
      <c r="S30" s="667" t="e">
        <f t="shared" si="12"/>
        <v>#N/A</v>
      </c>
      <c r="T30" s="666" t="s">
        <v>14</v>
      </c>
      <c r="U30" s="667" t="e">
        <f t="shared" si="13"/>
        <v>#N/A</v>
      </c>
      <c r="V30" s="666" t="s">
        <v>14</v>
      </c>
      <c r="W30" s="667" t="e">
        <f t="shared" si="14"/>
        <v>#N/A</v>
      </c>
      <c r="X30" s="1264"/>
      <c r="Y30" s="339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395"/>
      <c r="Q31" s="529" t="str">
        <f t="shared" si="11"/>
        <v>是否封闭</v>
      </c>
      <c r="R31" s="663" t="s">
        <v>14</v>
      </c>
      <c r="S31" s="664">
        <f t="shared" si="12"/>
        <v>100</v>
      </c>
      <c r="T31" s="663" t="s">
        <v>14</v>
      </c>
      <c r="U31" s="664">
        <f t="shared" si="13"/>
        <v>100</v>
      </c>
      <c r="V31" s="663" t="s">
        <v>14</v>
      </c>
      <c r="W31" s="664">
        <f t="shared" si="14"/>
        <v>100</v>
      </c>
      <c r="X31" s="665"/>
      <c r="Y31" s="339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395" t="s">
        <v>1696</v>
      </c>
      <c r="Q32" s="1262">
        <f t="shared" si="11"/>
        <v>111</v>
      </c>
      <c r="R32" s="666" t="s">
        <v>14</v>
      </c>
      <c r="S32" s="667">
        <f t="shared" si="12"/>
        <v>100</v>
      </c>
      <c r="T32" s="666" t="s">
        <v>14</v>
      </c>
      <c r="U32" s="667">
        <f t="shared" si="13"/>
        <v>100</v>
      </c>
      <c r="V32" s="666" t="s">
        <v>14</v>
      </c>
      <c r="W32" s="667">
        <f t="shared" si="14"/>
        <v>100</v>
      </c>
      <c r="X32" s="1264"/>
      <c r="Y32" s="339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395"/>
      <c r="Q33" s="1262">
        <f t="shared" si="11"/>
        <v>111</v>
      </c>
      <c r="R33" s="666" t="s">
        <v>14</v>
      </c>
      <c r="S33" s="667">
        <f t="shared" si="12"/>
        <v>100</v>
      </c>
      <c r="T33" s="666" t="s">
        <v>14</v>
      </c>
      <c r="U33" s="667">
        <f t="shared" si="13"/>
        <v>100</v>
      </c>
      <c r="V33" s="666" t="s">
        <v>14</v>
      </c>
      <c r="W33" s="667">
        <f t="shared" si="14"/>
        <v>100</v>
      </c>
      <c r="X33" s="1264"/>
      <c r="Y33" s="3395"/>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395"/>
      <c r="Q34" s="1262">
        <f t="shared" si="11"/>
        <v>111</v>
      </c>
      <c r="R34" s="666" t="s">
        <v>14</v>
      </c>
      <c r="S34" s="667">
        <f t="shared" si="12"/>
        <v>100</v>
      </c>
      <c r="T34" s="666" t="s">
        <v>14</v>
      </c>
      <c r="U34" s="667">
        <f t="shared" si="13"/>
        <v>100</v>
      </c>
      <c r="V34" s="666" t="s">
        <v>14</v>
      </c>
      <c r="W34" s="667">
        <f t="shared" si="14"/>
        <v>100</v>
      </c>
      <c r="X34" s="1264"/>
      <c r="Y34" s="3395"/>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383" t="str">
        <f>A35</f>
        <v>成交单价（元/平方米）</v>
      </c>
      <c r="Q35" s="3383"/>
      <c r="R35" s="3384">
        <f>E35</f>
        <v>0</v>
      </c>
      <c r="S35" s="3384"/>
      <c r="T35" s="3384">
        <f>G35</f>
        <v>0</v>
      </c>
      <c r="U35" s="3384"/>
      <c r="V35" s="3384">
        <f>I35</f>
        <v>0</v>
      </c>
      <c r="W35" s="3384"/>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385" t="str">
        <f>A37</f>
        <v>估价对象XX用房的比较价值（楼面单价，元/平方米）</v>
      </c>
      <c r="Q37" s="3386"/>
      <c r="R37" s="3466" t="e">
        <f>IF(F1="售价",ROUND(IF(D36="简单平均",AVERAGE(R36:W36),R36*F36+T36*H36+V36*J36),0),ROUND(IF(D36="简单平均",AVERAGE(R36:V36),R36*F36+T36*H36+V36*J36),1))</f>
        <v>#DIV/0!</v>
      </c>
      <c r="S37" s="3466"/>
      <c r="T37" s="3466"/>
      <c r="U37" s="3466"/>
      <c r="V37" s="3466"/>
      <c r="W37" s="3466"/>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08"/>
      <c r="Q46" s="2508"/>
      <c r="R46" s="2508"/>
      <c r="S46" s="2508"/>
      <c r="T46" s="2508"/>
      <c r="U46" s="2508"/>
      <c r="V46" s="2508"/>
      <c r="W46" s="2508"/>
      <c r="X46" s="2508"/>
      <c r="Y46" s="2508"/>
      <c r="Z46" s="2508"/>
      <c r="AA46" s="2508"/>
      <c r="AB46" s="2508"/>
      <c r="AC46" s="2508"/>
      <c r="AD46" s="2508"/>
    </row>
    <row r="47" spans="1:30" s="101"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21"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21" t="s">
        <v>1683</v>
      </c>
      <c r="Q8" s="3422"/>
      <c r="R8" s="663" t="s">
        <v>14</v>
      </c>
      <c r="S8" s="664">
        <f t="shared" si="0"/>
        <v>0</v>
      </c>
      <c r="T8" s="663" t="s">
        <v>14</v>
      </c>
      <c r="U8" s="664">
        <f t="shared" si="1"/>
        <v>0</v>
      </c>
      <c r="V8" s="663" t="s">
        <v>14</v>
      </c>
      <c r="W8" s="664">
        <f t="shared" si="2"/>
        <v>0</v>
      </c>
      <c r="X8" s="665"/>
      <c r="Y8" s="3421" t="s">
        <v>1683</v>
      </c>
      <c r="Z8" s="3422"/>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83"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152</v>
      </c>
      <c r="G10" s="401"/>
      <c r="H10" s="118">
        <f>ROUND(100/'数据-取费表'!G16,0)</f>
        <v>152</v>
      </c>
      <c r="I10" s="401"/>
      <c r="J10" s="118">
        <f>ROUND(100/'数据-取费表'!G16,0)</f>
        <v>152</v>
      </c>
      <c r="K10" s="591"/>
      <c r="L10" s="2487"/>
      <c r="M10" s="2488"/>
      <c r="N10" s="2488"/>
      <c r="O10" s="2539"/>
      <c r="P10" s="3383"/>
      <c r="Q10" s="529" t="str">
        <f t="shared" si="6"/>
        <v>土地使用年限（年）</v>
      </c>
      <c r="R10" s="663" t="s">
        <v>14</v>
      </c>
      <c r="S10" s="664">
        <f t="shared" si="0"/>
        <v>152</v>
      </c>
      <c r="T10" s="663" t="s">
        <v>14</v>
      </c>
      <c r="U10" s="664">
        <f t="shared" si="1"/>
        <v>152</v>
      </c>
      <c r="V10" s="663" t="s">
        <v>14</v>
      </c>
      <c r="W10" s="664">
        <f t="shared" si="2"/>
        <v>152</v>
      </c>
      <c r="X10" s="665"/>
      <c r="Y10" s="3290"/>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83"/>
      <c r="Q11" s="529" t="str">
        <f t="shared" si="6"/>
        <v>容积率</v>
      </c>
      <c r="R11" s="663" t="s">
        <v>14</v>
      </c>
      <c r="S11" s="664" t="e">
        <f t="shared" si="0"/>
        <v>#N/A</v>
      </c>
      <c r="T11" s="663" t="s">
        <v>14</v>
      </c>
      <c r="U11" s="664" t="e">
        <f t="shared" si="1"/>
        <v>#N/A</v>
      </c>
      <c r="V11" s="663" t="s">
        <v>14</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83"/>
      <c r="Q12" s="529" t="str">
        <f t="shared" si="6"/>
        <v>配建</v>
      </c>
      <c r="R12" s="663" t="s">
        <v>14</v>
      </c>
      <c r="S12" s="664">
        <f t="shared" si="0"/>
        <v>100</v>
      </c>
      <c r="T12" s="663" t="s">
        <v>14</v>
      </c>
      <c r="U12" s="664">
        <f t="shared" si="1"/>
        <v>100</v>
      </c>
      <c r="V12" s="663" t="s">
        <v>14</v>
      </c>
      <c r="W12" s="664">
        <f t="shared" si="2"/>
        <v>100</v>
      </c>
      <c r="X12" s="665"/>
      <c r="Y12" s="329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83"/>
      <c r="Q14" s="529">
        <f t="shared" si="6"/>
        <v>111</v>
      </c>
      <c r="R14" s="663" t="s">
        <v>14</v>
      </c>
      <c r="S14" s="664">
        <f t="shared" si="0"/>
        <v>100</v>
      </c>
      <c r="T14" s="663" t="s">
        <v>14</v>
      </c>
      <c r="U14" s="664">
        <f t="shared" si="1"/>
        <v>100</v>
      </c>
      <c r="V14" s="663" t="s">
        <v>14</v>
      </c>
      <c r="W14" s="664">
        <f t="shared" si="2"/>
        <v>100</v>
      </c>
      <c r="X14" s="665"/>
      <c r="Y14" s="3290"/>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90" t="s">
        <v>1691</v>
      </c>
      <c r="Q15" s="1262" t="str">
        <f t="shared" si="6"/>
        <v>居住社区成熟度</v>
      </c>
      <c r="R15" s="666" t="s">
        <v>14</v>
      </c>
      <c r="S15" s="667">
        <f t="shared" si="0"/>
        <v>100</v>
      </c>
      <c r="T15" s="666" t="s">
        <v>14</v>
      </c>
      <c r="U15" s="667">
        <f t="shared" si="1"/>
        <v>100</v>
      </c>
      <c r="V15" s="666" t="s">
        <v>14</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91"/>
      <c r="Q16" s="1262"/>
      <c r="R16" s="666"/>
      <c r="S16" s="667"/>
      <c r="T16" s="666"/>
      <c r="U16" s="667"/>
      <c r="V16" s="666"/>
      <c r="W16" s="667"/>
      <c r="X16" s="1264"/>
      <c r="Y16" s="3391"/>
      <c r="Z16" s="1263"/>
      <c r="AA16" s="1263">
        <v>1</v>
      </c>
      <c r="AB16" s="1263">
        <v>1</v>
      </c>
      <c r="AC16" s="1263">
        <v>1</v>
      </c>
    </row>
    <row r="17" spans="1:29" ht="96.6">
      <c r="A17" s="366"/>
      <c r="B17" s="389" t="s">
        <v>1777</v>
      </c>
      <c r="C17" s="1805" t="str">
        <f>估价对象房地状况!C16</f>
        <v>估价对象2公里范围内有百品尚购物中心，周边商业氛围一般，人流量一般，商业繁华一般</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91"/>
      <c r="Q17" s="1262" t="str">
        <f>B17</f>
        <v>商业繁华度</v>
      </c>
      <c r="R17" s="666" t="s">
        <v>14</v>
      </c>
      <c r="S17" s="667">
        <f>F17</f>
        <v>100</v>
      </c>
      <c r="T17" s="666" t="s">
        <v>14</v>
      </c>
      <c r="U17" s="667">
        <f>H17</f>
        <v>100</v>
      </c>
      <c r="V17" s="666" t="s">
        <v>14</v>
      </c>
      <c r="W17" s="667">
        <f>J17</f>
        <v>100</v>
      </c>
      <c r="X17" s="1264"/>
      <c r="Y17" s="339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91"/>
      <c r="Q18" s="1262"/>
      <c r="R18" s="666"/>
      <c r="S18" s="667"/>
      <c r="T18" s="666"/>
      <c r="U18" s="667"/>
      <c r="V18" s="666"/>
      <c r="W18" s="667"/>
      <c r="X18" s="1264"/>
      <c r="Y18" s="3391"/>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91"/>
      <c r="Q19" s="1262" t="str">
        <f>B19</f>
        <v>办公集聚程度</v>
      </c>
      <c r="R19" s="666" t="s">
        <v>14</v>
      </c>
      <c r="S19" s="667">
        <f>F19</f>
        <v>100</v>
      </c>
      <c r="T19" s="666" t="s">
        <v>14</v>
      </c>
      <c r="U19" s="667">
        <f>H19</f>
        <v>100</v>
      </c>
      <c r="V19" s="666" t="s">
        <v>14</v>
      </c>
      <c r="W19" s="667">
        <f>J19</f>
        <v>100</v>
      </c>
      <c r="X19" s="1264"/>
      <c r="Y19" s="339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91"/>
      <c r="Q20" s="1262"/>
      <c r="R20" s="666"/>
      <c r="S20" s="667"/>
      <c r="T20" s="666"/>
      <c r="U20" s="667"/>
      <c r="V20" s="666"/>
      <c r="W20" s="667"/>
      <c r="X20" s="1264"/>
      <c r="Y20" s="3391"/>
      <c r="Z20" s="1263"/>
      <c r="AA20" s="1263">
        <v>1</v>
      </c>
      <c r="AB20" s="1263">
        <v>1</v>
      </c>
      <c r="AC20" s="1263">
        <v>1</v>
      </c>
    </row>
    <row r="21" spans="1:29" ht="138">
      <c r="A21" s="366"/>
      <c r="B21" s="389" t="s">
        <v>1833</v>
      </c>
      <c r="C21" s="1753" t="str">
        <f>估价对象房地状况!C18</f>
        <v>估价对象临城市主干道--妫川路，周边有Y9路、919路、920路公交车，门口可停车，停车便捷程度较好，综合评价交通便捷度一般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91"/>
      <c r="Q21" s="1262" t="str">
        <f>B21</f>
        <v>交通便捷度</v>
      </c>
      <c r="R21" s="666" t="s">
        <v>14</v>
      </c>
      <c r="S21" s="667">
        <f>F21</f>
        <v>100</v>
      </c>
      <c r="T21" s="666" t="s">
        <v>14</v>
      </c>
      <c r="U21" s="667">
        <f>H21</f>
        <v>100</v>
      </c>
      <c r="V21" s="666" t="s">
        <v>14</v>
      </c>
      <c r="W21" s="667">
        <f>J21</f>
        <v>100</v>
      </c>
      <c r="X21" s="1264"/>
      <c r="Y21" s="339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91"/>
      <c r="Q22" s="1262"/>
      <c r="R22" s="666"/>
      <c r="S22" s="667"/>
      <c r="T22" s="666"/>
      <c r="U22" s="667"/>
      <c r="V22" s="666"/>
      <c r="W22" s="667"/>
      <c r="X22" s="1264"/>
      <c r="Y22" s="3391"/>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91"/>
      <c r="Q23" s="1262" t="str">
        <f t="shared" ref="Q23:Q37" si="8">B23</f>
        <v>区域土地利用方向</v>
      </c>
      <c r="R23" s="666" t="s">
        <v>14</v>
      </c>
      <c r="S23" s="667">
        <f>F23</f>
        <v>100</v>
      </c>
      <c r="T23" s="666" t="s">
        <v>14</v>
      </c>
      <c r="U23" s="667">
        <f>H23</f>
        <v>100</v>
      </c>
      <c r="V23" s="666" t="s">
        <v>14</v>
      </c>
      <c r="W23" s="667">
        <f>J23</f>
        <v>100</v>
      </c>
      <c r="X23" s="1264"/>
      <c r="Y23" s="339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91"/>
      <c r="Q24" s="1262"/>
      <c r="R24" s="666"/>
      <c r="S24" s="667"/>
      <c r="T24" s="666"/>
      <c r="U24" s="667"/>
      <c r="V24" s="666"/>
      <c r="W24" s="667"/>
      <c r="X24" s="1264"/>
      <c r="Y24" s="3391"/>
      <c r="Z24" s="1263"/>
      <c r="AA24" s="1263"/>
      <c r="AB24" s="1263"/>
      <c r="AC24" s="1263"/>
    </row>
    <row r="25" spans="1:29" ht="179.4">
      <c r="A25" s="347"/>
      <c r="B25" s="585" t="s">
        <v>1872</v>
      </c>
      <c r="C25" s="1805" t="str">
        <f>估价对象房地状况!C20</f>
        <v>区域自然环境：迎宾公园、百泉公园、夏都公园、北京延庆世界地质公园；人文环境：延庆区职业学院、妫川宝塔、延庆地质博物馆、水生野生博物馆；综合评价环境状况较好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91"/>
      <c r="Q25" s="1262" t="str">
        <f t="shared" si="8"/>
        <v>自然及人文环境状况</v>
      </c>
      <c r="R25" s="666" t="s">
        <v>14</v>
      </c>
      <c r="S25" s="667">
        <f>F25</f>
        <v>100</v>
      </c>
      <c r="T25" s="666" t="s">
        <v>14</v>
      </c>
      <c r="U25" s="667">
        <f>H25</f>
        <v>100</v>
      </c>
      <c r="V25" s="666" t="s">
        <v>14</v>
      </c>
      <c r="W25" s="667">
        <f>J25</f>
        <v>100</v>
      </c>
      <c r="X25" s="1264"/>
      <c r="Y25" s="339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91"/>
      <c r="Q26" s="1262"/>
      <c r="R26" s="666"/>
      <c r="S26" s="667"/>
      <c r="T26" s="666"/>
      <c r="U26" s="667"/>
      <c r="V26" s="666"/>
      <c r="W26" s="667"/>
      <c r="X26" s="1264"/>
      <c r="Y26" s="3391"/>
      <c r="Z26" s="1263"/>
      <c r="AA26" s="1263">
        <v>1</v>
      </c>
      <c r="AB26" s="1263">
        <v>1</v>
      </c>
      <c r="AC26" s="1263">
        <v>1</v>
      </c>
    </row>
    <row r="27" spans="1:29" s="101" customFormat="1" ht="207">
      <c r="A27" s="442"/>
      <c r="B27" s="585" t="s">
        <v>1778</v>
      </c>
      <c r="C27" s="1753" t="str">
        <f>估价对象房地状况!C21</f>
        <v>估价对象所在区域公共配套设施齐备情况：农业银行、农业发展银行、中国银行，司家营小学、北京市延庆区第二中学，国润家园社区卫生服务站、北京中医医院延庆医院，百尚购物中心</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91"/>
      <c r="Q27" s="529" t="str">
        <f t="shared" si="8"/>
        <v>公共配套设施</v>
      </c>
      <c r="R27" s="663" t="s">
        <v>14</v>
      </c>
      <c r="S27" s="664">
        <f>F27</f>
        <v>100</v>
      </c>
      <c r="T27" s="663" t="s">
        <v>14</v>
      </c>
      <c r="U27" s="664">
        <f>H27</f>
        <v>100</v>
      </c>
      <c r="V27" s="663" t="s">
        <v>14</v>
      </c>
      <c r="W27" s="664">
        <f>J27</f>
        <v>100</v>
      </c>
      <c r="X27" s="665"/>
      <c r="Y27" s="339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91"/>
      <c r="Q28" s="529"/>
      <c r="R28" s="663"/>
      <c r="S28" s="664"/>
      <c r="T28" s="663"/>
      <c r="U28" s="664"/>
      <c r="V28" s="663"/>
      <c r="W28" s="664"/>
      <c r="X28" s="665"/>
      <c r="Y28" s="3391"/>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91"/>
      <c r="Q29" s="529" t="str">
        <f t="shared" ref="Q29" si="9">B29</f>
        <v>基础设施水平</v>
      </c>
      <c r="R29" s="663" t="s">
        <v>14</v>
      </c>
      <c r="S29" s="664">
        <f>F29</f>
        <v>100</v>
      </c>
      <c r="T29" s="663" t="s">
        <v>14</v>
      </c>
      <c r="U29" s="664">
        <f>H29</f>
        <v>100</v>
      </c>
      <c r="V29" s="663" t="s">
        <v>14</v>
      </c>
      <c r="W29" s="664">
        <f>J29</f>
        <v>100</v>
      </c>
      <c r="X29" s="665"/>
      <c r="Y29" s="339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91"/>
      <c r="Q30" s="529"/>
      <c r="R30" s="663"/>
      <c r="S30" s="664"/>
      <c r="T30" s="663"/>
      <c r="U30" s="664"/>
      <c r="V30" s="663"/>
      <c r="W30" s="664"/>
      <c r="X30" s="665"/>
      <c r="Y30" s="339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9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1"/>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91"/>
      <c r="Q32" s="1262" t="str">
        <f t="shared" si="8"/>
        <v>毗邻道路的类型与等级</v>
      </c>
      <c r="R32" s="666" t="s">
        <v>14</v>
      </c>
      <c r="S32" s="667">
        <f t="shared" si="10"/>
        <v>100</v>
      </c>
      <c r="T32" s="666" t="s">
        <v>14</v>
      </c>
      <c r="U32" s="667">
        <f t="shared" si="11"/>
        <v>100</v>
      </c>
      <c r="V32" s="666" t="s">
        <v>14</v>
      </c>
      <c r="W32" s="667">
        <f t="shared" si="12"/>
        <v>100</v>
      </c>
      <c r="X32" s="1264"/>
      <c r="Y32" s="339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91"/>
      <c r="Q33" s="1262"/>
      <c r="R33" s="666"/>
      <c r="S33" s="667"/>
      <c r="T33" s="666"/>
      <c r="U33" s="667"/>
      <c r="V33" s="666"/>
      <c r="W33" s="667"/>
      <c r="X33" s="1264"/>
      <c r="Y33" s="339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91"/>
      <c r="Q34" s="1262" t="str">
        <f t="shared" si="8"/>
        <v>土地级别</v>
      </c>
      <c r="R34" s="666" t="s">
        <v>14</v>
      </c>
      <c r="S34" s="667">
        <f t="shared" si="10"/>
        <v>100</v>
      </c>
      <c r="T34" s="666" t="s">
        <v>14</v>
      </c>
      <c r="U34" s="667">
        <f t="shared" si="11"/>
        <v>100</v>
      </c>
      <c r="V34" s="666" t="s">
        <v>14</v>
      </c>
      <c r="W34" s="667">
        <f t="shared" si="12"/>
        <v>100</v>
      </c>
      <c r="X34" s="1264"/>
      <c r="Y34" s="339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91"/>
      <c r="Q35" s="1262">
        <f t="shared" si="8"/>
        <v>111</v>
      </c>
      <c r="R35" s="666" t="s">
        <v>14</v>
      </c>
      <c r="S35" s="667">
        <f t="shared" si="10"/>
        <v>100</v>
      </c>
      <c r="T35" s="666" t="s">
        <v>14</v>
      </c>
      <c r="U35" s="667">
        <f t="shared" si="11"/>
        <v>100</v>
      </c>
      <c r="V35" s="666" t="s">
        <v>14</v>
      </c>
      <c r="W35" s="667">
        <f t="shared" si="12"/>
        <v>100</v>
      </c>
      <c r="X35" s="1264"/>
      <c r="Y35" s="339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5" t="s">
        <v>1696</v>
      </c>
      <c r="Q36" s="1262">
        <f t="shared" si="8"/>
        <v>111</v>
      </c>
      <c r="R36" s="666" t="s">
        <v>14</v>
      </c>
      <c r="S36" s="667">
        <f t="shared" si="10"/>
        <v>100</v>
      </c>
      <c r="T36" s="666" t="s">
        <v>14</v>
      </c>
      <c r="U36" s="667">
        <f t="shared" si="11"/>
        <v>100</v>
      </c>
      <c r="V36" s="666" t="s">
        <v>14</v>
      </c>
      <c r="W36" s="667">
        <f t="shared" si="12"/>
        <v>100</v>
      </c>
      <c r="X36" s="1264"/>
      <c r="Y36" s="3395"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395"/>
      <c r="Q37" s="1262">
        <f t="shared" si="8"/>
        <v>111</v>
      </c>
      <c r="R37" s="668" t="s">
        <v>14</v>
      </c>
      <c r="S37" s="669">
        <f t="shared" si="10"/>
        <v>100</v>
      </c>
      <c r="T37" s="668" t="s">
        <v>14</v>
      </c>
      <c r="U37" s="669">
        <f t="shared" si="11"/>
        <v>100</v>
      </c>
      <c r="V37" s="668" t="s">
        <v>14</v>
      </c>
      <c r="W37" s="669">
        <f t="shared" si="12"/>
        <v>100</v>
      </c>
      <c r="X37" s="670"/>
      <c r="Y37" s="3395"/>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395"/>
      <c r="Q38" s="1262" t="str">
        <f>B38</f>
        <v>宗地面积</v>
      </c>
      <c r="R38" s="666" t="s">
        <v>14</v>
      </c>
      <c r="S38" s="667" t="e">
        <f t="shared" si="10"/>
        <v>#N/A</v>
      </c>
      <c r="T38" s="666" t="s">
        <v>14</v>
      </c>
      <c r="U38" s="667" t="e">
        <f t="shared" si="11"/>
        <v>#N/A</v>
      </c>
      <c r="V38" s="666" t="s">
        <v>14</v>
      </c>
      <c r="W38" s="667" t="e">
        <f t="shared" si="12"/>
        <v>#N/A</v>
      </c>
      <c r="X38" s="1264"/>
      <c r="Y38" s="339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395"/>
      <c r="Q39" s="1262" t="str">
        <f t="shared" ref="Q39:Q45" si="14">B39</f>
        <v>宗地形状</v>
      </c>
      <c r="R39" s="666" t="s">
        <v>14</v>
      </c>
      <c r="S39" s="667">
        <f t="shared" si="10"/>
        <v>100</v>
      </c>
      <c r="T39" s="666" t="s">
        <v>14</v>
      </c>
      <c r="U39" s="667">
        <f t="shared" si="11"/>
        <v>100</v>
      </c>
      <c r="V39" s="666" t="s">
        <v>14</v>
      </c>
      <c r="W39" s="667">
        <f t="shared" si="12"/>
        <v>100</v>
      </c>
      <c r="X39" s="1264"/>
      <c r="Y39" s="339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395"/>
      <c r="Q40" s="1262" t="str">
        <f t="shared" si="14"/>
        <v>临街宽度及深度</v>
      </c>
      <c r="R40" s="666" t="s">
        <v>14</v>
      </c>
      <c r="S40" s="667">
        <f t="shared" si="10"/>
        <v>100</v>
      </c>
      <c r="T40" s="666" t="s">
        <v>14</v>
      </c>
      <c r="U40" s="667">
        <f t="shared" si="11"/>
        <v>100</v>
      </c>
      <c r="V40" s="666" t="s">
        <v>14</v>
      </c>
      <c r="W40" s="667">
        <f t="shared" si="12"/>
        <v>100</v>
      </c>
      <c r="X40" s="1264"/>
      <c r="Y40" s="3395"/>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395"/>
      <c r="Q41" s="1262" t="str">
        <f t="shared" si="14"/>
        <v>宗地开发程度</v>
      </c>
      <c r="R41" s="663" t="s">
        <v>14</v>
      </c>
      <c r="S41" s="664">
        <f t="shared" si="10"/>
        <v>100</v>
      </c>
      <c r="T41" s="663" t="s">
        <v>14</v>
      </c>
      <c r="U41" s="664">
        <f t="shared" si="11"/>
        <v>100</v>
      </c>
      <c r="V41" s="663" t="s">
        <v>14</v>
      </c>
      <c r="W41" s="664">
        <f t="shared" si="12"/>
        <v>100</v>
      </c>
      <c r="X41" s="665"/>
      <c r="Y41" s="339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395" t="s">
        <v>1696</v>
      </c>
      <c r="Q42" s="1262" t="str">
        <f t="shared" si="14"/>
        <v>工程地质条件</v>
      </c>
      <c r="R42" s="666" t="s">
        <v>14</v>
      </c>
      <c r="S42" s="667">
        <f t="shared" si="10"/>
        <v>100</v>
      </c>
      <c r="T42" s="666" t="s">
        <v>14</v>
      </c>
      <c r="U42" s="667">
        <f t="shared" si="11"/>
        <v>100</v>
      </c>
      <c r="V42" s="666" t="s">
        <v>14</v>
      </c>
      <c r="W42" s="667">
        <f t="shared" si="12"/>
        <v>100</v>
      </c>
      <c r="X42" s="1264"/>
      <c r="Y42" s="339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395"/>
      <c r="Q43" s="1262">
        <f t="shared" si="14"/>
        <v>111</v>
      </c>
      <c r="R43" s="666" t="s">
        <v>14</v>
      </c>
      <c r="S43" s="667">
        <f t="shared" si="10"/>
        <v>100</v>
      </c>
      <c r="T43" s="666" t="s">
        <v>14</v>
      </c>
      <c r="U43" s="667">
        <f t="shared" si="11"/>
        <v>100</v>
      </c>
      <c r="V43" s="666" t="s">
        <v>14</v>
      </c>
      <c r="W43" s="667">
        <f t="shared" si="12"/>
        <v>100</v>
      </c>
      <c r="X43" s="1264"/>
      <c r="Y43" s="339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395"/>
      <c r="Q44" s="1262">
        <f t="shared" si="14"/>
        <v>111</v>
      </c>
      <c r="R44" s="666" t="s">
        <v>14</v>
      </c>
      <c r="S44" s="667">
        <f t="shared" si="10"/>
        <v>100</v>
      </c>
      <c r="T44" s="666" t="s">
        <v>14</v>
      </c>
      <c r="U44" s="667">
        <f t="shared" si="11"/>
        <v>100</v>
      </c>
      <c r="V44" s="666" t="s">
        <v>14</v>
      </c>
      <c r="W44" s="667">
        <f t="shared" si="12"/>
        <v>100</v>
      </c>
      <c r="X44" s="1264"/>
      <c r="Y44" s="3395"/>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395"/>
      <c r="Q45" s="1262">
        <f t="shared" si="14"/>
        <v>111</v>
      </c>
      <c r="R45" s="668" t="s">
        <v>14</v>
      </c>
      <c r="S45" s="669">
        <f t="shared" si="10"/>
        <v>100</v>
      </c>
      <c r="T45" s="668" t="s">
        <v>14</v>
      </c>
      <c r="U45" s="669">
        <f t="shared" si="11"/>
        <v>100</v>
      </c>
      <c r="V45" s="668" t="s">
        <v>14</v>
      </c>
      <c r="W45" s="669">
        <f t="shared" si="12"/>
        <v>100</v>
      </c>
      <c r="X45" s="670"/>
      <c r="Y45" s="3395"/>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383" t="str">
        <f>A46</f>
        <v>成交单价</v>
      </c>
      <c r="Q46" s="3383"/>
      <c r="R46" s="3384">
        <f>E46</f>
        <v>0</v>
      </c>
      <c r="S46" s="3384"/>
      <c r="T46" s="3384">
        <f>G46</f>
        <v>0</v>
      </c>
      <c r="U46" s="3384"/>
      <c r="V46" s="3384">
        <f>I46</f>
        <v>0</v>
      </c>
      <c r="W46" s="3384"/>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83" t="str">
        <f>A47</f>
        <v>比较价值（元/平方米）</v>
      </c>
      <c r="Q47" s="3383"/>
      <c r="R47" s="3467" t="e">
        <f>ROUND(PRODUCT(R46,AA7:AA45),0)</f>
        <v>#DIV/0!</v>
      </c>
      <c r="S47" s="3467"/>
      <c r="T47" s="3467" t="e">
        <f>ROUND(PRODUCT(T46,AB7:AB45),0)</f>
        <v>#DIV/0!</v>
      </c>
      <c r="U47" s="3467"/>
      <c r="V47" s="3467" t="e">
        <f>ROUND(PRODUCT(V46,AC7:AC45),0)</f>
        <v>#DIV/0!</v>
      </c>
      <c r="W47" s="3467"/>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385" t="str">
        <f>A48</f>
        <v>估价对象XX用房的比较价值（楼面单价，元/平方米）</v>
      </c>
      <c r="Q48" s="3386"/>
      <c r="R48" s="3468" t="e">
        <f>ROUND(IF(D47="简单平均",AVERAGE(R47:W47),R47*F47+T47*H47+V47*J47),0)</f>
        <v>#DIV/0!</v>
      </c>
      <c r="S48" s="3468"/>
      <c r="T48" s="3468"/>
      <c r="U48" s="3468"/>
      <c r="V48" s="3468"/>
      <c r="W48" s="3468"/>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01" t="s">
        <v>1887</v>
      </c>
      <c r="H55" s="3469"/>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312.66000000000003</v>
      </c>
      <c r="F56" s="832" t="e">
        <f t="shared" ref="F56:F64" si="15">ROUND(B56*E56/10000,0)</f>
        <v>#DIV/0!</v>
      </c>
      <c r="G56" s="3397"/>
      <c r="H56" s="3383"/>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0.5</v>
      </c>
      <c r="D57" s="890">
        <v>0.25</v>
      </c>
      <c r="E57" s="613"/>
      <c r="F57" s="832" t="e">
        <f t="shared" si="15"/>
        <v>#DIV/0!</v>
      </c>
      <c r="G57" s="2748" t="s">
        <v>1892</v>
      </c>
      <c r="H57" s="833" t="str">
        <f>项目基本情况!B37</f>
        <v>九级</v>
      </c>
      <c r="I57" s="837">
        <f>SUMIF(修正!A57:A68,H57,修正!B57:B68)</f>
        <v>0.5</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0.2</v>
      </c>
      <c r="D58" s="890">
        <v>0.25</v>
      </c>
      <c r="E58" s="613"/>
      <c r="F58" s="832" t="e">
        <f t="shared" si="15"/>
        <v>#DIV/0!</v>
      </c>
      <c r="G58" s="2749"/>
      <c r="H58" s="833" t="str">
        <f>项目基本情况!B37</f>
        <v>九级</v>
      </c>
      <c r="I58" s="837">
        <f>SUMIF(修正!A57:A68,H58,修正!C57:C68)</f>
        <v>0.2</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0.2</v>
      </c>
      <c r="D59" s="890">
        <v>0.25</v>
      </c>
      <c r="E59" s="613"/>
      <c r="F59" s="832" t="e">
        <f t="shared" si="15"/>
        <v>#DIV/0!</v>
      </c>
      <c r="G59" s="2749"/>
      <c r="H59" s="833" t="str">
        <f>项目基本情况!B37</f>
        <v>九级</v>
      </c>
      <c r="I59" s="837">
        <f>SUMIF(修正!A57:A68,H59,修正!D57:D68)</f>
        <v>0.2</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九级</v>
      </c>
      <c r="I63" s="837">
        <f>SUMIF(修正!A57:A68,H63,修正!G57:G68)</f>
        <v>0.1</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312.66000000000003</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01" t="s">
        <v>1770</v>
      </c>
      <c r="D4" s="3402"/>
      <c r="E4" s="3403" t="s">
        <v>1771</v>
      </c>
      <c r="F4" s="3404"/>
      <c r="G4" s="3401" t="s">
        <v>1772</v>
      </c>
      <c r="H4" s="3402"/>
      <c r="I4" s="3401" t="s">
        <v>1773</v>
      </c>
      <c r="J4" s="3402"/>
      <c r="K4" s="536" t="s">
        <v>1774</v>
      </c>
      <c r="L4" s="2484"/>
      <c r="M4" s="2485"/>
      <c r="N4" s="2485"/>
      <c r="O4" s="2485"/>
      <c r="P4" s="3405" t="s">
        <v>1775</v>
      </c>
      <c r="Q4" s="3406"/>
      <c r="R4" s="3411" t="s">
        <v>1771</v>
      </c>
      <c r="S4" s="3412"/>
      <c r="T4" s="3411" t="s">
        <v>1772</v>
      </c>
      <c r="U4" s="3412"/>
      <c r="V4" s="3384" t="s">
        <v>1773</v>
      </c>
      <c r="W4" s="3384"/>
      <c r="X4" s="1264"/>
      <c r="Y4" s="3411" t="s">
        <v>1775</v>
      </c>
      <c r="Z4" s="3412"/>
      <c r="AA4" s="3398" t="s">
        <v>1771</v>
      </c>
      <c r="AB4" s="3399" t="s">
        <v>1772</v>
      </c>
      <c r="AC4" s="3398" t="s">
        <v>1773</v>
      </c>
    </row>
    <row r="5" spans="1:29">
      <c r="A5" s="347"/>
      <c r="B5" s="348"/>
      <c r="C5" s="3419" t="s">
        <v>1673</v>
      </c>
      <c r="D5" s="3420"/>
      <c r="E5" s="3427" t="s">
        <v>1674</v>
      </c>
      <c r="F5" s="3428"/>
      <c r="G5" s="3419" t="s">
        <v>1675</v>
      </c>
      <c r="H5" s="3420"/>
      <c r="I5" s="3419" t="s">
        <v>1676</v>
      </c>
      <c r="J5" s="3420"/>
      <c r="K5" s="536"/>
      <c r="L5" s="2484"/>
      <c r="M5" s="2485"/>
      <c r="N5" s="2485"/>
      <c r="O5" s="2485"/>
      <c r="P5" s="3407"/>
      <c r="Q5" s="3408"/>
      <c r="R5" s="3413"/>
      <c r="S5" s="3414"/>
      <c r="T5" s="3413"/>
      <c r="U5" s="3414"/>
      <c r="V5" s="3384"/>
      <c r="W5" s="3384"/>
      <c r="X5" s="1264"/>
      <c r="Y5" s="3413"/>
      <c r="Z5" s="3414"/>
      <c r="AA5" s="3399"/>
      <c r="AB5" s="3399"/>
      <c r="AC5" s="3399"/>
    </row>
    <row r="6" spans="1:29" ht="15" thickBot="1">
      <c r="A6" s="349"/>
      <c r="B6" s="350"/>
      <c r="C6" s="3470" t="s">
        <v>1919</v>
      </c>
      <c r="D6" s="3471"/>
      <c r="E6" s="3472" t="s">
        <v>1919</v>
      </c>
      <c r="F6" s="3473"/>
      <c r="G6" s="3470" t="s">
        <v>1919</v>
      </c>
      <c r="H6" s="3471"/>
      <c r="I6" s="3470" t="s">
        <v>1919</v>
      </c>
      <c r="J6" s="3471"/>
      <c r="K6" s="536" t="s">
        <v>1678</v>
      </c>
      <c r="L6" s="2484"/>
      <c r="M6" s="2485"/>
      <c r="N6" s="2485"/>
      <c r="O6" s="2485"/>
      <c r="P6" s="3409"/>
      <c r="Q6" s="3410"/>
      <c r="R6" s="3413"/>
      <c r="S6" s="3414"/>
      <c r="T6" s="3415"/>
      <c r="U6" s="3416"/>
      <c r="V6" s="3384"/>
      <c r="W6" s="3384"/>
      <c r="X6" s="1264"/>
      <c r="Y6" s="3415"/>
      <c r="Z6" s="3416"/>
      <c r="AA6" s="3400"/>
      <c r="AB6" s="3400"/>
      <c r="AC6" s="3400"/>
    </row>
    <row r="7" spans="1:29" s="101" customFormat="1" ht="15" thickBot="1">
      <c r="A7" s="351" t="s">
        <v>1679</v>
      </c>
      <c r="B7" s="352"/>
      <c r="C7" s="353">
        <f>'数据-取费表'!B2</f>
        <v>45562</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21" t="s">
        <v>1680</v>
      </c>
      <c r="Q7" s="3423"/>
      <c r="R7" s="663" t="s">
        <v>14</v>
      </c>
      <c r="S7" s="664">
        <f t="shared" ref="S7:S15" si="0">F7</f>
        <v>0</v>
      </c>
      <c r="T7" s="663" t="s">
        <v>14</v>
      </c>
      <c r="U7" s="664">
        <f t="shared" ref="U7:U15" si="1">H7</f>
        <v>0</v>
      </c>
      <c r="V7" s="663" t="s">
        <v>14</v>
      </c>
      <c r="W7" s="664">
        <f t="shared" ref="W7:W15" si="2">J7</f>
        <v>0</v>
      </c>
      <c r="X7" s="665"/>
      <c r="Y7" s="3421" t="s">
        <v>1680</v>
      </c>
      <c r="Z7" s="3422"/>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21" t="s">
        <v>1683</v>
      </c>
      <c r="Q8" s="3422"/>
      <c r="R8" s="663" t="s">
        <v>14</v>
      </c>
      <c r="S8" s="664">
        <f t="shared" si="0"/>
        <v>0</v>
      </c>
      <c r="T8" s="663" t="s">
        <v>14</v>
      </c>
      <c r="U8" s="664">
        <f t="shared" si="1"/>
        <v>0</v>
      </c>
      <c r="V8" s="663" t="s">
        <v>14</v>
      </c>
      <c r="W8" s="664">
        <f t="shared" si="2"/>
        <v>0</v>
      </c>
      <c r="X8" s="665"/>
      <c r="Y8" s="3421" t="s">
        <v>1683</v>
      </c>
      <c r="Z8" s="3422"/>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83"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152</v>
      </c>
      <c r="G10" s="370"/>
      <c r="H10" s="118">
        <f>ROUND(100/'数据-取费表'!G16,0)</f>
        <v>152</v>
      </c>
      <c r="I10" s="370"/>
      <c r="J10" s="118">
        <f>ROUND(100/'数据-取费表'!G16,0)</f>
        <v>152</v>
      </c>
      <c r="K10" s="591"/>
      <c r="L10" s="2487"/>
      <c r="M10" s="2488"/>
      <c r="N10" s="2488"/>
      <c r="O10" s="2539"/>
      <c r="P10" s="3383"/>
      <c r="Q10" s="529" t="str">
        <f t="shared" si="6"/>
        <v>土地使用年限（年）</v>
      </c>
      <c r="R10" s="663" t="s">
        <v>14</v>
      </c>
      <c r="S10" s="664">
        <f t="shared" si="0"/>
        <v>152</v>
      </c>
      <c r="T10" s="663" t="s">
        <v>14</v>
      </c>
      <c r="U10" s="664">
        <f t="shared" si="1"/>
        <v>152</v>
      </c>
      <c r="V10" s="663" t="s">
        <v>14</v>
      </c>
      <c r="W10" s="664">
        <f t="shared" si="2"/>
        <v>152</v>
      </c>
      <c r="X10" s="665"/>
      <c r="Y10" s="3290"/>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83"/>
      <c r="Q11" s="529" t="str">
        <f t="shared" si="6"/>
        <v>容积率</v>
      </c>
      <c r="R11" s="663" t="s">
        <v>14</v>
      </c>
      <c r="S11" s="664" t="e">
        <f t="shared" si="0"/>
        <v>#N/A</v>
      </c>
      <c r="T11" s="663" t="s">
        <v>14</v>
      </c>
      <c r="U11" s="664" t="e">
        <f t="shared" si="1"/>
        <v>#N/A</v>
      </c>
      <c r="V11" s="663" t="s">
        <v>14</v>
      </c>
      <c r="W11" s="664" t="e">
        <f t="shared" si="2"/>
        <v>#N/A</v>
      </c>
      <c r="X11" s="665"/>
      <c r="Y11" s="329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83"/>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83"/>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83"/>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91"/>
      <c r="Q16" s="1262"/>
      <c r="R16" s="666"/>
      <c r="S16" s="667"/>
      <c r="T16" s="666"/>
      <c r="U16" s="667"/>
      <c r="V16" s="666"/>
      <c r="W16" s="667"/>
      <c r="X16" s="1264"/>
      <c r="Y16" s="3391"/>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91"/>
      <c r="Q18" s="1262"/>
      <c r="R18" s="666"/>
      <c r="S18" s="667"/>
      <c r="T18" s="666"/>
      <c r="U18" s="667"/>
      <c r="V18" s="666"/>
      <c r="W18" s="667"/>
      <c r="X18" s="1264"/>
      <c r="Y18" s="3391"/>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91"/>
      <c r="Q19" s="1262" t="str">
        <f t="shared" ref="Q19:Q33" si="8">B19</f>
        <v>区域土地利用方向</v>
      </c>
      <c r="R19" s="666" t="s">
        <v>14</v>
      </c>
      <c r="S19" s="667">
        <f>F19</f>
        <v>100</v>
      </c>
      <c r="T19" s="666" t="s">
        <v>14</v>
      </c>
      <c r="U19" s="667">
        <f>H19</f>
        <v>100</v>
      </c>
      <c r="V19" s="666" t="s">
        <v>14</v>
      </c>
      <c r="W19" s="667">
        <f>J19</f>
        <v>100</v>
      </c>
      <c r="X19" s="1264"/>
      <c r="Y19" s="339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91"/>
      <c r="Q20" s="1262"/>
      <c r="R20" s="666"/>
      <c r="S20" s="667"/>
      <c r="T20" s="666"/>
      <c r="U20" s="667"/>
      <c r="V20" s="666"/>
      <c r="W20" s="667"/>
      <c r="X20" s="1264"/>
      <c r="Y20" s="3391"/>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91"/>
      <c r="Q21" s="1262" t="str">
        <f t="shared" si="8"/>
        <v>环境状况</v>
      </c>
      <c r="R21" s="666" t="s">
        <v>14</v>
      </c>
      <c r="S21" s="667">
        <f>F21</f>
        <v>100</v>
      </c>
      <c r="T21" s="666" t="s">
        <v>14</v>
      </c>
      <c r="U21" s="667">
        <f>H21</f>
        <v>100</v>
      </c>
      <c r="V21" s="666" t="s">
        <v>14</v>
      </c>
      <c r="W21" s="667">
        <f>J21</f>
        <v>100</v>
      </c>
      <c r="X21" s="1264"/>
      <c r="Y21" s="339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91"/>
      <c r="Q22" s="1262"/>
      <c r="R22" s="666"/>
      <c r="S22" s="667"/>
      <c r="T22" s="666"/>
      <c r="U22" s="667"/>
      <c r="V22" s="666"/>
      <c r="W22" s="667"/>
      <c r="X22" s="1264"/>
      <c r="Y22" s="3391"/>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91"/>
      <c r="Q23" s="529" t="str">
        <f t="shared" si="8"/>
        <v>公共配套设施</v>
      </c>
      <c r="R23" s="663" t="s">
        <v>14</v>
      </c>
      <c r="S23" s="664">
        <f>F23</f>
        <v>100</v>
      </c>
      <c r="T23" s="663" t="s">
        <v>14</v>
      </c>
      <c r="U23" s="664">
        <f>H23</f>
        <v>100</v>
      </c>
      <c r="V23" s="663" t="s">
        <v>14</v>
      </c>
      <c r="W23" s="664">
        <f>J23</f>
        <v>100</v>
      </c>
      <c r="X23" s="665"/>
      <c r="Y23" s="3391"/>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91"/>
      <c r="Q24" s="529"/>
      <c r="R24" s="663"/>
      <c r="S24" s="664"/>
      <c r="T24" s="663"/>
      <c r="U24" s="664"/>
      <c r="V24" s="663"/>
      <c r="W24" s="664"/>
      <c r="X24" s="665"/>
      <c r="Y24" s="3391"/>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91"/>
      <c r="Q25" s="529" t="str">
        <f t="shared" ref="Q25" si="9">B25</f>
        <v>基础设施水平</v>
      </c>
      <c r="R25" s="663" t="s">
        <v>14</v>
      </c>
      <c r="S25" s="664">
        <f>F25</f>
        <v>100</v>
      </c>
      <c r="T25" s="663" t="s">
        <v>14</v>
      </c>
      <c r="U25" s="664">
        <f>H25</f>
        <v>100</v>
      </c>
      <c r="V25" s="663" t="s">
        <v>14</v>
      </c>
      <c r="W25" s="664">
        <f>J25</f>
        <v>100</v>
      </c>
      <c r="X25" s="665"/>
      <c r="Y25" s="3391"/>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91"/>
      <c r="Q26" s="529"/>
      <c r="R26" s="663"/>
      <c r="S26" s="664"/>
      <c r="T26" s="663"/>
      <c r="U26" s="664"/>
      <c r="V26" s="663"/>
      <c r="W26" s="664"/>
      <c r="X26" s="665"/>
      <c r="Y26" s="339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9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1"/>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91"/>
      <c r="Q28" s="1262" t="str">
        <f t="shared" si="8"/>
        <v>毗邻道路的类型与等级</v>
      </c>
      <c r="R28" s="666" t="s">
        <v>14</v>
      </c>
      <c r="S28" s="667">
        <f t="shared" si="10"/>
        <v>100</v>
      </c>
      <c r="T28" s="666" t="s">
        <v>14</v>
      </c>
      <c r="U28" s="667">
        <f t="shared" si="11"/>
        <v>100</v>
      </c>
      <c r="V28" s="666" t="s">
        <v>14</v>
      </c>
      <c r="W28" s="667">
        <f t="shared" si="12"/>
        <v>100</v>
      </c>
      <c r="X28" s="1264"/>
      <c r="Y28" s="339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91"/>
      <c r="Q29" s="1262"/>
      <c r="R29" s="666"/>
      <c r="S29" s="667"/>
      <c r="T29" s="666"/>
      <c r="U29" s="667"/>
      <c r="V29" s="666"/>
      <c r="W29" s="667"/>
      <c r="X29" s="1264"/>
      <c r="Y29" s="339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91"/>
      <c r="Q30" s="1262" t="str">
        <f t="shared" si="8"/>
        <v>土地级别</v>
      </c>
      <c r="R30" s="666" t="s">
        <v>14</v>
      </c>
      <c r="S30" s="667">
        <f t="shared" si="10"/>
        <v>100</v>
      </c>
      <c r="T30" s="666" t="s">
        <v>14</v>
      </c>
      <c r="U30" s="667">
        <f t="shared" si="11"/>
        <v>100</v>
      </c>
      <c r="V30" s="666" t="s">
        <v>14</v>
      </c>
      <c r="W30" s="667">
        <f t="shared" si="12"/>
        <v>100</v>
      </c>
      <c r="X30" s="1264"/>
      <c r="Y30" s="339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91"/>
      <c r="Q31" s="1262">
        <f t="shared" si="8"/>
        <v>111</v>
      </c>
      <c r="R31" s="666" t="s">
        <v>14</v>
      </c>
      <c r="S31" s="667">
        <f t="shared" si="10"/>
        <v>100</v>
      </c>
      <c r="T31" s="666" t="s">
        <v>14</v>
      </c>
      <c r="U31" s="667">
        <f t="shared" si="11"/>
        <v>100</v>
      </c>
      <c r="V31" s="666" t="s">
        <v>14</v>
      </c>
      <c r="W31" s="667">
        <f t="shared" si="12"/>
        <v>100</v>
      </c>
      <c r="X31" s="1264"/>
      <c r="Y31" s="339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5" t="s">
        <v>1696</v>
      </c>
      <c r="Q32" s="1262">
        <f t="shared" si="8"/>
        <v>111</v>
      </c>
      <c r="R32" s="666" t="s">
        <v>14</v>
      </c>
      <c r="S32" s="667">
        <f t="shared" si="10"/>
        <v>100</v>
      </c>
      <c r="T32" s="666" t="s">
        <v>14</v>
      </c>
      <c r="U32" s="667">
        <f t="shared" si="11"/>
        <v>100</v>
      </c>
      <c r="V32" s="666" t="s">
        <v>14</v>
      </c>
      <c r="W32" s="667">
        <f t="shared" si="12"/>
        <v>100</v>
      </c>
      <c r="X32" s="1264"/>
      <c r="Y32" s="3395"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395"/>
      <c r="Q33" s="1262">
        <f t="shared" si="8"/>
        <v>111</v>
      </c>
      <c r="R33" s="668" t="s">
        <v>14</v>
      </c>
      <c r="S33" s="669">
        <f t="shared" si="10"/>
        <v>100</v>
      </c>
      <c r="T33" s="668" t="s">
        <v>14</v>
      </c>
      <c r="U33" s="669">
        <f t="shared" si="11"/>
        <v>100</v>
      </c>
      <c r="V33" s="668" t="s">
        <v>14</v>
      </c>
      <c r="W33" s="669">
        <f t="shared" si="12"/>
        <v>100</v>
      </c>
      <c r="X33" s="670"/>
      <c r="Y33" s="339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395"/>
      <c r="Q34" s="1262" t="str">
        <f>B34</f>
        <v>宗地面积</v>
      </c>
      <c r="R34" s="666" t="s">
        <v>14</v>
      </c>
      <c r="S34" s="667" t="e">
        <f t="shared" si="10"/>
        <v>#N/A</v>
      </c>
      <c r="T34" s="666" t="s">
        <v>14</v>
      </c>
      <c r="U34" s="667" t="e">
        <f t="shared" si="11"/>
        <v>#N/A</v>
      </c>
      <c r="V34" s="666" t="s">
        <v>14</v>
      </c>
      <c r="W34" s="667" t="e">
        <f t="shared" si="12"/>
        <v>#N/A</v>
      </c>
      <c r="X34" s="1264"/>
      <c r="Y34" s="339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395"/>
      <c r="Q35" s="1262" t="str">
        <f t="shared" ref="Q35:Q40" si="14">B35</f>
        <v>宗地形状</v>
      </c>
      <c r="R35" s="666" t="s">
        <v>14</v>
      </c>
      <c r="S35" s="667">
        <f t="shared" si="10"/>
        <v>100</v>
      </c>
      <c r="T35" s="666" t="s">
        <v>14</v>
      </c>
      <c r="U35" s="667">
        <f t="shared" si="11"/>
        <v>100</v>
      </c>
      <c r="V35" s="666" t="s">
        <v>14</v>
      </c>
      <c r="W35" s="667">
        <f t="shared" si="12"/>
        <v>100</v>
      </c>
      <c r="X35" s="1264"/>
      <c r="Y35" s="3395"/>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395"/>
      <c r="Q36" s="1262" t="str">
        <f t="shared" si="14"/>
        <v>宗地开发程度</v>
      </c>
      <c r="R36" s="663" t="s">
        <v>14</v>
      </c>
      <c r="S36" s="664">
        <f t="shared" si="10"/>
        <v>100</v>
      </c>
      <c r="T36" s="663" t="s">
        <v>14</v>
      </c>
      <c r="U36" s="664">
        <f t="shared" si="11"/>
        <v>100</v>
      </c>
      <c r="V36" s="663" t="s">
        <v>14</v>
      </c>
      <c r="W36" s="664">
        <f t="shared" si="12"/>
        <v>100</v>
      </c>
      <c r="X36" s="665"/>
      <c r="Y36" s="339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395" t="s">
        <v>1696</v>
      </c>
      <c r="Q37" s="1262" t="str">
        <f t="shared" si="14"/>
        <v>工程地质条件</v>
      </c>
      <c r="R37" s="666" t="s">
        <v>14</v>
      </c>
      <c r="S37" s="667">
        <f t="shared" si="10"/>
        <v>100</v>
      </c>
      <c r="T37" s="666" t="s">
        <v>14</v>
      </c>
      <c r="U37" s="667">
        <f t="shared" si="11"/>
        <v>100</v>
      </c>
      <c r="V37" s="666" t="s">
        <v>14</v>
      </c>
      <c r="W37" s="667">
        <f t="shared" si="12"/>
        <v>100</v>
      </c>
      <c r="X37" s="1264"/>
      <c r="Y37" s="339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395"/>
      <c r="Q38" s="1262">
        <f t="shared" si="14"/>
        <v>111</v>
      </c>
      <c r="R38" s="666" t="s">
        <v>14</v>
      </c>
      <c r="S38" s="667">
        <f t="shared" si="10"/>
        <v>100</v>
      </c>
      <c r="T38" s="666" t="s">
        <v>14</v>
      </c>
      <c r="U38" s="667">
        <f t="shared" si="11"/>
        <v>100</v>
      </c>
      <c r="V38" s="666" t="s">
        <v>14</v>
      </c>
      <c r="W38" s="667">
        <f t="shared" si="12"/>
        <v>100</v>
      </c>
      <c r="X38" s="1264"/>
      <c r="Y38" s="339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395"/>
      <c r="Q39" s="1262">
        <f t="shared" si="14"/>
        <v>111</v>
      </c>
      <c r="R39" s="666" t="s">
        <v>14</v>
      </c>
      <c r="S39" s="667">
        <f t="shared" si="10"/>
        <v>100</v>
      </c>
      <c r="T39" s="666" t="s">
        <v>14</v>
      </c>
      <c r="U39" s="667">
        <f t="shared" si="11"/>
        <v>100</v>
      </c>
      <c r="V39" s="666" t="s">
        <v>14</v>
      </c>
      <c r="W39" s="667">
        <f t="shared" si="12"/>
        <v>100</v>
      </c>
      <c r="X39" s="1264"/>
      <c r="Y39" s="3395"/>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395"/>
      <c r="Q40" s="1262">
        <f t="shared" si="14"/>
        <v>111</v>
      </c>
      <c r="R40" s="668" t="s">
        <v>14</v>
      </c>
      <c r="S40" s="669">
        <f t="shared" si="10"/>
        <v>100</v>
      </c>
      <c r="T40" s="668" t="s">
        <v>14</v>
      </c>
      <c r="U40" s="669">
        <f t="shared" si="11"/>
        <v>100</v>
      </c>
      <c r="V40" s="668" t="s">
        <v>14</v>
      </c>
      <c r="W40" s="669">
        <f t="shared" si="12"/>
        <v>100</v>
      </c>
      <c r="X40" s="670"/>
      <c r="Y40" s="3395"/>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383" t="str">
        <f>A41</f>
        <v>成交单价</v>
      </c>
      <c r="Q41" s="3383"/>
      <c r="R41" s="3384">
        <f>E41</f>
        <v>0</v>
      </c>
      <c r="S41" s="3384"/>
      <c r="T41" s="3384">
        <f>G41</f>
        <v>0</v>
      </c>
      <c r="U41" s="3384"/>
      <c r="V41" s="3384">
        <f>I41</f>
        <v>0</v>
      </c>
      <c r="W41" s="3384"/>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83" t="str">
        <f>A42</f>
        <v>比较价值（元/平方米）</v>
      </c>
      <c r="Q42" s="3383"/>
      <c r="R42" s="3467" t="e">
        <f>ROUND(PRODUCT(R41,AA7:AA40),0)</f>
        <v>#DIV/0!</v>
      </c>
      <c r="S42" s="3467"/>
      <c r="T42" s="3467" t="e">
        <f>ROUND(PRODUCT(T41,AB7:AB40),0)</f>
        <v>#DIV/0!</v>
      </c>
      <c r="U42" s="3467"/>
      <c r="V42" s="3467" t="e">
        <f>ROUND(PRODUCT(V41,AC7:AC40),0)</f>
        <v>#DIV/0!</v>
      </c>
      <c r="W42" s="3467"/>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385" t="str">
        <f>A43</f>
        <v>估价对象XX用房的比较价值（楼面单价，元/平方米）</v>
      </c>
      <c r="Q43" s="3386"/>
      <c r="R43" s="3468" t="e">
        <f>ROUND(IF(D42="简单平均",AVERAGE(R42:W42),R42*F42+T42*H42+V42*J42),0)</f>
        <v>#DIV/0!</v>
      </c>
      <c r="S43" s="3468"/>
      <c r="T43" s="3468"/>
      <c r="U43" s="3468"/>
      <c r="V43" s="3468"/>
      <c r="W43" s="3468"/>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01" t="s">
        <v>1887</v>
      </c>
      <c r="H50" s="3469"/>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312.66000000000003</v>
      </c>
      <c r="F51" s="610" t="e">
        <f t="shared" ref="F51:F60" si="15">ROUND(B51*E51/10000,0)</f>
        <v>#DIV/0!</v>
      </c>
      <c r="G51" s="3397"/>
      <c r="H51" s="3383"/>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0.5</v>
      </c>
      <c r="D52" s="890">
        <v>0.25</v>
      </c>
      <c r="E52" s="613"/>
      <c r="F52" s="610" t="e">
        <f t="shared" si="15"/>
        <v>#DIV/0!</v>
      </c>
      <c r="G52" s="2748" t="s">
        <v>1892</v>
      </c>
      <c r="H52" s="833" t="str">
        <f>项目基本情况!B37</f>
        <v>九级</v>
      </c>
      <c r="I52" s="726">
        <f>SUMIF(修正!A57:A68,H52,修正!B57:B68)</f>
        <v>0.5</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0.2</v>
      </c>
      <c r="D53" s="890">
        <v>0.25</v>
      </c>
      <c r="E53" s="613"/>
      <c r="F53" s="610" t="e">
        <f t="shared" si="15"/>
        <v>#DIV/0!</v>
      </c>
      <c r="G53" s="2749"/>
      <c r="H53" s="833" t="str">
        <f>项目基本情况!B37</f>
        <v>九级</v>
      </c>
      <c r="I53" s="726">
        <f>SUMIF(修正!A57:A68,H53,修正!C57:C68)</f>
        <v>0.2</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0.2</v>
      </c>
      <c r="D54" s="890">
        <v>0.25</v>
      </c>
      <c r="E54" s="613"/>
      <c r="F54" s="610" t="e">
        <f t="shared" si="15"/>
        <v>#DIV/0!</v>
      </c>
      <c r="G54" s="2749"/>
      <c r="H54" s="833" t="str">
        <f>项目基本情况!B37</f>
        <v>九级</v>
      </c>
      <c r="I54" s="726">
        <f>SUMIF(修正!A57:A68,H54,修正!D57:D68)</f>
        <v>0.2</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九级</v>
      </c>
      <c r="I59" s="726">
        <f>SUMIF(修正!A57:A68,H59,修正!G57:G68)</f>
        <v>0.1</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6" priority="13" stopIfTrue="1">
      <formula>$F$46="超过30%"</formula>
    </cfRule>
  </conditionalFormatting>
  <conditionalFormatting sqref="E47">
    <cfRule type="expression" dxfId="45" priority="53" stopIfTrue="1">
      <formula>#REF!+$F$47="超过20%"</formula>
    </cfRule>
  </conditionalFormatting>
  <conditionalFormatting sqref="E48">
    <cfRule type="expression" dxfId="44" priority="10" stopIfTrue="1">
      <formula>$F$48="超过30%"</formula>
    </cfRule>
  </conditionalFormatting>
  <conditionalFormatting sqref="F7:F40 H7:H40 J7:J40">
    <cfRule type="cellIs" dxfId="43" priority="1" operator="notEqual">
      <formula>100</formula>
    </cfRule>
  </conditionalFormatting>
  <conditionalFormatting sqref="F42">
    <cfRule type="expression" dxfId="42" priority="4">
      <formula>$D$42="简单平均"</formula>
    </cfRule>
  </conditionalFormatting>
  <conditionalFormatting sqref="F46:F48 H46:H48 J46:J48">
    <cfRule type="containsText" dxfId="41" priority="14" stopIfTrue="1" operator="containsText" text="超过">
      <formula>NOT(ISERROR(SEARCH("超过",F46)))</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G48">
    <cfRule type="expression" dxfId="38" priority="12" stopIfTrue="1">
      <formula>$H$48="超过30%"</formula>
    </cfRule>
  </conditionalFormatting>
  <conditionalFormatting sqref="H42">
    <cfRule type="expression" dxfId="37" priority="3">
      <formula>$D$42="简单平均"</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J42">
    <cfRule type="expression" dxfId="33"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7" t="s">
        <v>2084</v>
      </c>
      <c r="D1" s="3478"/>
      <c r="E1" s="3478"/>
      <c r="F1" s="3478"/>
      <c r="G1" s="3478"/>
      <c r="H1" s="3478"/>
      <c r="I1" s="3478"/>
      <c r="J1" s="3478"/>
      <c r="K1" s="3478"/>
      <c r="L1" s="3478"/>
      <c r="M1" s="3478"/>
      <c r="N1" s="3478"/>
      <c r="O1" s="3478"/>
      <c r="P1" s="3478"/>
      <c r="Q1" s="3478"/>
      <c r="R1" s="3478"/>
      <c r="S1" s="347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2"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80</v>
      </c>
      <c r="C2" s="1983" t="s">
        <v>2074</v>
      </c>
      <c r="D2" s="1983" t="s">
        <v>2075</v>
      </c>
      <c r="E2" s="2396">
        <f ca="1">SUMIF(E6:E13,"&lt;&gt;#ref!",E6:E13)</f>
        <v>0</v>
      </c>
      <c r="F2" s="2542"/>
      <c r="G2" s="2542"/>
      <c r="H2" s="2542"/>
      <c r="I2" s="2542"/>
      <c r="J2" s="2542"/>
      <c r="K2" s="2542"/>
      <c r="L2" s="2542"/>
      <c r="M2" s="2542"/>
      <c r="N2" s="2542"/>
      <c r="O2" s="2542"/>
      <c r="P2" s="2542"/>
    </row>
    <row r="3" spans="1:16" ht="15.6">
      <c r="A3" s="1983" t="s">
        <v>2076</v>
      </c>
      <c r="B3" s="2386" t="e">
        <f ca="1">ROUND(B2*10000/E2,0)</f>
        <v>#DIV/0!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80</v>
      </c>
      <c r="C6" s="1983"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A484A-A7D4-47A3-BC65-D1723B19EA8C}">
  <sheetPr>
    <tabColor rgb="FFFF0000"/>
  </sheetPr>
  <dimension ref="A1:AJ512"/>
  <sheetViews>
    <sheetView tabSelected="1" view="pageBreakPreview" topLeftCell="A16" zoomScale="70" zoomScaleNormal="100" zoomScaleSheetLayoutView="70" zoomScalePageLayoutView="80" workbookViewId="0">
      <selection activeCell="M18" sqref="M18"/>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3556</v>
      </c>
      <c r="D1" s="645"/>
      <c r="E1" s="645"/>
      <c r="F1" s="1620" t="s">
        <v>1263</v>
      </c>
      <c r="G1" s="1452" t="s">
        <v>3388</v>
      </c>
      <c r="H1" s="1620" t="str">
        <f>IF(G1="现房","——","估价对象范围")</f>
        <v>——</v>
      </c>
      <c r="I1" s="1621"/>
    </row>
    <row r="2" spans="1:12" ht="21.75" customHeight="1" thickBot="1">
      <c r="A2" s="3323" t="str">
        <f>项目基本情况!S2</f>
        <v>北京市延庆县燕水佳园14号楼1至2层1号、2号房地产</v>
      </c>
      <c r="B2" s="3324"/>
      <c r="C2" s="3324"/>
      <c r="D2" s="3324"/>
      <c r="E2" s="3324"/>
      <c r="F2" s="3324"/>
      <c r="G2" s="3324"/>
      <c r="H2" s="3324"/>
      <c r="I2" s="3325"/>
    </row>
    <row r="3" spans="1:12" ht="13.2">
      <c r="A3" s="3327" t="s">
        <v>1264</v>
      </c>
      <c r="B3" s="3328"/>
      <c r="C3" s="3328"/>
      <c r="D3" s="3328"/>
      <c r="E3" s="3328"/>
      <c r="F3" s="3328"/>
      <c r="G3" s="3328"/>
      <c r="H3" s="3328"/>
      <c r="I3" s="3328"/>
    </row>
    <row r="4" spans="1:12" ht="14.4">
      <c r="A4" s="1623" t="s">
        <v>1265</v>
      </c>
      <c r="B4" s="1624" t="s">
        <v>1266</v>
      </c>
      <c r="C4" s="1625" t="s">
        <v>3515</v>
      </c>
      <c r="D4" s="1625" t="s">
        <v>3513</v>
      </c>
      <c r="E4" s="3329" t="s">
        <v>1267</v>
      </c>
      <c r="F4" s="3330"/>
      <c r="G4" s="3330"/>
      <c r="H4" s="3330"/>
      <c r="I4" s="3331"/>
      <c r="K4" s="137" t="str">
        <f>IF(ISNUMBER(FIND("比较法",结果表2号!C4)),"比较法",IF(ISNUMBER(FIND("成本法",结果表2号!C4)),"成本法",IF(ISNUMBER(FIND("假设开发法",结果表2号!C4)),"假设开发法",IF(ISNUMBER(FIND("收益法",结果表2号!C4)),"收益法","基准地价系数修正法"))))</f>
        <v>比较法</v>
      </c>
      <c r="L4" s="137" t="str">
        <f>IF(ISNUMBER(FIND("比较法",结果表2号!D4)),"比较法",IF(ISNUMBER(FIND("成本法",结果表2号!D4)),"成本法",IF(ISNUMBER(FIND("假设开发法",结果表2号!D4)),"假设开发法",IF(ISNUMBER(FIND("收益法",结果表2号!D4)),"收益法","基准地价系数修正法"))))</f>
        <v>收益法</v>
      </c>
    </row>
    <row r="5" spans="1:12" ht="13.2">
      <c r="A5" s="3303" t="s">
        <v>1268</v>
      </c>
      <c r="B5" s="3290">
        <v>25</v>
      </c>
      <c r="C5" s="3306"/>
      <c r="D5" s="3326"/>
      <c r="E5" s="122" t="s">
        <v>1269</v>
      </c>
      <c r="F5" s="1626"/>
      <c r="G5" s="1626"/>
      <c r="H5" s="1626"/>
      <c r="I5" s="1280"/>
    </row>
    <row r="6" spans="1:12" ht="13.2">
      <c r="A6" s="3303"/>
      <c r="B6" s="3290"/>
      <c r="C6" s="3307"/>
      <c r="D6" s="3326"/>
      <c r="E6" s="122" t="s">
        <v>1270</v>
      </c>
      <c r="F6" s="1626"/>
      <c r="G6" s="1626"/>
      <c r="H6" s="1626"/>
      <c r="I6" s="1280"/>
    </row>
    <row r="7" spans="1:12" ht="13.2">
      <c r="A7" s="3303"/>
      <c r="B7" s="3290"/>
      <c r="C7" s="3308"/>
      <c r="D7" s="3326"/>
      <c r="E7" s="122" t="s">
        <v>1271</v>
      </c>
      <c r="F7" s="1626"/>
      <c r="G7" s="1626"/>
      <c r="H7" s="1626"/>
      <c r="I7" s="1280"/>
    </row>
    <row r="8" spans="1:12" ht="13.2">
      <c r="A8" s="3303" t="s">
        <v>1272</v>
      </c>
      <c r="B8" s="3290">
        <v>15</v>
      </c>
      <c r="C8" s="3306"/>
      <c r="D8" s="3326"/>
      <c r="E8" s="122" t="s">
        <v>1273</v>
      </c>
      <c r="F8" s="1626"/>
      <c r="G8" s="1626"/>
      <c r="H8" s="1626"/>
      <c r="I8" s="1280"/>
    </row>
    <row r="9" spans="1:12" ht="13.2">
      <c r="A9" s="3303"/>
      <c r="B9" s="3290"/>
      <c r="C9" s="3308"/>
      <c r="D9" s="3326"/>
      <c r="E9" s="122" t="s">
        <v>1274</v>
      </c>
      <c r="F9" s="1626"/>
      <c r="G9" s="1626"/>
      <c r="H9" s="1626"/>
      <c r="I9" s="1280"/>
    </row>
    <row r="10" spans="1:12" ht="13.2">
      <c r="A10" s="3303" t="s">
        <v>1275</v>
      </c>
      <c r="B10" s="3290">
        <v>15</v>
      </c>
      <c r="C10" s="3306"/>
      <c r="D10" s="3326"/>
      <c r="E10" s="122" t="s">
        <v>1276</v>
      </c>
      <c r="F10" s="1626"/>
      <c r="G10" s="1626"/>
      <c r="H10" s="1626"/>
      <c r="I10" s="1280"/>
    </row>
    <row r="11" spans="1:12" ht="13.2">
      <c r="A11" s="3303"/>
      <c r="B11" s="3290"/>
      <c r="C11" s="3308"/>
      <c r="D11" s="3326"/>
      <c r="E11" s="122" t="s">
        <v>1277</v>
      </c>
      <c r="F11" s="1626"/>
      <c r="G11" s="1626"/>
      <c r="H11" s="1626"/>
      <c r="I11" s="1280"/>
    </row>
    <row r="12" spans="1:12" ht="13.2">
      <c r="A12" s="3303" t="s">
        <v>1278</v>
      </c>
      <c r="B12" s="3290">
        <v>15</v>
      </c>
      <c r="C12" s="3306"/>
      <c r="D12" s="3326"/>
      <c r="E12" s="122" t="s">
        <v>1279</v>
      </c>
      <c r="F12" s="1626"/>
      <c r="G12" s="1626"/>
      <c r="H12" s="1626"/>
      <c r="I12" s="1280"/>
    </row>
    <row r="13" spans="1:12" ht="13.2">
      <c r="A13" s="3303"/>
      <c r="B13" s="3290"/>
      <c r="C13" s="3308"/>
      <c r="D13" s="3326"/>
      <c r="E13" s="122" t="s">
        <v>1280</v>
      </c>
      <c r="F13" s="1626"/>
      <c r="G13" s="1626"/>
      <c r="H13" s="1626"/>
      <c r="I13" s="1280"/>
    </row>
    <row r="14" spans="1:12" ht="13.2">
      <c r="A14" s="3303" t="s">
        <v>1281</v>
      </c>
      <c r="B14" s="3290">
        <v>30</v>
      </c>
      <c r="C14" s="3306">
        <v>6</v>
      </c>
      <c r="D14" s="3326">
        <v>4</v>
      </c>
      <c r="E14" s="122" t="s">
        <v>1282</v>
      </c>
      <c r="F14" s="1626"/>
      <c r="G14" s="1626"/>
      <c r="H14" s="1626"/>
      <c r="I14" s="1280"/>
    </row>
    <row r="15" spans="1:12" ht="13.2">
      <c r="A15" s="3303"/>
      <c r="B15" s="3290"/>
      <c r="C15" s="3307"/>
      <c r="D15" s="3326"/>
      <c r="E15" s="122" t="s">
        <v>1283</v>
      </c>
      <c r="F15" s="1626"/>
      <c r="G15" s="1626"/>
      <c r="H15" s="1626"/>
      <c r="I15" s="1280"/>
    </row>
    <row r="16" spans="1:12" ht="13.2">
      <c r="A16" s="3303"/>
      <c r="B16" s="3290"/>
      <c r="C16" s="3308"/>
      <c r="D16" s="3326"/>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13" t="s">
        <v>2131</v>
      </c>
      <c r="F18" s="3314"/>
      <c r="G18" s="3314"/>
      <c r="H18" s="3314"/>
      <c r="I18" s="3314"/>
      <c r="K18" s="293" t="s">
        <v>1289</v>
      </c>
      <c r="L18" s="293">
        <f>IF(C1="",'数据-汇总表'!E3,SUMIF(项目类型,C1,'数据-汇总表'!E17:E26)+SUMIF(项目类型,C1,'数据-汇总表'!I17:I26))</f>
        <v>156.33000000000001</v>
      </c>
      <c r="M18" s="293">
        <f>IF(C1="",'数据-汇总表'!E3,SUMIF(项目类型,C1,'数据-汇总表'!E17:E26))</f>
        <v>156.33000000000001</v>
      </c>
    </row>
    <row r="19" spans="1:36" ht="14.4">
      <c r="A19" s="1629" t="s">
        <v>1290</v>
      </c>
      <c r="B19" s="1630" t="s">
        <v>1291</v>
      </c>
      <c r="C19" s="125">
        <f ca="1">SUMIF(INDIRECT("'"&amp;C4&amp;"'"&amp;"!A:A"),结果表2号!B19,INDIRECT("'"&amp;C4&amp;"'"&amp;"!B:B"))</f>
        <v>253.27019999999999</v>
      </c>
      <c r="D19" s="126">
        <f ca="1">SUMIF(INDIRECT("'"&amp;D4&amp;"'"&amp;"!A:A"),结果表2号!B19,INDIRECT("'"&amp;D4&amp;"'"&amp;"!B:B"))</f>
        <v>94.671499999999995</v>
      </c>
      <c r="E19" s="1629" t="s">
        <v>1292</v>
      </c>
      <c r="F19" s="1630" t="s">
        <v>1291</v>
      </c>
      <c r="G19" s="127">
        <f ca="1">ROUND(C19*$C$18+D19*$D$18,0)</f>
        <v>190</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SUMIF(INDIRECT("'"&amp;C4&amp;"'"&amp;"!A:A"),结果表2号!B20,INDIRECT("'"&amp;C4&amp;"'"&amp;"!B:B"))</f>
        <v>16201</v>
      </c>
      <c r="D20" s="129">
        <f ca="1">SUMIF(INDIRECT("'"&amp;D4&amp;"'"&amp;"!A:A"),结果表2号!B20,INDIRECT("'"&amp;D4&amp;"'"&amp;"!B:B"))</f>
        <v>6056</v>
      </c>
      <c r="E20" s="1632"/>
      <c r="F20" s="43" t="s">
        <v>1295</v>
      </c>
      <c r="G20" s="130">
        <f ca="1">ROUND(C20*$C$18+D20*$D$18,0)</f>
        <v>12143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1.6752528480059996</v>
      </c>
      <c r="E22" s="120"/>
      <c r="F22" s="120"/>
      <c r="G22" s="120"/>
      <c r="H22" s="120"/>
      <c r="I22" s="120"/>
    </row>
    <row r="23" spans="1:36" ht="13.8" thickBot="1">
      <c r="A23" s="645"/>
      <c r="B23" s="645"/>
      <c r="C23" s="645"/>
      <c r="D23" s="645"/>
      <c r="E23" s="120"/>
      <c r="F23" s="120"/>
      <c r="G23" s="120"/>
      <c r="H23" s="120"/>
      <c r="I23" s="120"/>
    </row>
    <row r="24" spans="1:36" ht="14.4">
      <c r="A24" s="3297" t="s">
        <v>1299</v>
      </c>
      <c r="B24" s="1630" t="s">
        <v>1291</v>
      </c>
      <c r="C24" s="127">
        <f>IF(B30=0,0,D30)</f>
        <v>0</v>
      </c>
      <c r="D24" s="1636"/>
      <c r="E24" s="120"/>
      <c r="F24" s="120"/>
      <c r="G24" s="120"/>
      <c r="H24" s="120"/>
      <c r="I24" s="120"/>
    </row>
    <row r="25" spans="1:36" ht="14.4">
      <c r="A25" s="329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12143</v>
      </c>
      <c r="D32" s="1640" t="s">
        <v>3405</v>
      </c>
      <c r="E32" s="120"/>
      <c r="F32" s="120"/>
      <c r="G32" s="120"/>
      <c r="H32" s="120"/>
      <c r="I32" s="120"/>
    </row>
    <row r="33" spans="1:15" ht="14.4">
      <c r="A33" s="739" t="s">
        <v>1306</v>
      </c>
      <c r="B33" s="122"/>
      <c r="C33" s="1641" t="s">
        <v>3406</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317" t="s">
        <v>1312</v>
      </c>
      <c r="B36" s="1651" t="s">
        <v>1313</v>
      </c>
      <c r="C36" s="136"/>
      <c r="D36" s="1652"/>
      <c r="E36" s="1566"/>
      <c r="F36" s="1653"/>
      <c r="G36" s="120"/>
      <c r="H36" s="120"/>
      <c r="I36" s="120"/>
    </row>
    <row r="37" spans="1:15" ht="15" thickBot="1">
      <c r="A37" s="3318"/>
      <c r="B37" s="1554" t="s">
        <v>1314</v>
      </c>
      <c r="C37" s="138"/>
      <c r="D37" s="1070"/>
      <c r="E37" s="1070"/>
      <c r="F37" s="1653"/>
      <c r="G37" s="120"/>
      <c r="H37" s="120"/>
      <c r="I37" s="120"/>
    </row>
    <row r="38" spans="1:15" ht="15" thickBot="1">
      <c r="A38" s="3319"/>
      <c r="B38" s="1654" t="s">
        <v>1315</v>
      </c>
      <c r="C38" s="640"/>
      <c r="D38" s="1655" t="s">
        <v>1316</v>
      </c>
      <c r="E38" s="1070"/>
      <c r="F38" s="1653"/>
      <c r="G38" s="120"/>
      <c r="H38" s="120"/>
      <c r="I38" s="120"/>
    </row>
    <row r="39" spans="1:15" ht="14.4">
      <c r="A39" s="1632" t="s">
        <v>1317</v>
      </c>
      <c r="B39" s="1656" t="s">
        <v>1301</v>
      </c>
      <c r="C39" s="1657" t="s">
        <v>1302</v>
      </c>
      <c r="D39" s="1657" t="s">
        <v>1320</v>
      </c>
      <c r="E39" s="1658" t="s">
        <v>1303</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4" t="s">
        <v>1326</v>
      </c>
      <c r="B45" s="3295"/>
      <c r="C45" s="3296"/>
      <c r="D45" s="146">
        <f ca="1">ROUND(H101*F45,0)</f>
        <v>190</v>
      </c>
      <c r="E45" s="147" t="s">
        <v>1327</v>
      </c>
      <c r="F45" s="148">
        <v>1</v>
      </c>
      <c r="G45" s="149" t="s">
        <v>1328</v>
      </c>
      <c r="H45" s="120"/>
      <c r="I45" s="120"/>
      <c r="J45" s="3372" t="s">
        <v>1329</v>
      </c>
      <c r="K45" s="3372"/>
      <c r="L45" s="3372"/>
      <c r="M45" s="3372"/>
      <c r="N45" s="3372"/>
      <c r="O45" s="3372"/>
    </row>
    <row r="46" spans="1:15" ht="14.25" customHeight="1">
      <c r="A46" s="3291" t="s">
        <v>1330</v>
      </c>
      <c r="B46" s="3292"/>
      <c r="C46" s="3292"/>
      <c r="D46" s="3292"/>
      <c r="E46" s="3292"/>
      <c r="F46" s="3292"/>
      <c r="G46" s="3293"/>
      <c r="H46" s="1667"/>
      <c r="I46" s="150"/>
      <c r="J46" s="2308">
        <v>1</v>
      </c>
      <c r="K46" s="3353" t="s">
        <v>1331</v>
      </c>
      <c r="L46" s="3353"/>
      <c r="M46" s="3373"/>
      <c r="N46" s="3373"/>
      <c r="O46" s="3373"/>
    </row>
    <row r="47" spans="1:15" ht="12" customHeight="1">
      <c r="A47" s="151" t="s">
        <v>1332</v>
      </c>
      <c r="B47" s="152"/>
      <c r="C47" s="153"/>
      <c r="D47" s="1023" t="s">
        <v>1333</v>
      </c>
      <c r="E47" s="293" t="s">
        <v>1334</v>
      </c>
      <c r="F47" s="154" t="s">
        <v>1335</v>
      </c>
      <c r="G47" s="2331" t="s">
        <v>1336</v>
      </c>
      <c r="H47" s="2332"/>
      <c r="I47" s="150"/>
      <c r="J47" s="2308">
        <v>2</v>
      </c>
      <c r="K47" s="3353" t="s">
        <v>1337</v>
      </c>
      <c r="L47" s="3353"/>
      <c r="M47" s="3374">
        <f>'数据-取费表'!B2</f>
        <v>45562</v>
      </c>
      <c r="N47" s="3374"/>
      <c r="O47" s="3374"/>
    </row>
    <row r="48" spans="1:15" ht="26.4">
      <c r="A48" s="3322" t="s">
        <v>1338</v>
      </c>
      <c r="B48" s="3305"/>
      <c r="C48" s="3305"/>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53" t="s">
        <v>1340</v>
      </c>
      <c r="L48" s="3353"/>
      <c r="M48" s="3375">
        <f ca="1">H101</f>
        <v>190</v>
      </c>
      <c r="N48" s="3375"/>
      <c r="O48" s="3375"/>
    </row>
    <row r="49" spans="1:35" ht="25.5" customHeight="1">
      <c r="A49" s="2151" t="s">
        <v>1341</v>
      </c>
      <c r="B49" s="3289" t="s">
        <v>1342</v>
      </c>
      <c r="C49" s="3289"/>
      <c r="D49" s="1477">
        <v>0</v>
      </c>
      <c r="E49" s="315" t="s">
        <v>1343</v>
      </c>
      <c r="F49" s="2231" t="s">
        <v>28</v>
      </c>
      <c r="G49" s="3359"/>
      <c r="H49" s="2133" t="s">
        <v>2134</v>
      </c>
      <c r="I49" s="2134"/>
      <c r="J49" s="2308">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6"/>
      <c r="B50" s="3289" t="s">
        <v>1344</v>
      </c>
      <c r="C50" s="3289"/>
      <c r="D50" s="2188"/>
      <c r="E50" s="322"/>
      <c r="F50" s="2231"/>
      <c r="G50" s="3360"/>
      <c r="H50" s="2135" t="s">
        <v>2135</v>
      </c>
      <c r="I50" s="2134"/>
      <c r="J50" s="3372" t="s">
        <v>1345</v>
      </c>
      <c r="K50" s="3372"/>
      <c r="L50" s="3372"/>
      <c r="M50" s="3372"/>
      <c r="N50" s="3372"/>
      <c r="O50" s="3372"/>
    </row>
    <row r="51" spans="1:35" ht="20.399999999999999" customHeight="1">
      <c r="A51" s="2337"/>
      <c r="B51" s="3289" t="s">
        <v>1346</v>
      </c>
      <c r="C51" s="3289"/>
      <c r="D51" s="1023"/>
      <c r="E51" s="318"/>
      <c r="F51" s="2231"/>
      <c r="G51" s="3361"/>
      <c r="H51" s="2135" t="s">
        <v>2136</v>
      </c>
      <c r="I51" s="2134"/>
      <c r="J51" s="2309" t="s">
        <v>1347</v>
      </c>
      <c r="K51" s="3353" t="s">
        <v>1348</v>
      </c>
      <c r="L51" s="3353"/>
      <c r="M51" s="2309" t="s">
        <v>1349</v>
      </c>
      <c r="N51" s="2309" t="s">
        <v>1350</v>
      </c>
      <c r="O51" s="2309" t="s">
        <v>1351</v>
      </c>
    </row>
    <row r="52" spans="1:35" ht="24" customHeight="1">
      <c r="A52" s="2152" t="s">
        <v>1352</v>
      </c>
      <c r="B52" s="3289" t="s">
        <v>1353</v>
      </c>
      <c r="C52" s="3289"/>
      <c r="D52" s="1023">
        <f ca="1">ROUND(D45*'数据-取费表'!B41/(1+'数据-取费表'!C42),0)</f>
        <v>10</v>
      </c>
      <c r="E52" s="1255" t="s">
        <v>1354</v>
      </c>
      <c r="F52" s="2338">
        <f>'数据-取费表'!B41</f>
        <v>5.5000000000000007E-2</v>
      </c>
      <c r="G52" s="2339"/>
      <c r="H52" s="2329"/>
      <c r="I52" s="1668"/>
      <c r="J52" s="2308">
        <v>1</v>
      </c>
      <c r="K52" s="3354" t="s">
        <v>1355</v>
      </c>
      <c r="L52" s="3354"/>
      <c r="M52" s="2310" t="b">
        <f>D48</f>
        <v>0</v>
      </c>
      <c r="N52" s="2308" t="str">
        <f>E48</f>
        <v>销售额×税（费）率</v>
      </c>
      <c r="O52" s="2311">
        <f>F48</f>
        <v>5.5000000000000007E-2</v>
      </c>
    </row>
    <row r="53" spans="1:35" ht="12" customHeight="1">
      <c r="A53" s="2152" t="s">
        <v>1356</v>
      </c>
      <c r="B53" s="3315" t="s">
        <v>2289</v>
      </c>
      <c r="C53" s="3316"/>
      <c r="D53" s="1023">
        <f ca="1">ROUND(D45*'数据-取费表'!B41/(1+'数据-取费表'!C42),0)</f>
        <v>10</v>
      </c>
      <c r="E53" s="1255" t="s">
        <v>1354</v>
      </c>
      <c r="F53" s="2338">
        <f>'数据-取费表'!B41</f>
        <v>5.5000000000000007E-2</v>
      </c>
      <c r="G53" s="2339"/>
      <c r="H53" s="2329"/>
      <c r="I53" s="1668"/>
      <c r="J53" s="2308">
        <v>2</v>
      </c>
      <c r="K53" s="3354" t="s">
        <v>1357</v>
      </c>
      <c r="L53" s="3354"/>
      <c r="M53" s="2310">
        <f t="shared" ref="M53:O54" ca="1" si="0">D55</f>
        <v>0</v>
      </c>
      <c r="N53" s="2308" t="str">
        <f t="shared" si="0"/>
        <v>销售额×税（费）率</v>
      </c>
      <c r="O53" s="2311" t="str">
        <f t="shared" si="0"/>
        <v>免征</v>
      </c>
    </row>
    <row r="54" spans="1:35" ht="12" customHeight="1">
      <c r="A54" s="2152" t="s">
        <v>1358</v>
      </c>
      <c r="B54" s="3315" t="s">
        <v>2290</v>
      </c>
      <c r="C54" s="3316"/>
      <c r="D54" s="1023">
        <f ca="1">C68</f>
        <v>10</v>
      </c>
      <c r="E54" s="318" t="s">
        <v>1359</v>
      </c>
      <c r="F54" s="2338">
        <f>'数据-取费表'!B41</f>
        <v>5.5000000000000007E-2</v>
      </c>
      <c r="G54" s="2339"/>
      <c r="H54" s="2340"/>
      <c r="I54" s="1668"/>
      <c r="J54" s="2308">
        <v>3</v>
      </c>
      <c r="K54" s="3354" t="s">
        <v>1360</v>
      </c>
      <c r="L54" s="3354"/>
      <c r="M54" s="2310">
        <f t="shared" ca="1" si="0"/>
        <v>108</v>
      </c>
      <c r="N54" s="2308" t="str">
        <f t="shared" si="0"/>
        <v>增值额×税（费）率</v>
      </c>
      <c r="O54" s="2312" t="str">
        <f t="shared" si="0"/>
        <v>免征</v>
      </c>
    </row>
    <row r="55" spans="1:35" ht="24" customHeight="1">
      <c r="A55" s="3304" t="s">
        <v>1361</v>
      </c>
      <c r="B55" s="3305"/>
      <c r="C55" s="3305"/>
      <c r="D55" s="12">
        <f ca="1">IF(H55="个人住宅",0,ROUND(D45*I55,0))</f>
        <v>0</v>
      </c>
      <c r="E55" s="1255" t="s">
        <v>1362</v>
      </c>
      <c r="F55" s="2338" t="str">
        <f>IF(H55="正常",I55,"免征")</f>
        <v>免征</v>
      </c>
      <c r="G55" s="2339"/>
      <c r="H55" s="2335"/>
      <c r="I55" s="156">
        <f>'数据-取费表'!B49</f>
        <v>5.0000000000000001E-4</v>
      </c>
      <c r="J55" s="2308">
        <f>IF(H59="非个人房产","",4)</f>
        <v>4</v>
      </c>
      <c r="K55" s="3354" t="str">
        <f>IF(H59="非个人房产","——","个人所得税")</f>
        <v>个人所得税</v>
      </c>
      <c r="L55" s="3354"/>
      <c r="M55" s="2313">
        <f ca="1">D59</f>
        <v>2</v>
      </c>
      <c r="N55" s="1882" t="str">
        <f>E59</f>
        <v>差额计税</v>
      </c>
      <c r="O55" s="2314">
        <f>F59</f>
        <v>0.01</v>
      </c>
    </row>
    <row r="56" spans="1:35" ht="25.2">
      <c r="A56" s="3304" t="s">
        <v>1363</v>
      </c>
      <c r="B56" s="3305"/>
      <c r="C56" s="3305"/>
      <c r="D56" s="12">
        <f ca="1">IF(H56="个人住宅",D57,D58)</f>
        <v>108</v>
      </c>
      <c r="E56" s="1255" t="s">
        <v>1364</v>
      </c>
      <c r="F56" s="2338" t="str">
        <f>IF(H56="正常",F58,"免征")</f>
        <v>免征</v>
      </c>
      <c r="G56" s="2341" t="s">
        <v>1365</v>
      </c>
      <c r="H56" s="2342"/>
      <c r="I56" s="1669"/>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3.2">
      <c r="A57" s="2152" t="s">
        <v>1341</v>
      </c>
      <c r="B57" s="3315" t="s">
        <v>1366</v>
      </c>
      <c r="C57" s="3316"/>
      <c r="D57" s="1477">
        <v>0</v>
      </c>
      <c r="E57" s="315" t="s">
        <v>1343</v>
      </c>
      <c r="F57" s="293"/>
      <c r="G57" s="2339"/>
      <c r="H57" s="2343"/>
      <c r="I57" s="1669"/>
      <c r="J57" s="3354">
        <f>IF(AND(J55="",J56=""),4,IF(项目基本情况!K6="上海银行",结果表2号!J56+1,结果表2号!J55+1))</f>
        <v>5</v>
      </c>
      <c r="K57" s="3354" t="s">
        <v>1367</v>
      </c>
      <c r="L57" s="2315" t="s">
        <v>1368</v>
      </c>
      <c r="M57" s="2316"/>
      <c r="N57" s="2317">
        <f ca="1">SUMIF(M52:M56,"&lt;9e307")</f>
        <v>110</v>
      </c>
      <c r="O57" s="2318"/>
      <c r="P57" s="2462" t="e">
        <f ca="1">N57/M49</f>
        <v>#VALUE!</v>
      </c>
    </row>
    <row r="58" spans="1:35" ht="25.2">
      <c r="A58" s="2152" t="s">
        <v>1352</v>
      </c>
      <c r="B58" s="3315" t="s">
        <v>1369</v>
      </c>
      <c r="C58" s="3289"/>
      <c r="D58" s="12">
        <f ca="1">IF(H58="转让取得",C81,C97)</f>
        <v>108</v>
      </c>
      <c r="E58" s="1255" t="s">
        <v>1364</v>
      </c>
      <c r="F58" s="293" t="s">
        <v>28</v>
      </c>
      <c r="G58" s="2339"/>
      <c r="H58" s="2342"/>
      <c r="I58" s="1669"/>
      <c r="J58" s="3354"/>
      <c r="K58" s="3354"/>
      <c r="L58" s="2315" t="s">
        <v>1370</v>
      </c>
      <c r="M58" s="2319"/>
      <c r="N58" s="2320" t="str">
        <f ca="1">NUMBERSTRING(INT(N57*10000),2)&amp;"元整"</f>
        <v>壹佰壹拾万元整</v>
      </c>
      <c r="O58" s="2321"/>
    </row>
    <row r="59" spans="1:35" ht="24.6" thickBot="1">
      <c r="A59" s="3357" t="s">
        <v>1371</v>
      </c>
      <c r="B59" s="3358"/>
      <c r="C59" s="3358"/>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55">
        <f>J57+1</f>
        <v>6</v>
      </c>
      <c r="K59" s="3354" t="s">
        <v>1372</v>
      </c>
      <c r="L59" s="2308" t="s">
        <v>1368</v>
      </c>
      <c r="M59" s="2322"/>
      <c r="N59" s="2323" t="e">
        <f ca="1">M49-N57</f>
        <v>#VALUE!</v>
      </c>
      <c r="O59" s="2324"/>
    </row>
    <row r="60" spans="1:35" ht="12" customHeight="1">
      <c r="A60" s="1670"/>
      <c r="B60" s="645"/>
      <c r="C60" s="645"/>
      <c r="D60" s="645"/>
      <c r="E60" s="1465"/>
      <c r="F60" s="1669"/>
      <c r="G60" s="1669"/>
      <c r="H60" s="150"/>
      <c r="I60" s="120"/>
      <c r="J60" s="3356"/>
      <c r="K60" s="3354"/>
      <c r="L60" s="2315" t="s">
        <v>1370</v>
      </c>
      <c r="M60" s="2319"/>
      <c r="N60" s="2320" t="e">
        <f ca="1">NUMBERSTRING(INT(N59*10000),2)&amp;"元整"</f>
        <v>#VALUE!</v>
      </c>
      <c r="O60" s="2321"/>
    </row>
    <row r="61" spans="1:35" ht="13.8" thickBot="1">
      <c r="A61" s="3302" t="s">
        <v>1373</v>
      </c>
      <c r="B61" s="3302"/>
      <c r="C61" s="3302"/>
      <c r="D61" s="3302"/>
      <c r="E61" s="3302"/>
      <c r="F61" s="1669"/>
      <c r="G61" s="1669"/>
      <c r="H61" s="150"/>
      <c r="I61" s="120"/>
      <c r="J61" s="2308">
        <f>J59+1</f>
        <v>7</v>
      </c>
      <c r="K61" s="3354" t="s">
        <v>1374</v>
      </c>
      <c r="L61" s="3354"/>
      <c r="M61" s="2325"/>
      <c r="N61" s="2326" t="e">
        <f ca="1">ROUND(N59*10000/'数据-汇总表'!E3,0)</f>
        <v>#VALUE!</v>
      </c>
      <c r="O61" s="2327"/>
    </row>
    <row r="62" spans="1:35" ht="13.2">
      <c r="A62" s="3320" t="s">
        <v>1375</v>
      </c>
      <c r="B62" s="3321"/>
      <c r="C62" s="1864"/>
      <c r="D62" s="1864" t="s">
        <v>1376</v>
      </c>
      <c r="E62" s="157" t="s">
        <v>1377</v>
      </c>
      <c r="F62" s="1669"/>
      <c r="G62" s="1669"/>
      <c r="H62" s="150"/>
      <c r="I62" s="120"/>
    </row>
    <row r="63" spans="1:35" ht="13.2">
      <c r="A63" s="164" t="s">
        <v>330</v>
      </c>
      <c r="B63" s="158" t="s">
        <v>1378</v>
      </c>
      <c r="C63" s="2348">
        <f ca="1">ROUND((C64+C65)/(1+'数据-取费表'!C42),0)</f>
        <v>181</v>
      </c>
      <c r="D63" s="158"/>
      <c r="E63" s="159"/>
      <c r="F63" s="1669"/>
      <c r="G63" s="1669"/>
      <c r="H63" s="150"/>
      <c r="I63" s="120"/>
      <c r="J63" s="3379" t="s">
        <v>1379</v>
      </c>
      <c r="K63" s="1244" t="s">
        <v>1380</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1381</v>
      </c>
      <c r="C64" s="2349">
        <f ca="1">D45</f>
        <v>190</v>
      </c>
      <c r="D64" s="161" t="s">
        <v>26</v>
      </c>
      <c r="E64" s="163"/>
      <c r="F64" s="1669"/>
      <c r="G64" s="1669"/>
      <c r="H64" s="150"/>
      <c r="I64" s="120"/>
      <c r="J64" s="337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1383</v>
      </c>
      <c r="Z64" s="1622"/>
      <c r="AI64" s="1560"/>
    </row>
    <row r="65" spans="1:35" ht="14.25" customHeight="1">
      <c r="A65" s="160" t="s">
        <v>326</v>
      </c>
      <c r="B65" s="161" t="s">
        <v>1384</v>
      </c>
      <c r="C65" s="2350"/>
      <c r="D65" s="161"/>
      <c r="E65" s="163"/>
      <c r="F65" s="1669"/>
      <c r="G65" s="1669"/>
      <c r="H65" s="150"/>
      <c r="I65" s="120"/>
      <c r="J65" s="3379"/>
      <c r="K65" s="1244" t="s">
        <v>1385</v>
      </c>
      <c r="L65" s="1244" t="e">
        <f>IF(M49&gt;1000,M49*0.1%,IF(AND(M49&gt;500,M49&lt;=1000),M49*0.5%,IF(AND(M49&gt;50,M49&lt;=500),M49*1%,IF(AND(M49&gt;1,M49&lt;=50),M49*1.5%))))</f>
        <v>#VALUE!</v>
      </c>
      <c r="M65" s="293" t="e">
        <f t="shared" si="1"/>
        <v>#VALUE!</v>
      </c>
      <c r="N65" s="2329" t="s">
        <v>1383</v>
      </c>
      <c r="Z65" s="1622"/>
      <c r="AI65" s="1560"/>
    </row>
    <row r="66" spans="1:35" ht="14.25" customHeight="1">
      <c r="A66" s="164" t="s">
        <v>327</v>
      </c>
      <c r="B66" s="165" t="s">
        <v>1386</v>
      </c>
      <c r="C66" s="2351"/>
      <c r="D66" s="165" t="s">
        <v>26</v>
      </c>
      <c r="E66" s="1250" t="s">
        <v>671</v>
      </c>
      <c r="F66" s="1669"/>
      <c r="G66" s="1669"/>
      <c r="H66" s="150"/>
      <c r="I66" s="120"/>
      <c r="J66" s="3379"/>
      <c r="K66" s="1244" t="s">
        <v>1387</v>
      </c>
      <c r="L66" s="1244" t="e">
        <f>M49*0.5%</f>
        <v>#VALUE!</v>
      </c>
      <c r="M66" s="293" t="e">
        <f>IF(L66&gt;0.5,0.5,ROUND(L66,0))</f>
        <v>#VALUE!</v>
      </c>
      <c r="N66" s="2329" t="s">
        <v>1388</v>
      </c>
      <c r="Z66" s="1622"/>
      <c r="AI66" s="1560"/>
    </row>
    <row r="67" spans="1:35" ht="14.25" customHeight="1">
      <c r="A67" s="164" t="s">
        <v>328</v>
      </c>
      <c r="B67" s="165" t="s">
        <v>1389</v>
      </c>
      <c r="C67" s="2352">
        <f ca="1">C63-C66</f>
        <v>181</v>
      </c>
      <c r="D67" s="161" t="s">
        <v>26</v>
      </c>
      <c r="E67" s="163"/>
      <c r="F67" s="1669"/>
      <c r="G67" s="1669"/>
      <c r="H67" s="150"/>
      <c r="I67" s="120"/>
      <c r="J67" s="337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1391</v>
      </c>
      <c r="C68" s="2353">
        <f ca="1">IF(C67&lt;=0,0,ROUND(C67*D68,0))</f>
        <v>10</v>
      </c>
      <c r="D68" s="2354">
        <f>'数据-取费表'!B41</f>
        <v>5.5000000000000007E-2</v>
      </c>
      <c r="E68" s="169"/>
      <c r="F68" s="1669"/>
      <c r="G68" s="1669"/>
      <c r="H68" s="150"/>
      <c r="I68" s="120"/>
      <c r="J68" s="3379"/>
      <c r="K68" s="1244" t="s">
        <v>1392</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379"/>
      <c r="K69" s="1244" t="s">
        <v>1393</v>
      </c>
      <c r="L69" s="1244"/>
      <c r="M69" s="293" t="e">
        <f>ROUND(SUM(M63:M68),0)</f>
        <v>#VALUE!</v>
      </c>
      <c r="N69" s="2330" t="e">
        <f>M69/M49</f>
        <v>#VALUE!</v>
      </c>
      <c r="Z69" s="1622"/>
      <c r="AI69" s="1560"/>
    </row>
    <row r="70" spans="1:35" s="641" customFormat="1" ht="14.4" thickBot="1">
      <c r="A70" s="3341" t="s">
        <v>1394</v>
      </c>
      <c r="B70" s="3342"/>
      <c r="C70" s="3342"/>
      <c r="D70" s="3342"/>
      <c r="E70" s="3342"/>
      <c r="F70" s="3342"/>
      <c r="G70" s="3342"/>
      <c r="H70" s="334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20" t="s">
        <v>1375</v>
      </c>
      <c r="B71" s="332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181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5" t="s">
        <v>1402</v>
      </c>
      <c r="F76" s="3289"/>
      <c r="G76" s="3289"/>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1</v>
      </c>
      <c r="D78" s="2361">
        <f>'数据-取费表'!B43</f>
        <v>5.000000000000001E-3</v>
      </c>
      <c r="E78" s="3299" t="s">
        <v>1406</v>
      </c>
      <c r="F78" s="3300"/>
      <c r="G78" s="3300"/>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328</v>
      </c>
      <c r="B79" s="165" t="s">
        <v>1407</v>
      </c>
      <c r="C79" s="2352">
        <f ca="1">C72-C73</f>
        <v>180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180</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108</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20" t="s">
        <v>1375</v>
      </c>
      <c r="B84" s="332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181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1</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81" t="s">
        <v>2129</v>
      </c>
      <c r="H90" s="3382"/>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99" t="s">
        <v>1422</v>
      </c>
      <c r="F92" s="3300"/>
      <c r="G92" s="3300"/>
      <c r="H92" s="3309"/>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1</v>
      </c>
      <c r="D93" s="2361">
        <f>'数据-取费表'!B43</f>
        <v>5.000000000000001E-3</v>
      </c>
      <c r="E93" s="3299" t="s">
        <v>1406</v>
      </c>
      <c r="F93" s="3300"/>
      <c r="G93" s="3300"/>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10" t="s">
        <v>1426</v>
      </c>
      <c r="F94" s="3311"/>
      <c r="G94" s="3311"/>
      <c r="H94" s="331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328</v>
      </c>
      <c r="B95" s="165" t="s">
        <v>1407</v>
      </c>
      <c r="C95" s="2352">
        <f ca="1">ROUND(C85-C86,0)</f>
        <v>180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180</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108</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3" t="s">
        <v>1428</v>
      </c>
      <c r="B100" s="3274"/>
      <c r="C100" s="3274"/>
      <c r="D100" s="3301"/>
      <c r="E100" s="3274" t="s">
        <v>1429</v>
      </c>
      <c r="F100" s="3274"/>
      <c r="G100" s="3274"/>
      <c r="H100" s="3301"/>
      <c r="I100" s="120"/>
    </row>
    <row r="101" spans="1:35" ht="18.75" customHeight="1">
      <c r="A101" s="3362" t="s">
        <v>1430</v>
      </c>
      <c r="B101" s="3363"/>
      <c r="C101" s="2369" t="str">
        <f>C4</f>
        <v>比较法-商业1号</v>
      </c>
      <c r="D101" s="2370" t="str">
        <f>D4</f>
        <v>收益法 (元)1号</v>
      </c>
      <c r="E101" s="3376" t="s">
        <v>1431</v>
      </c>
      <c r="F101" s="3333"/>
      <c r="G101" s="1686" t="s">
        <v>1432</v>
      </c>
      <c r="H101" s="2379">
        <f ca="1">H118</f>
        <v>190</v>
      </c>
      <c r="I101" s="120"/>
    </row>
    <row r="102" spans="1:35" ht="18.75" customHeight="1">
      <c r="A102" s="3335" t="s">
        <v>1433</v>
      </c>
      <c r="B102" s="2368" t="s">
        <v>1432</v>
      </c>
      <c r="C102" s="2369">
        <f ca="1">IF(D32="楼面单价",ROUND(C19,0),C19)</f>
        <v>253</v>
      </c>
      <c r="D102" s="2370">
        <f ca="1">IF(D32="楼面单价",ROUND(D19,0),D19)</f>
        <v>95</v>
      </c>
      <c r="E102" s="3376"/>
      <c r="F102" s="3333"/>
      <c r="G102" s="1686" t="s">
        <v>1434</v>
      </c>
      <c r="H102" s="2339">
        <f ca="1">I118</f>
        <v>12143</v>
      </c>
      <c r="I102" s="120"/>
    </row>
    <row r="103" spans="1:35" ht="42.75" customHeight="1">
      <c r="A103" s="3335"/>
      <c r="B103" s="2368" t="s">
        <v>1434</v>
      </c>
      <c r="C103" s="2371">
        <f ca="1">C20</f>
        <v>16201</v>
      </c>
      <c r="D103" s="2372">
        <f ca="1">D20</f>
        <v>6056</v>
      </c>
      <c r="E103" s="3370" t="s">
        <v>1435</v>
      </c>
      <c r="F103" s="3371"/>
      <c r="G103" s="1687" t="s">
        <v>1436</v>
      </c>
      <c r="H103" s="2379">
        <f>IF(D36="正常操作",H104+H105+H106,H105+H106)</f>
        <v>0</v>
      </c>
      <c r="I103" s="120"/>
    </row>
    <row r="104" spans="1:35" ht="18.75" customHeight="1">
      <c r="A104" s="3335" t="s">
        <v>1437</v>
      </c>
      <c r="B104" s="2373" t="s">
        <v>1432</v>
      </c>
      <c r="C104" s="2374">
        <f ca="1">H118</f>
        <v>190</v>
      </c>
      <c r="D104" s="2375"/>
      <c r="E104" s="1554" t="s">
        <v>1438</v>
      </c>
      <c r="F104" s="1547"/>
      <c r="G104" s="1687" t="s">
        <v>1436</v>
      </c>
      <c r="H104" s="2380">
        <f>IF(D36="同一抵押权人同一抵押物续贷",C36&amp;"（续贷，未扣减，详见特别提示）",C36)</f>
        <v>0</v>
      </c>
      <c r="I104" s="120"/>
    </row>
    <row r="105" spans="1:35" ht="18.75" customHeight="1" thickBot="1">
      <c r="A105" s="3336"/>
      <c r="B105" s="2376" t="s">
        <v>1434</v>
      </c>
      <c r="C105" s="2377">
        <f ca="1">I118</f>
        <v>12143</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32" t="str">
        <f>IF(项目基本情况!E8="已注销","——","3.房地产抵押价值")</f>
        <v>3.房地产抵押价值</v>
      </c>
      <c r="F107" s="3333"/>
      <c r="G107" s="1686" t="s">
        <v>1432</v>
      </c>
      <c r="H107" s="2379">
        <f ca="1">IF(E107="——","——",H101-H103)</f>
        <v>190</v>
      </c>
      <c r="I107" s="120"/>
    </row>
    <row r="108" spans="1:35" ht="18.75" customHeight="1">
      <c r="A108" s="120"/>
      <c r="B108" s="120"/>
      <c r="C108" s="120"/>
      <c r="D108" s="120"/>
      <c r="E108" s="3332"/>
      <c r="F108" s="3333"/>
      <c r="G108" s="1686" t="s">
        <v>1434</v>
      </c>
      <c r="H108" s="2339">
        <f ca="1">IF(H107=H101,H102,ROUND(H107*10000/'数据-汇总表'!E3,0))</f>
        <v>12143</v>
      </c>
      <c r="I108" s="120"/>
    </row>
    <row r="109" spans="1:35" ht="18.75" customHeight="1">
      <c r="A109" s="120"/>
      <c r="B109" s="120"/>
      <c r="C109" s="120"/>
      <c r="D109" s="120"/>
      <c r="E109" s="3332" t="str">
        <f>IF(项目基本情况!E8="已注销及未注销","4.抵押担保权已注销时的房地产抵押价值",IF(项目基本情况!E8="已注销","3.抵押担保权已注销时的房地产抵押价值","——"))</f>
        <v>——</v>
      </c>
      <c r="F109" s="3333"/>
      <c r="G109" s="1686" t="s">
        <v>1432</v>
      </c>
      <c r="H109" s="2382" t="str">
        <f>IF(E109="——","——",H101-H105-H106)</f>
        <v>——</v>
      </c>
      <c r="I109" s="120"/>
    </row>
    <row r="110" spans="1:35" ht="18.75" customHeight="1">
      <c r="A110" s="120"/>
      <c r="B110" s="120"/>
      <c r="C110" s="120"/>
      <c r="D110" s="120"/>
      <c r="E110" s="3332"/>
      <c r="F110" s="3333"/>
      <c r="G110" s="1686" t="s">
        <v>1434</v>
      </c>
      <c r="H110" s="2339" t="str">
        <f>IF(H109="——","——",ROUND(H109*10000/'数据-汇总表'!E3,0))</f>
        <v>——</v>
      </c>
      <c r="I110" s="120"/>
    </row>
    <row r="111" spans="1:35" ht="18.75" customHeight="1">
      <c r="A111" s="120"/>
      <c r="B111" s="120"/>
      <c r="C111" s="120"/>
      <c r="D111" s="120"/>
      <c r="E111" s="3364" t="str">
        <f>IF(项目基本情况!E9="抵押净值",IF(OR(项目基本情况!E8="已注销",项目基本情况!E8="房地产抵押价值"),"4.抵押净值","5.抵押净值"),"——")</f>
        <v>——</v>
      </c>
      <c r="F111" s="3334"/>
      <c r="G111" s="1686" t="s">
        <v>1432</v>
      </c>
      <c r="H111" s="2379" t="str">
        <f>IF(E111="——","——",N59)</f>
        <v>——</v>
      </c>
      <c r="I111" s="120"/>
    </row>
    <row r="112" spans="1:35" ht="18.75" customHeight="1" thickBot="1">
      <c r="A112" s="120"/>
      <c r="B112" s="120"/>
      <c r="C112" s="120"/>
      <c r="D112" s="120"/>
      <c r="E112" s="3365"/>
      <c r="F112" s="3366"/>
      <c r="G112" s="1689" t="s">
        <v>1434</v>
      </c>
      <c r="H112" s="2383" t="str">
        <f>IF(E111="——","——",N61)</f>
        <v>——</v>
      </c>
      <c r="I112" s="120"/>
    </row>
    <row r="113" spans="1:27" ht="18.75" customHeight="1">
      <c r="A113" s="120"/>
      <c r="B113" s="120"/>
      <c r="C113" s="120"/>
      <c r="D113" s="120"/>
      <c r="E113" s="3337" t="s">
        <v>1440</v>
      </c>
      <c r="F113" s="3337"/>
      <c r="G113" s="3337"/>
      <c r="H113" s="3337"/>
      <c r="I113" s="120"/>
    </row>
    <row r="114" spans="1:27" ht="3.75" customHeight="1">
      <c r="A114" s="645"/>
      <c r="B114" s="645"/>
      <c r="C114" s="645"/>
      <c r="D114" s="645"/>
      <c r="E114" s="1670"/>
      <c r="F114" s="1670"/>
      <c r="G114" s="1670"/>
      <c r="H114" s="1670"/>
      <c r="I114" s="645"/>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9" t="s">
        <v>1449</v>
      </c>
      <c r="E117" s="2149" t="s">
        <v>1450</v>
      </c>
      <c r="F117" s="2149" t="s">
        <v>1449</v>
      </c>
      <c r="G117" s="2149" t="s">
        <v>1451</v>
      </c>
      <c r="H117" s="2149" t="s">
        <v>1449</v>
      </c>
      <c r="I117" s="2149" t="s">
        <v>1451</v>
      </c>
    </row>
    <row r="118" spans="1:27" ht="24.75" customHeight="1">
      <c r="A118" s="2384" t="str">
        <f>项目基本情况!S2</f>
        <v>北京市延庆县燕水佳园14号楼1至2层1号、2号房地产</v>
      </c>
      <c r="B118" s="2149">
        <f>M18</f>
        <v>156.33000000000001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190</v>
      </c>
      <c r="I118" s="2149">
        <f ca="1">ROUND(IF(D32="楼面单价",C32,H118*10000/B118),0)</f>
        <v>12143</v>
      </c>
    </row>
    <row r="119" spans="1:27" ht="18.75" customHeight="1">
      <c r="A119" s="3303" t="s">
        <v>1452</v>
      </c>
      <c r="B119" s="3303"/>
      <c r="C119" s="3303"/>
      <c r="D119" s="3343" t="str">
        <f>NUMBERSTRING(INT(D118*10000),2)&amp;"元整"</f>
        <v>零元整</v>
      </c>
      <c r="E119" s="3345"/>
      <c r="F119" s="3343" t="str">
        <f>NUMBERSTRING(INT(F118*10000),2)&amp;"元整"</f>
        <v>零元整</v>
      </c>
      <c r="G119" s="3345"/>
      <c r="H119" s="3343" t="str">
        <f ca="1">NUMBERSTRING(INT(H118*10000),2)&amp;"元整"</f>
        <v>壹佰玖拾万元整</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3" t="s">
        <v>1452</v>
      </c>
      <c r="B121" s="3344"/>
      <c r="C121" s="3345"/>
      <c r="D121" s="3343" t="str">
        <f>IF(D120=0,"零元整",NUMBERSTRING(INT(D120*10000),2)&amp;"元整")</f>
        <v>零元整</v>
      </c>
      <c r="E121" s="3344"/>
      <c r="F121" s="3344"/>
      <c r="G121" s="3344"/>
      <c r="H121" s="3344"/>
      <c r="I121" s="3345"/>
      <c r="AA121" s="683"/>
    </row>
    <row r="122" spans="1:27" ht="18.75" customHeight="1">
      <c r="A122" s="3334" t="str">
        <f>IF(项目基本情况!B9="房地产市场价值","",MID(E107,3,LEN(E107)-2))</f>
        <v>房地产抵押价值</v>
      </c>
      <c r="B122" s="3334"/>
      <c r="C122" s="3334"/>
      <c r="D122" s="3367">
        <f ca="1">H107</f>
        <v>190</v>
      </c>
      <c r="E122" s="3368"/>
      <c r="F122" s="3368"/>
      <c r="G122" s="3368"/>
      <c r="H122" s="3368"/>
      <c r="I122" s="3369"/>
      <c r="AA122" s="683"/>
    </row>
    <row r="123" spans="1:27" ht="18.75" customHeight="1">
      <c r="A123" s="3303" t="s">
        <v>1452</v>
      </c>
      <c r="B123" s="3303"/>
      <c r="C123" s="3303"/>
      <c r="D123" s="3343" t="str">
        <f ca="1">NUMBERSTRING(INT(D122*10000),2)&amp;"元整"</f>
        <v>壹佰玖拾万元整</v>
      </c>
      <c r="E123" s="3344"/>
      <c r="F123" s="3344"/>
      <c r="G123" s="3344"/>
      <c r="H123" s="3344"/>
      <c r="I123" s="3345"/>
      <c r="AA123" s="683"/>
    </row>
    <row r="124" spans="1:27" ht="18.75" customHeight="1">
      <c r="A124" s="3334" t="str">
        <f>IF(项目基本情况!B9="房地产市场价值","",MID(E109,3,LEN(E109)-2))</f>
        <v/>
      </c>
      <c r="B124" s="3334"/>
      <c r="C124" s="3334"/>
      <c r="D124" s="3367" t="str">
        <f>H109</f>
        <v>——</v>
      </c>
      <c r="E124" s="3368"/>
      <c r="F124" s="3368"/>
      <c r="G124" s="3368"/>
      <c r="H124" s="3368"/>
      <c r="I124" s="3369"/>
      <c r="AA124" s="683"/>
    </row>
    <row r="125" spans="1:27" ht="18.75" customHeight="1">
      <c r="A125" s="3303" t="s">
        <v>1452</v>
      </c>
      <c r="B125" s="3303"/>
      <c r="C125" s="3303"/>
      <c r="D125" s="3343" t="e">
        <f>NUMBERSTRING(INT(D124*10000),2)&amp;"元整"</f>
        <v>#VALUE!</v>
      </c>
      <c r="E125" s="3344"/>
      <c r="F125" s="3344"/>
      <c r="G125" s="3344"/>
      <c r="H125" s="3344"/>
      <c r="I125" s="3345"/>
      <c r="AA125" s="683"/>
    </row>
    <row r="126" spans="1:27" ht="18.75" customHeight="1">
      <c r="A126" s="3334" t="str">
        <f>IF(项目基本情况!B9="房地产市场价值","",MID(E111,3,LEN(E111)-2))</f>
        <v/>
      </c>
      <c r="B126" s="3334"/>
      <c r="C126" s="3334"/>
      <c r="D126" s="3367" t="str">
        <f>H111</f>
        <v>——</v>
      </c>
      <c r="E126" s="3368"/>
      <c r="F126" s="3368"/>
      <c r="G126" s="3368"/>
      <c r="H126" s="3368"/>
      <c r="I126" s="3369"/>
      <c r="AA126" s="683"/>
    </row>
    <row r="127" spans="1:27" ht="18.75" customHeight="1">
      <c r="A127" s="3303" t="s">
        <v>1452</v>
      </c>
      <c r="B127" s="3303"/>
      <c r="C127" s="3303"/>
      <c r="D127" s="3343" t="e">
        <f>NUMBERSTRING(INT(D126*10000),2)&amp;"元整"</f>
        <v>#VALUE!</v>
      </c>
      <c r="E127" s="3344"/>
      <c r="F127" s="3344"/>
      <c r="G127" s="3344"/>
      <c r="H127" s="3344"/>
      <c r="I127" s="3345"/>
      <c r="AA127" s="683"/>
    </row>
    <row r="128" spans="1:27" ht="21.75" customHeight="1">
      <c r="A128" s="3350" t="s">
        <v>1453</v>
      </c>
      <c r="B128" s="3350"/>
      <c r="C128" s="3350"/>
      <c r="D128" s="3350"/>
      <c r="E128" s="3350"/>
      <c r="F128" s="3350"/>
      <c r="G128" s="3350"/>
      <c r="H128" s="3350"/>
      <c r="I128" s="335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6" stopIfTrue="1" operator="equal">
      <formula>25</formula>
    </cfRule>
  </conditionalFormatting>
  <conditionalFormatting sqref="C8:D13">
    <cfRule type="cellIs" dxfId="28" priority="5" stopIfTrue="1" operator="equal">
      <formula>15</formula>
    </cfRule>
  </conditionalFormatting>
  <conditionalFormatting sqref="C14:D16">
    <cfRule type="cellIs" dxfId="27" priority="4"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xr:uid="{C86864F9-CDA0-4C99-91DE-CEFBBC66CCB8}">
      <formula1>"0,5%,10%"</formula1>
    </dataValidation>
    <dataValidation type="list" allowBlank="1" showInputMessage="1" showErrorMessage="1" sqref="H59" xr:uid="{466D97D4-6E93-434C-9C87-C212884DCF7F}">
      <formula1>"非个人房产,个人住宅（满五唯一有凭证）,个人其他（有凭证）,个人其他（无凭证）"</formula1>
    </dataValidation>
    <dataValidation type="list" allowBlank="1" showInputMessage="1" showErrorMessage="1" sqref="E103" xr:uid="{25BAD258-8C44-4C33-81D4-A91D28ACB64C}">
      <formula1>"2.估价师知悉的法定优先受偿款,2.估价师知悉的除抵押担保权以外的法定优先受偿款"</formula1>
    </dataValidation>
    <dataValidation type="list" allowBlank="1" showInputMessage="1" showErrorMessage="1" sqref="G77" xr:uid="{241D102B-FC45-4972-A4A4-6D29A397DD08}">
      <formula1>"个人住宅,2016年5月1日前购买,2016年5月1日后购买"</formula1>
    </dataValidation>
    <dataValidation type="list" allowBlank="1" showInputMessage="1" showErrorMessage="1" sqref="C1" xr:uid="{9B5BD5BA-E626-4024-A5E0-76D6C6BE0AEC}">
      <formula1>项目类型</formula1>
    </dataValidation>
    <dataValidation type="list" allowBlank="1" showInputMessage="1" showErrorMessage="1" sqref="I1" xr:uid="{B914D605-8A83-4F2F-AEDD-04E033B8ABAC}">
      <formula1>"项目局部,项目全部,——"</formula1>
    </dataValidation>
    <dataValidation type="list" showInputMessage="1" showErrorMessage="1" sqref="G1" xr:uid="{23BE5124-129D-42EF-864E-0F4E4BF4C02D}">
      <formula1>"现房,在建,土地,-"</formula1>
    </dataValidation>
    <dataValidation type="list" allowBlank="1" showInputMessage="1" showErrorMessage="1" sqref="C129" xr:uid="{6FF1E40A-6A46-4B6E-8457-386C4EB2B10A}">
      <formula1>"无,有"</formula1>
    </dataValidation>
    <dataValidation type="list" allowBlank="1" showInputMessage="1" showErrorMessage="1" sqref="F116:G116" xr:uid="{1E4FBBD6-D765-41C3-ABA4-CED246E89967}">
      <formula1>"建筑物价值,在建建筑物价值,建筑物/在建建筑物价值"</formula1>
    </dataValidation>
    <dataValidation type="list" allowBlank="1" showInputMessage="1" showErrorMessage="1" sqref="D116:E116" xr:uid="{9A01CC29-49BC-4794-A5AE-3CD1D1832538}">
      <formula1>"出让国有建设用地使用权价值,划拨国有建设用地使用权价值"</formula1>
    </dataValidation>
    <dataValidation type="list" allowBlank="1" showInputMessage="1" showErrorMessage="1" sqref="C116:C117" xr:uid="{046BA779-35A9-4B33-90EC-A622FE1F8EB7}">
      <formula1>"土地面积,分摊土地面积,（分摊）土地面积"</formula1>
    </dataValidation>
    <dataValidation type="list" allowBlank="1" showInputMessage="1" showErrorMessage="1" sqref="B116:B117" xr:uid="{8EDD96BE-7EDF-43A7-993A-215B5C2D5447}">
      <formula1>"建筑面积,规划建筑面积,（规划）建筑面积"</formula1>
    </dataValidation>
    <dataValidation type="list" allowBlank="1" showInputMessage="1" showErrorMessage="1" sqref="D36" xr:uid="{C6CF59BA-ADEE-4EFD-9F24-9404E048B99C}">
      <formula1>"同一抵押权人同一抵押物续贷,注销后放款,正常操作"</formula1>
    </dataValidation>
    <dataValidation type="list" allowBlank="1" showInputMessage="1" showErrorMessage="1" sqref="F75" xr:uid="{FB952EBA-FB53-4F50-BE6C-01BE3D9CD3E3}">
      <formula1>"买卖合同,购房发票"</formula1>
    </dataValidation>
    <dataValidation type="list" allowBlank="1" showInputMessage="1" showErrorMessage="1" sqref="H88" xr:uid="{F07F3DB5-5E2F-4AD7-B23B-C68B9ADAE6F5}">
      <formula1>"仅含出让金,出让金+开发费"</formula1>
    </dataValidation>
    <dataValidation type="list" allowBlank="1" showInputMessage="1" showErrorMessage="1" sqref="H91" xr:uid="{197B6316-3C8C-4C95-8D3B-A736E01CB5F9}">
      <formula1>"企业提供（在右侧录入）,——"</formula1>
    </dataValidation>
    <dataValidation type="list" allowBlank="1" showInputMessage="1" showErrorMessage="1" sqref="C33" xr:uid="{CEADA4A4-D03A-4E35-A85B-2B3DA1C36C17}">
      <formula1>"成本比率,收益比率,自定义"</formula1>
    </dataValidation>
    <dataValidation type="list" allowBlank="1" showInputMessage="1" showErrorMessage="1" sqref="F45" xr:uid="{A03A1EEF-0483-4F20-ACDC-D2B7631E16B9}">
      <formula1>"100%,70%,56%"</formula1>
    </dataValidation>
    <dataValidation type="list" allowBlank="1" showInputMessage="1" showErrorMessage="1" sqref="D32" xr:uid="{324E7364-142B-48D1-A400-184F5D60D8FF}">
      <formula1>"总价,楼面单价"</formula1>
    </dataValidation>
    <dataValidation type="list" allowBlank="1" showInputMessage="1" showErrorMessage="1" sqref="H58" xr:uid="{8F6050FB-1F98-4E5E-AC22-761A5031DF39}">
      <formula1>"转让取得,自行开发建设"</formula1>
    </dataValidation>
    <dataValidation type="list" allowBlank="1" showInputMessage="1" showErrorMessage="1" sqref="H48" xr:uid="{ED14F503-987F-403F-9167-5CE55F32D9B4}">
      <formula1>"情况1,情况2,情况3,情况4"</formula1>
    </dataValidation>
    <dataValidation type="list" allowBlank="1" showInputMessage="1" showErrorMessage="1" sqref="H55:H56" xr:uid="{D76E08F3-509B-4073-8D78-D30E1CE6CFC8}">
      <formula1>"个人住宅,正常"</formula1>
    </dataValidation>
    <dataValidation type="list" allowBlank="1" showInputMessage="1" showErrorMessage="1" sqref="C4:D4 D33" xr:uid="{535E97D7-37C4-48DD-8748-6D85A25287F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90"/>
      <c r="B4" s="3191" t="s">
        <v>917</v>
      </c>
      <c r="C4" s="3191"/>
      <c r="D4" s="3191"/>
      <c r="E4" s="1390"/>
    </row>
    <row r="5" spans="1:5" ht="16.2" thickTop="1">
      <c r="B5" s="3189" t="s">
        <v>909</v>
      </c>
      <c r="C5" s="1391" t="s">
        <v>910</v>
      </c>
      <c r="D5" s="796">
        <f ca="1">结果表1号!H101</f>
        <v>190</v>
      </c>
    </row>
    <row r="6" spans="1:5" ht="15.6">
      <c r="B6" s="3189"/>
      <c r="C6" s="1391" t="s">
        <v>911</v>
      </c>
      <c r="D6" s="796" t="str">
        <f ca="1">NUMBERSTRING(INT(D5*10000),2)&amp;"元整"</f>
        <v>壹佰玖拾万元整</v>
      </c>
    </row>
    <row r="7" spans="1:5" ht="15.6">
      <c r="B7" s="3194"/>
      <c r="C7" s="1392" t="s">
        <v>912</v>
      </c>
      <c r="D7" s="797">
        <f ca="1">结果表1号!H102</f>
        <v>12143</v>
      </c>
    </row>
    <row r="8" spans="1:5" ht="15.6">
      <c r="B8" s="3195" t="str">
        <f>结果表1号!E103</f>
        <v>2.估价师知悉的法定优先受偿款</v>
      </c>
      <c r="C8" s="1393" t="s">
        <v>913</v>
      </c>
      <c r="D8" s="797">
        <f>结果表1号!H103</f>
        <v>0</v>
      </c>
    </row>
    <row r="9" spans="1:5" ht="15.6">
      <c r="B9" s="3197"/>
      <c r="C9" s="1391" t="s">
        <v>911</v>
      </c>
      <c r="D9" s="796" t="str">
        <f>NUMBERSTRING(INT(D8*10000),2)&amp;"元整"</f>
        <v>零元整</v>
      </c>
    </row>
    <row r="10" spans="1:5" ht="15.6">
      <c r="B10" s="1394" t="s">
        <v>916</v>
      </c>
      <c r="C10" s="1395" t="s">
        <v>914</v>
      </c>
      <c r="D10" s="798">
        <f>结果表1号!H104</f>
        <v>0</v>
      </c>
    </row>
    <row r="11" spans="1:5" ht="15.6">
      <c r="B11" s="1394" t="s">
        <v>918</v>
      </c>
      <c r="C11" s="1395" t="s">
        <v>919</v>
      </c>
      <c r="D11" s="798">
        <f>结果表1号!H105</f>
        <v>0</v>
      </c>
    </row>
    <row r="12" spans="1:5" ht="15.6">
      <c r="B12" s="1394" t="s">
        <v>920</v>
      </c>
      <c r="C12" s="1395" t="s">
        <v>919</v>
      </c>
      <c r="D12" s="798">
        <f>结果表1号!H106</f>
        <v>0</v>
      </c>
    </row>
    <row r="13" spans="1:5" ht="15.6">
      <c r="B13" s="3188" t="str">
        <f>结果表1号!E107</f>
        <v>3.房地产抵押价值</v>
      </c>
      <c r="C13" s="1396" t="s">
        <v>910</v>
      </c>
      <c r="D13" s="799">
        <f ca="1">结果表1号!H107</f>
        <v>190</v>
      </c>
    </row>
    <row r="14" spans="1:5" ht="15.6">
      <c r="B14" s="3189"/>
      <c r="C14" s="1391" t="s">
        <v>911</v>
      </c>
      <c r="D14" s="796" t="str">
        <f ca="1">NUMBERSTRING(INT(D13*10000),2)&amp;"元整"</f>
        <v>壹佰玖拾万元整</v>
      </c>
    </row>
    <row r="15" spans="1:5" ht="15.6">
      <c r="B15" s="3194"/>
      <c r="C15" s="1392" t="s">
        <v>921</v>
      </c>
      <c r="D15" s="805">
        <f ca="1">结果表1号!H108</f>
        <v>12143</v>
      </c>
    </row>
    <row r="16" spans="1:5" ht="15.6">
      <c r="B16" s="3195" t="str">
        <f>结果表1号!E109</f>
        <v>——</v>
      </c>
      <c r="C16" s="1396" t="s">
        <v>922</v>
      </c>
      <c r="D16" s="1397" t="str">
        <f>结果表1号!H109</f>
        <v>——</v>
      </c>
    </row>
    <row r="17" spans="1:5" ht="15.6">
      <c r="B17" s="3196"/>
      <c r="C17" s="1391" t="s">
        <v>923</v>
      </c>
      <c r="D17" s="796" t="e">
        <f>NUMBERSTRING(INT(D16*10000),2)&amp;"元整"</f>
        <v>#VALUE!</v>
      </c>
    </row>
    <row r="18" spans="1:5" ht="15.6">
      <c r="B18" s="3197"/>
      <c r="C18" s="1392" t="s">
        <v>912</v>
      </c>
      <c r="D18" s="805" t="str">
        <f>结果表1号!H110</f>
        <v>——</v>
      </c>
    </row>
    <row r="19" spans="1:5" ht="15.6">
      <c r="B19" s="3188" t="str">
        <f>结果表1号!E111</f>
        <v>——</v>
      </c>
      <c r="C19" s="1396" t="s">
        <v>910</v>
      </c>
      <c r="D19" s="797" t="str">
        <f>结果表1号!H111</f>
        <v>——</v>
      </c>
    </row>
    <row r="20" spans="1:5" ht="15.6">
      <c r="B20" s="3189"/>
      <c r="C20" s="1391" t="s">
        <v>923</v>
      </c>
      <c r="D20" s="796" t="e">
        <f>NUMBERSTRING(INT(D19*10000),2)&amp;"元整"</f>
        <v>#VALUE!</v>
      </c>
    </row>
    <row r="21" spans="1:5" ht="16.2" thickBot="1">
      <c r="B21" s="3190"/>
      <c r="C21" s="1398" t="s">
        <v>921</v>
      </c>
      <c r="D21" s="806" t="str">
        <f>结果表1号!H112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D1B8-0C59-413D-8C65-E720F6E09F68}">
  <sheetPr>
    <tabColor rgb="FF92D050"/>
    <pageSetUpPr fitToPage="1"/>
  </sheetPr>
  <dimension ref="A1:AC131"/>
  <sheetViews>
    <sheetView view="pageBreakPreview" topLeftCell="A25" zoomScale="70" zoomScaleNormal="70" zoomScaleSheetLayoutView="70" workbookViewId="0">
      <selection activeCell="C34" sqref="C34"/>
    </sheetView>
  </sheetViews>
  <sheetFormatPr defaultColWidth="9" defaultRowHeight="13.8"/>
  <cols>
    <col min="1" max="1" width="10.44140625" style="346" customWidth="1"/>
    <col min="2" max="2" width="15.77734375" style="346" customWidth="1"/>
    <col min="3" max="3" width="18.33203125" style="346" customWidth="1"/>
    <col min="4" max="4" width="12.21875" style="346" customWidth="1"/>
    <col min="5" max="5" width="17.6640625" style="346" customWidth="1"/>
    <col min="6" max="6" width="12.21875" style="346" customWidth="1"/>
    <col min="7" max="7" width="17.88671875" style="346" customWidth="1"/>
    <col min="8" max="8" width="12.21875" style="346" customWidth="1"/>
    <col min="9" max="9" width="16.7773437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3556</v>
      </c>
      <c r="E1" s="3122" t="s">
        <v>3410</v>
      </c>
      <c r="F1" s="1734" t="s">
        <v>3411</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253.27019999999999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16201</v>
      </c>
      <c r="C3" s="343" t="s">
        <v>1665</v>
      </c>
      <c r="D3" s="342">
        <f>IF(D1="",'数据-汇总表'!E3,SUMIF('数据-汇总表'!$C19:$C33,D1,'数据-汇总表'!$E19:$E33))</f>
        <v>156.33000000000001</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1666</v>
      </c>
      <c r="B4" s="345"/>
      <c r="C4" s="3401" t="s">
        <v>1667</v>
      </c>
      <c r="D4" s="3402"/>
      <c r="E4" s="3403" t="s">
        <v>1668</v>
      </c>
      <c r="F4" s="3404"/>
      <c r="G4" s="3401" t="s">
        <v>1669</v>
      </c>
      <c r="H4" s="3402"/>
      <c r="I4" s="3401" t="s">
        <v>1670</v>
      </c>
      <c r="J4" s="3402"/>
      <c r="K4" s="536" t="s">
        <v>1671</v>
      </c>
      <c r="L4" s="2484"/>
      <c r="M4" s="2485"/>
      <c r="N4" s="2485"/>
      <c r="O4" s="2485"/>
      <c r="P4" s="3405" t="s">
        <v>1672</v>
      </c>
      <c r="Q4" s="3406"/>
      <c r="R4" s="3411" t="s">
        <v>1668</v>
      </c>
      <c r="S4" s="3412"/>
      <c r="T4" s="3411" t="s">
        <v>1669</v>
      </c>
      <c r="U4" s="3412"/>
      <c r="V4" s="3384" t="s">
        <v>1670</v>
      </c>
      <c r="W4" s="3384"/>
      <c r="X4" s="1264"/>
      <c r="Y4" s="3411" t="s">
        <v>1672</v>
      </c>
      <c r="Z4" s="3412"/>
      <c r="AA4" s="3398" t="s">
        <v>1668</v>
      </c>
      <c r="AB4" s="3384" t="s">
        <v>1669</v>
      </c>
      <c r="AC4" s="3398" t="s">
        <v>1670</v>
      </c>
    </row>
    <row r="5" spans="1:29">
      <c r="A5" s="347"/>
      <c r="B5" s="348"/>
      <c r="C5" s="3424" t="s">
        <v>3512</v>
      </c>
      <c r="D5" s="3420"/>
      <c r="E5" s="3427" t="str">
        <f>案例!A21</f>
        <v>辉煌云上</v>
      </c>
      <c r="F5" s="3428"/>
      <c r="G5" s="3419" t="str">
        <f>案例!N27</f>
        <v>城建万科城</v>
      </c>
      <c r="H5" s="3420"/>
      <c r="I5" s="3419" t="str">
        <f>G5</f>
        <v>城建万科城</v>
      </c>
      <c r="J5" s="3420"/>
      <c r="K5" s="536"/>
      <c r="L5" s="2484"/>
      <c r="M5" s="2485"/>
      <c r="N5" s="2485"/>
      <c r="O5" s="2485"/>
      <c r="P5" s="3407"/>
      <c r="Q5" s="3408"/>
      <c r="R5" s="3413"/>
      <c r="S5" s="3414"/>
      <c r="T5" s="3413"/>
      <c r="U5" s="3414"/>
      <c r="V5" s="3384"/>
      <c r="W5" s="3384"/>
      <c r="X5" s="1264"/>
      <c r="Y5" s="3413"/>
      <c r="Z5" s="3414"/>
      <c r="AA5" s="3399"/>
      <c r="AB5" s="3384"/>
      <c r="AC5" s="3399"/>
    </row>
    <row r="6" spans="1:29" ht="15" thickBot="1">
      <c r="A6" s="349"/>
      <c r="B6" s="350"/>
      <c r="C6" s="3417" t="s">
        <v>1677</v>
      </c>
      <c r="D6" s="3418"/>
      <c r="E6" s="3425" t="s">
        <v>1677</v>
      </c>
      <c r="F6" s="3426"/>
      <c r="G6" s="3417" t="s">
        <v>1677</v>
      </c>
      <c r="H6" s="3418"/>
      <c r="I6" s="3417" t="s">
        <v>1677</v>
      </c>
      <c r="J6" s="3418"/>
      <c r="K6" s="536" t="s">
        <v>1678</v>
      </c>
      <c r="L6" s="2484"/>
      <c r="M6" s="2485"/>
      <c r="N6" s="2485"/>
      <c r="O6" s="2485"/>
      <c r="P6" s="3409"/>
      <c r="Q6" s="3410"/>
      <c r="R6" s="3413"/>
      <c r="S6" s="3414"/>
      <c r="T6" s="3415"/>
      <c r="U6" s="3416"/>
      <c r="V6" s="3384"/>
      <c r="W6" s="3384"/>
      <c r="X6" s="1264"/>
      <c r="Y6" s="3415"/>
      <c r="Z6" s="3416"/>
      <c r="AA6" s="3400"/>
      <c r="AB6" s="3384"/>
      <c r="AC6" s="3400"/>
    </row>
    <row r="7" spans="1:29" s="101" customFormat="1" ht="15" thickBot="1">
      <c r="A7" s="351" t="s">
        <v>1679</v>
      </c>
      <c r="B7" s="352"/>
      <c r="C7" s="353">
        <f>'数据-取费表'!B2</f>
        <v>45562</v>
      </c>
      <c r="D7" s="354">
        <v>100</v>
      </c>
      <c r="E7" s="355">
        <f>案例!$B$22</f>
        <v>45523.333831018521</v>
      </c>
      <c r="F7" s="356">
        <f>SUMIF(58:58,YEAR(E7)&amp;"-"&amp;MONTH(E7),59:59)</f>
        <v>100</v>
      </c>
      <c r="G7" s="355">
        <v>45536</v>
      </c>
      <c r="H7" s="354">
        <f>SUMIF(58:58,YEAR(G7)&amp;"-"&amp;MONTH(G7),59:59)</f>
        <v>100</v>
      </c>
      <c r="I7" s="355">
        <f>G7</f>
        <v>45536</v>
      </c>
      <c r="J7" s="354">
        <f>SUMIF(58:58,YEAR(I7)&amp;"-"&amp;MONTH(I7),59:59)</f>
        <v>100</v>
      </c>
      <c r="K7" s="38"/>
      <c r="L7" s="2486"/>
      <c r="M7" s="2438"/>
      <c r="N7" s="2438"/>
      <c r="O7" s="2438"/>
      <c r="P7" s="3421" t="s">
        <v>1680</v>
      </c>
      <c r="Q7" s="3423"/>
      <c r="R7" s="663" t="s">
        <v>14</v>
      </c>
      <c r="S7" s="664">
        <f t="shared" ref="S7:S15" si="0">F7</f>
        <v>100</v>
      </c>
      <c r="T7" s="663" t="s">
        <v>14</v>
      </c>
      <c r="U7" s="664">
        <f t="shared" ref="U7:U15" si="1">H7</f>
        <v>100</v>
      </c>
      <c r="V7" s="663" t="s">
        <v>14</v>
      </c>
      <c r="W7" s="664">
        <f t="shared" ref="W7:W15" si="2">J7</f>
        <v>100</v>
      </c>
      <c r="X7" s="665"/>
      <c r="Y7" s="3421" t="s">
        <v>1680</v>
      </c>
      <c r="Z7" s="3422"/>
      <c r="AA7" s="50">
        <f>D7/F7</f>
        <v>1</v>
      </c>
      <c r="AB7" s="50">
        <f>D7/H7</f>
        <v>1</v>
      </c>
      <c r="AC7" s="50">
        <f>D7/J7</f>
        <v>1</v>
      </c>
    </row>
    <row r="8" spans="1:29" s="101" customFormat="1" ht="15" thickBot="1">
      <c r="A8" s="351" t="s">
        <v>1681</v>
      </c>
      <c r="B8" s="352"/>
      <c r="C8" s="357" t="s">
        <v>3412</v>
      </c>
      <c r="D8" s="354">
        <v>100</v>
      </c>
      <c r="E8" s="357" t="s">
        <v>3412</v>
      </c>
      <c r="F8" s="356">
        <f>SUMIF(61:61,E8,62:62)-SUMIF(61:61,C8,62:62)+100</f>
        <v>100</v>
      </c>
      <c r="G8" s="357" t="s">
        <v>3414</v>
      </c>
      <c r="H8" s="354">
        <f>SUMIF(61:61,G8,62:62)-SUMIF(61:61,C8,62:62)+100</f>
        <v>102</v>
      </c>
      <c r="I8" s="357" t="s">
        <v>3414</v>
      </c>
      <c r="J8" s="354">
        <f>SUMIF(61:61,I8,62:62)-SUMIF(61:61,C8,62:62)+100</f>
        <v>102</v>
      </c>
      <c r="K8" s="38"/>
      <c r="L8" s="2486"/>
      <c r="M8" s="2438"/>
      <c r="N8" s="2438"/>
      <c r="O8" s="2438"/>
      <c r="P8" s="3421" t="s">
        <v>1683</v>
      </c>
      <c r="Q8" s="3422"/>
      <c r="R8" s="663" t="s">
        <v>14</v>
      </c>
      <c r="S8" s="664">
        <f t="shared" si="0"/>
        <v>100</v>
      </c>
      <c r="T8" s="663" t="s">
        <v>14</v>
      </c>
      <c r="U8" s="664">
        <f t="shared" si="1"/>
        <v>102</v>
      </c>
      <c r="V8" s="663" t="s">
        <v>14</v>
      </c>
      <c r="W8" s="664">
        <f t="shared" si="2"/>
        <v>102</v>
      </c>
      <c r="X8" s="665"/>
      <c r="Y8" s="3421" t="s">
        <v>1683</v>
      </c>
      <c r="Z8" s="3422"/>
      <c r="AA8" s="50">
        <f t="shared" ref="AA8:AA46" si="3">D8/F8</f>
        <v>1</v>
      </c>
      <c r="AB8" s="50">
        <f t="shared" ref="AB8:AB46" si="4">D8/H8</f>
        <v>0.98039215686274506</v>
      </c>
      <c r="AC8" s="50">
        <f t="shared" ref="AC8:AC46" si="5">D8/J8</f>
        <v>0.98039215686274506</v>
      </c>
    </row>
    <row r="9" spans="1:29" s="101" customFormat="1" ht="14.4">
      <c r="A9" s="358" t="s">
        <v>1684</v>
      </c>
      <c r="B9" s="60" t="s">
        <v>1685</v>
      </c>
      <c r="C9" s="3154" t="s">
        <v>3413</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97" t="s">
        <v>1686</v>
      </c>
      <c r="Q9" s="529" t="str">
        <f t="shared" ref="Q9:Q15" si="6">B9</f>
        <v>用途</v>
      </c>
      <c r="R9" s="663" t="s">
        <v>14</v>
      </c>
      <c r="S9" s="664">
        <f t="shared" si="0"/>
        <v>100</v>
      </c>
      <c r="T9" s="663" t="s">
        <v>14</v>
      </c>
      <c r="U9" s="664">
        <f t="shared" si="1"/>
        <v>100</v>
      </c>
      <c r="V9" s="663" t="s">
        <v>14</v>
      </c>
      <c r="W9" s="664">
        <f t="shared" si="2"/>
        <v>100</v>
      </c>
      <c r="X9" s="665"/>
      <c r="Y9" s="329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97"/>
      <c r="Q10" s="529" t="str">
        <f t="shared" si="6"/>
        <v>土地使用年限（年）</v>
      </c>
      <c r="R10" s="663" t="s">
        <v>14</v>
      </c>
      <c r="S10" s="664">
        <f t="shared" si="0"/>
        <v>100</v>
      </c>
      <c r="T10" s="663" t="s">
        <v>14</v>
      </c>
      <c r="U10" s="664">
        <f t="shared" si="1"/>
        <v>100</v>
      </c>
      <c r="V10" s="663" t="s">
        <v>14</v>
      </c>
      <c r="W10" s="664">
        <f t="shared" si="2"/>
        <v>100</v>
      </c>
      <c r="X10" s="665"/>
      <c r="Y10" s="329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97"/>
      <c r="Q11" s="529" t="str">
        <f t="shared" si="6"/>
        <v>容积率</v>
      </c>
      <c r="R11" s="663" t="s">
        <v>14</v>
      </c>
      <c r="S11" s="664">
        <f t="shared" si="0"/>
        <v>100</v>
      </c>
      <c r="T11" s="663" t="s">
        <v>14</v>
      </c>
      <c r="U11" s="664">
        <f t="shared" si="1"/>
        <v>100</v>
      </c>
      <c r="V11" s="663" t="s">
        <v>14</v>
      </c>
      <c r="W11" s="664">
        <f t="shared" si="2"/>
        <v>100</v>
      </c>
      <c r="X11" s="665"/>
      <c r="Y11" s="329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97"/>
      <c r="Q12" s="529">
        <f t="shared" si="6"/>
        <v>111</v>
      </c>
      <c r="R12" s="663" t="s">
        <v>14</v>
      </c>
      <c r="S12" s="664">
        <f t="shared" si="0"/>
        <v>100</v>
      </c>
      <c r="T12" s="663" t="s">
        <v>14</v>
      </c>
      <c r="U12" s="664">
        <f t="shared" si="1"/>
        <v>100</v>
      </c>
      <c r="V12" s="663" t="s">
        <v>14</v>
      </c>
      <c r="W12" s="664">
        <f t="shared" si="2"/>
        <v>100</v>
      </c>
      <c r="X12" s="665"/>
      <c r="Y12" s="329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97"/>
      <c r="Q13" s="529">
        <f t="shared" si="6"/>
        <v>111</v>
      </c>
      <c r="R13" s="663" t="s">
        <v>14</v>
      </c>
      <c r="S13" s="664">
        <f t="shared" si="0"/>
        <v>100</v>
      </c>
      <c r="T13" s="663" t="s">
        <v>14</v>
      </c>
      <c r="U13" s="664">
        <f t="shared" si="1"/>
        <v>100</v>
      </c>
      <c r="V13" s="663" t="s">
        <v>14</v>
      </c>
      <c r="W13" s="664">
        <f t="shared" si="2"/>
        <v>100</v>
      </c>
      <c r="X13" s="665"/>
      <c r="Y13" s="329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97"/>
      <c r="Q14" s="529">
        <f t="shared" si="6"/>
        <v>111</v>
      </c>
      <c r="R14" s="663" t="s">
        <v>14</v>
      </c>
      <c r="S14" s="664">
        <f t="shared" si="0"/>
        <v>100</v>
      </c>
      <c r="T14" s="663" t="s">
        <v>14</v>
      </c>
      <c r="U14" s="664">
        <f t="shared" si="1"/>
        <v>100</v>
      </c>
      <c r="V14" s="663" t="s">
        <v>14</v>
      </c>
      <c r="W14" s="664">
        <f t="shared" si="2"/>
        <v>100</v>
      </c>
      <c r="X14" s="665"/>
      <c r="Y14" s="3290"/>
      <c r="Z14" s="50">
        <f t="shared" si="7"/>
        <v>111</v>
      </c>
      <c r="AA14" s="50">
        <f t="shared" si="3"/>
        <v>1</v>
      </c>
      <c r="AB14" s="50">
        <f t="shared" si="4"/>
        <v>1</v>
      </c>
      <c r="AC14" s="50">
        <f t="shared" si="5"/>
        <v>1</v>
      </c>
    </row>
    <row r="15" spans="1:29" ht="69">
      <c r="A15" s="378" t="s">
        <v>1690</v>
      </c>
      <c r="B15" s="58" t="s">
        <v>1777</v>
      </c>
      <c r="C15" s="1749" t="str">
        <f>估价对象房地状况!C4</f>
        <v>估价对象2公里范围内有百品尚购物中心，周边商业氛围一般，人流量一般，商业繁华一般</v>
      </c>
      <c r="D15" s="379">
        <v>100</v>
      </c>
      <c r="E15" s="3173" t="s">
        <v>3544</v>
      </c>
      <c r="F15" s="381">
        <f>SUMIF(76:76,E16,77:77)-SUMIF(76:76,C16,77:77)+100</f>
        <v>102</v>
      </c>
      <c r="G15" s="3174" t="s">
        <v>3545</v>
      </c>
      <c r="H15" s="379">
        <f>SUMIF(76:76,G16,77:77)-SUMIF(76:76,C16,77:77)+100</f>
        <v>98</v>
      </c>
      <c r="I15" s="3174" t="s">
        <v>3545</v>
      </c>
      <c r="J15" s="379">
        <f>SUMIF(76:76,I16,77:77)-SUMIF(76:76,C16,77:77)+100</f>
        <v>98</v>
      </c>
      <c r="K15" s="539">
        <v>2</v>
      </c>
      <c r="L15" s="2490"/>
      <c r="M15" s="2485"/>
      <c r="N15" s="2485"/>
      <c r="O15" s="2485"/>
      <c r="P15" s="3388" t="s">
        <v>1691</v>
      </c>
      <c r="Q15" s="1262" t="str">
        <f t="shared" si="6"/>
        <v>商业繁华度</v>
      </c>
      <c r="R15" s="666" t="s">
        <v>14</v>
      </c>
      <c r="S15" s="667">
        <f t="shared" si="0"/>
        <v>102</v>
      </c>
      <c r="T15" s="666" t="s">
        <v>14</v>
      </c>
      <c r="U15" s="667">
        <f t="shared" si="1"/>
        <v>98</v>
      </c>
      <c r="V15" s="666" t="s">
        <v>14</v>
      </c>
      <c r="W15" s="667">
        <f t="shared" si="2"/>
        <v>98</v>
      </c>
      <c r="X15" s="1264"/>
      <c r="Y15" s="3390" t="s">
        <v>1691</v>
      </c>
      <c r="Z15" s="1263" t="str">
        <f t="shared" si="7"/>
        <v>商业繁华度</v>
      </c>
      <c r="AA15" s="1263">
        <f t="shared" si="3"/>
        <v>0.98039215686274506</v>
      </c>
      <c r="AB15" s="1263">
        <f t="shared" si="4"/>
        <v>1.0204081632653061</v>
      </c>
      <c r="AC15" s="1263">
        <f t="shared" si="5"/>
        <v>1.0204081632653061</v>
      </c>
    </row>
    <row r="16" spans="1:29" ht="15">
      <c r="A16" s="366"/>
      <c r="B16" s="384"/>
      <c r="C16" s="385" t="s">
        <v>3424</v>
      </c>
      <c r="D16" s="386"/>
      <c r="E16" s="385" t="s">
        <v>3425</v>
      </c>
      <c r="F16" s="387"/>
      <c r="G16" s="385" t="s">
        <v>3430</v>
      </c>
      <c r="H16" s="388"/>
      <c r="I16" s="385" t="s">
        <v>3430</v>
      </c>
      <c r="J16" s="386"/>
      <c r="K16" s="540"/>
      <c r="L16" s="2490"/>
      <c r="M16" s="2485"/>
      <c r="N16" s="2485"/>
      <c r="O16" s="2485"/>
      <c r="P16" s="3389"/>
      <c r="Q16" s="1262"/>
      <c r="R16" s="666"/>
      <c r="S16" s="667"/>
      <c r="T16" s="666"/>
      <c r="U16" s="667"/>
      <c r="V16" s="666"/>
      <c r="W16" s="667"/>
      <c r="X16" s="1264"/>
      <c r="Y16" s="3391"/>
      <c r="Z16" s="1263"/>
      <c r="AA16" s="1263">
        <v>1</v>
      </c>
      <c r="AB16" s="1263">
        <v>1</v>
      </c>
      <c r="AC16" s="1263">
        <v>1</v>
      </c>
    </row>
    <row r="17" spans="1:29" ht="96.6">
      <c r="A17" s="366"/>
      <c r="B17" s="389" t="s">
        <v>1259</v>
      </c>
      <c r="C17" s="1753" t="str">
        <f>估价对象房地状况!C6</f>
        <v>估价对象临城市主干道--妫川路，周边有Y9路、919路、920路公交车，门口可停车，停车便捷程度较好，综合评价交通便捷度一般</v>
      </c>
      <c r="D17" s="388">
        <v>100</v>
      </c>
      <c r="E17" s="390" t="s">
        <v>3504</v>
      </c>
      <c r="F17" s="391">
        <f>SUMIF(78:78,E18,79:79)-SUMIF(78:78,C18,79:79)+100</f>
        <v>100</v>
      </c>
      <c r="G17" s="392" t="s">
        <v>3509</v>
      </c>
      <c r="H17" s="393">
        <f>SUMIF(78:78,G18,79:79)-SUMIF(78:78,C18,79:79)+100</f>
        <v>100</v>
      </c>
      <c r="I17" s="392" t="s">
        <v>3509</v>
      </c>
      <c r="J17" s="393">
        <f>SUMIF(78:78,I18,79:79)-SUMIF(78:78,C18,79:79)+100</f>
        <v>100</v>
      </c>
      <c r="K17" s="539">
        <v>1</v>
      </c>
      <c r="L17" s="2490"/>
      <c r="M17" s="2485"/>
      <c r="N17" s="2485"/>
      <c r="O17" s="2485"/>
      <c r="P17" s="3389"/>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t="s">
        <v>3424</v>
      </c>
      <c r="D18" s="388"/>
      <c r="E18" s="1756" t="s">
        <v>3424</v>
      </c>
      <c r="F18" s="391"/>
      <c r="G18" s="1755" t="s">
        <v>3424</v>
      </c>
      <c r="H18" s="386"/>
      <c r="I18" s="1756" t="s">
        <v>3424</v>
      </c>
      <c r="J18" s="386"/>
      <c r="K18" s="540"/>
      <c r="L18" s="2490"/>
      <c r="M18" s="2485"/>
      <c r="N18" s="2485"/>
      <c r="O18" s="2485"/>
      <c r="P18" s="3389"/>
      <c r="Q18" s="1262"/>
      <c r="R18" s="666"/>
      <c r="S18" s="667"/>
      <c r="T18" s="666"/>
      <c r="U18" s="667"/>
      <c r="V18" s="666"/>
      <c r="W18" s="667"/>
      <c r="X18" s="1264"/>
      <c r="Y18" s="3391"/>
      <c r="Z18" s="1263"/>
      <c r="AA18" s="1263">
        <v>1</v>
      </c>
      <c r="AB18" s="1263">
        <v>1</v>
      </c>
      <c r="AC18" s="1263">
        <v>1</v>
      </c>
    </row>
    <row r="19" spans="1:29" ht="151.80000000000001">
      <c r="A19" s="366"/>
      <c r="B19" s="389" t="s">
        <v>1778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186" t="s">
        <v>3552</v>
      </c>
      <c r="F19" s="396">
        <f>SUMIF(80:80,E20,81:81)-SUMIF(80:80,C20,81:81)+100</f>
        <v>99</v>
      </c>
      <c r="G19" s="3185" t="s">
        <v>3551</v>
      </c>
      <c r="H19" s="388">
        <f>SUMIF(80:80,G20,81:81)-SUMIF(80:80,C20,81:81)+100</f>
        <v>99</v>
      </c>
      <c r="I19" s="3185" t="s">
        <v>3551</v>
      </c>
      <c r="J19" s="388">
        <f>SUMIF(80:80,I20,81:81)-SUMIF(80:80,C20,81:81)+100</f>
        <v>99</v>
      </c>
      <c r="K19" s="539">
        <v>1</v>
      </c>
      <c r="L19" s="2490"/>
      <c r="M19" s="2485"/>
      <c r="N19" s="2485"/>
      <c r="O19" s="2485"/>
      <c r="P19" s="3389"/>
      <c r="Q19" s="1262" t="str">
        <f>B19</f>
        <v>公共配套设施</v>
      </c>
      <c r="R19" s="666" t="s">
        <v>14</v>
      </c>
      <c r="S19" s="667">
        <f>F19</f>
        <v>99</v>
      </c>
      <c r="T19" s="666" t="s">
        <v>14</v>
      </c>
      <c r="U19" s="667">
        <f>H19</f>
        <v>99</v>
      </c>
      <c r="V19" s="666" t="s">
        <v>14</v>
      </c>
      <c r="W19" s="667">
        <f>J19</f>
        <v>99</v>
      </c>
      <c r="X19" s="1264"/>
      <c r="Y19" s="3391"/>
      <c r="Z19" s="1263" t="str">
        <f>Q19</f>
        <v>公共配套设施</v>
      </c>
      <c r="AA19" s="1263">
        <f t="shared" si="3"/>
        <v>1.0101010101010102</v>
      </c>
      <c r="AB19" s="1263">
        <f t="shared" si="4"/>
        <v>1.0101010101010102</v>
      </c>
      <c r="AC19" s="1263">
        <f t="shared" si="5"/>
        <v>1.0101010101010102</v>
      </c>
    </row>
    <row r="20" spans="1:29" ht="15">
      <c r="A20" s="366"/>
      <c r="B20" s="394"/>
      <c r="C20" s="385" t="s">
        <v>3425</v>
      </c>
      <c r="D20" s="386"/>
      <c r="E20" s="1751" t="s">
        <v>3424</v>
      </c>
      <c r="F20" s="387"/>
      <c r="G20" s="1750" t="s">
        <v>3424</v>
      </c>
      <c r="H20" s="386"/>
      <c r="I20" s="1751" t="s">
        <v>3424</v>
      </c>
      <c r="J20" s="386"/>
      <c r="K20" s="540"/>
      <c r="L20" s="2490"/>
      <c r="M20" s="2485"/>
      <c r="N20" s="2485"/>
      <c r="O20" s="2485"/>
      <c r="P20" s="3389"/>
      <c r="Q20" s="1262"/>
      <c r="R20" s="666"/>
      <c r="S20" s="667"/>
      <c r="T20" s="666"/>
      <c r="U20" s="667"/>
      <c r="V20" s="666"/>
      <c r="W20" s="667"/>
      <c r="X20" s="1264"/>
      <c r="Y20" s="3391"/>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89"/>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t="s">
        <v>3529</v>
      </c>
      <c r="D22" s="386"/>
      <c r="E22" s="385" t="s">
        <v>3529</v>
      </c>
      <c r="F22" s="387"/>
      <c r="G22" s="385" t="s">
        <v>3529</v>
      </c>
      <c r="H22" s="386"/>
      <c r="I22" s="385" t="s">
        <v>3529</v>
      </c>
      <c r="J22" s="386"/>
      <c r="K22" s="1063"/>
      <c r="L22" s="2490"/>
      <c r="M22" s="2485"/>
      <c r="N22" s="2485"/>
      <c r="O22" s="2485"/>
      <c r="P22" s="3389"/>
      <c r="Q22" s="1262"/>
      <c r="R22" s="666"/>
      <c r="S22" s="667"/>
      <c r="T22" s="666"/>
      <c r="U22" s="667"/>
      <c r="V22" s="666"/>
      <c r="W22" s="667"/>
      <c r="X22" s="1264"/>
      <c r="Y22" s="3391"/>
      <c r="Z22" s="1263"/>
      <c r="AA22" s="1263">
        <v>1</v>
      </c>
      <c r="AB22" s="1263">
        <v>1</v>
      </c>
      <c r="AC22" s="1263">
        <v>1</v>
      </c>
    </row>
    <row r="23" spans="1:29" ht="138">
      <c r="A23" s="366"/>
      <c r="B23" s="389" t="s">
        <v>1261</v>
      </c>
      <c r="C23" s="1805" t="str">
        <f>估价对象房地状况!C9</f>
        <v>区域自然环境：迎宾公园、百泉公园、夏都公园、北京延庆世界地质公园；人文环境：延庆区职业学院、妫川宝塔、延庆地质博物馆、水生野生博物馆；综合评价环境状况较好</v>
      </c>
      <c r="D23" s="388">
        <v>100</v>
      </c>
      <c r="E23" s="390" t="s">
        <v>3506</v>
      </c>
      <c r="F23" s="391">
        <f>SUMIF(84:84,E24,85:85)-SUMIF(84:84,C24,85:85)+100</f>
        <v>100</v>
      </c>
      <c r="G23" s="392" t="s">
        <v>3510</v>
      </c>
      <c r="H23" s="388">
        <f>SUMIF(84:84,G24,85:85)-SUMIF(84:84,C24,85:85)+100</f>
        <v>98</v>
      </c>
      <c r="I23" s="392" t="s">
        <v>3510</v>
      </c>
      <c r="J23" s="388">
        <f>SUMIF(84:84,I24,85:85)-SUMIF(84:84,C24,85:85)+100</f>
        <v>98</v>
      </c>
      <c r="K23" s="539">
        <v>2</v>
      </c>
      <c r="L23" s="2490"/>
      <c r="M23" s="2485"/>
      <c r="N23" s="2485"/>
      <c r="O23" s="2485"/>
      <c r="P23" s="3389"/>
      <c r="Q23" s="1262" t="str">
        <f>B23</f>
        <v>自然及人文环境</v>
      </c>
      <c r="R23" s="666" t="s">
        <v>14</v>
      </c>
      <c r="S23" s="667">
        <f>F23</f>
        <v>100</v>
      </c>
      <c r="T23" s="666" t="s">
        <v>14</v>
      </c>
      <c r="U23" s="667">
        <f>H23</f>
        <v>98</v>
      </c>
      <c r="V23" s="666" t="s">
        <v>14</v>
      </c>
      <c r="W23" s="667">
        <f>J23</f>
        <v>98</v>
      </c>
      <c r="X23" s="1264"/>
      <c r="Y23" s="3391"/>
      <c r="Z23" s="1263" t="str">
        <f>Q23</f>
        <v>自然及人文环境</v>
      </c>
      <c r="AA23" s="1263">
        <f t="shared" si="3"/>
        <v>1</v>
      </c>
      <c r="AB23" s="1263">
        <f t="shared" si="4"/>
        <v>1.0204081632653061</v>
      </c>
      <c r="AC23" s="1263">
        <f t="shared" si="5"/>
        <v>1.0204081632653061</v>
      </c>
    </row>
    <row r="24" spans="1:29" ht="15">
      <c r="A24" s="366"/>
      <c r="B24" s="394"/>
      <c r="C24" s="385" t="s">
        <v>3425</v>
      </c>
      <c r="D24" s="386"/>
      <c r="E24" s="1751" t="s">
        <v>3425</v>
      </c>
      <c r="F24" s="387"/>
      <c r="G24" s="1750" t="s">
        <v>3424</v>
      </c>
      <c r="H24" s="386"/>
      <c r="I24" s="1751" t="s">
        <v>3424</v>
      </c>
      <c r="J24" s="386"/>
      <c r="K24" s="540"/>
      <c r="L24" s="2490"/>
      <c r="M24" s="2485"/>
      <c r="N24" s="2485"/>
      <c r="O24" s="2485"/>
      <c r="P24" s="3389"/>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90"/>
      <c r="M25" s="2485"/>
      <c r="N25" s="2485"/>
      <c r="O25" s="2485"/>
      <c r="P25" s="3389"/>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170" t="s">
        <v>3503</v>
      </c>
      <c r="D26" s="373">
        <v>100</v>
      </c>
      <c r="E26" s="3170" t="s">
        <v>3503</v>
      </c>
      <c r="F26" s="399">
        <f>SUMIF(88:88,E26,89:89)-SUMIF(88:88,C26,89:89)+100</f>
        <v>100</v>
      </c>
      <c r="G26" s="3170" t="s">
        <v>3503</v>
      </c>
      <c r="H26" s="373">
        <f>SUMIF(88:88,G26,89:89)-SUMIF(88:88,C26,89:89)+100</f>
        <v>100</v>
      </c>
      <c r="I26" s="3170" t="s">
        <v>3503</v>
      </c>
      <c r="J26" s="373">
        <f>SUMIF(88:88,I26,89:89)-SUMIF(88:88,C26,89:89)+100</f>
        <v>100</v>
      </c>
      <c r="K26" s="538"/>
      <c r="L26" s="2490"/>
      <c r="M26" s="2485"/>
      <c r="N26" s="2485"/>
      <c r="O26" s="2485"/>
      <c r="P26" s="3389"/>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t="s">
        <v>3430</v>
      </c>
      <c r="D27" s="400">
        <v>100</v>
      </c>
      <c r="E27" s="1806" t="s">
        <v>3424</v>
      </c>
      <c r="F27" s="394">
        <f>SUMIF(90:90,E27,91:91)-SUMIF(90:90,C27,91:91)+100</f>
        <v>102</v>
      </c>
      <c r="G27" s="1806" t="s">
        <v>3430</v>
      </c>
      <c r="H27" s="400">
        <f>SUMIF(90:90,G27,91:91)-SUMIF(90:90,C27,91:91)+100</f>
        <v>100</v>
      </c>
      <c r="I27" s="1806" t="s">
        <v>3430</v>
      </c>
      <c r="J27" s="400">
        <f>SUMIF(90:90,I27,91:91)-SUMIF(90:90,C27,91:91)+100</f>
        <v>100</v>
      </c>
      <c r="K27" s="537">
        <v>2</v>
      </c>
      <c r="L27" s="2486"/>
      <c r="M27" s="2438"/>
      <c r="N27" s="2438"/>
      <c r="O27" s="2438"/>
      <c r="P27" s="3389"/>
      <c r="Q27" s="529" t="str">
        <f t="shared" si="11"/>
        <v>人流量</v>
      </c>
      <c r="R27" s="663" t="s">
        <v>14</v>
      </c>
      <c r="S27" s="664">
        <f>F27</f>
        <v>102</v>
      </c>
      <c r="T27" s="663" t="s">
        <v>14</v>
      </c>
      <c r="U27" s="664">
        <f>H27</f>
        <v>100</v>
      </c>
      <c r="V27" s="663" t="s">
        <v>14</v>
      </c>
      <c r="W27" s="664">
        <f>J27</f>
        <v>100</v>
      </c>
      <c r="X27" s="665"/>
      <c r="Y27" s="3391"/>
      <c r="Z27" s="50" t="str">
        <f>Q27</f>
        <v>人流量</v>
      </c>
      <c r="AA27" s="1263">
        <f>D27/F27</f>
        <v>0.98039215686274506</v>
      </c>
      <c r="AB27" s="1263">
        <f>D27/H27</f>
        <v>1</v>
      </c>
      <c r="AC27" s="1263">
        <f>D27/J27</f>
        <v>1</v>
      </c>
    </row>
    <row r="28" spans="1:29" ht="15">
      <c r="A28" s="366"/>
      <c r="B28" s="363" t="s">
        <v>1783</v>
      </c>
      <c r="C28" s="541" t="s">
        <v>3524</v>
      </c>
      <c r="D28" s="373">
        <v>100</v>
      </c>
      <c r="E28" s="541" t="s">
        <v>3524</v>
      </c>
      <c r="F28" s="399">
        <f>SUMIF(92:92,E28,93:93)-SUMIF(92:92,C28,93:93)+100</f>
        <v>100</v>
      </c>
      <c r="G28" s="541" t="s">
        <v>3524</v>
      </c>
      <c r="H28" s="373">
        <f>SUMIF(92:92,G28,93:93)-SUMIF(92:92,C28,93:93)+100</f>
        <v>100</v>
      </c>
      <c r="I28" s="541" t="s">
        <v>3524</v>
      </c>
      <c r="J28" s="373">
        <f>SUMIF(92:92,I28,93:93)-SUMIF(92:92,C28,93:93)+100</f>
        <v>100</v>
      </c>
      <c r="K28" s="538"/>
      <c r="L28" s="2490"/>
      <c r="M28" s="2485"/>
      <c r="N28" s="2485"/>
      <c r="O28" s="2485"/>
      <c r="P28" s="338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3169">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3168" t="s">
        <v>3491</v>
      </c>
      <c r="N29" s="2485">
        <v>2012</v>
      </c>
      <c r="O29" s="2485"/>
      <c r="P29" s="3389"/>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f>ROUND(1-(1-0)*(2024-N29)/60,2)</f>
        <v>0.8</v>
      </c>
      <c r="O30" s="2485"/>
      <c r="P30" s="3389"/>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89"/>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60" t="s">
        <v>1784</v>
      </c>
      <c r="C32" s="1763" t="s">
        <v>3548</v>
      </c>
      <c r="D32" s="404">
        <v>100</v>
      </c>
      <c r="E32" s="1763" t="s">
        <v>3546</v>
      </c>
      <c r="F32" s="399">
        <f>SUMIF(100:100,E32,101:101)-SUMIF(100:100,C32,101:101)+100</f>
        <v>105</v>
      </c>
      <c r="G32" s="1763" t="s">
        <v>3548</v>
      </c>
      <c r="H32" s="373">
        <f>SUMIF(100:100,G32,101:101)-SUMIF(100:100,C32,101:101)+100</f>
        <v>100</v>
      </c>
      <c r="I32" s="1763" t="s">
        <v>3548</v>
      </c>
      <c r="J32" s="404">
        <f>SUMIF(100:100,I32,101:101)-SUMIF(100:100,C32,101:101)+100</f>
        <v>100</v>
      </c>
      <c r="K32" s="537">
        <v>5</v>
      </c>
      <c r="L32" s="2490"/>
      <c r="M32" s="3168" t="s">
        <v>3492</v>
      </c>
      <c r="N32" s="2485">
        <v>2018</v>
      </c>
      <c r="O32" s="2485"/>
      <c r="P32" s="3392" t="s">
        <v>1696</v>
      </c>
      <c r="Q32" s="1262" t="str">
        <f t="shared" si="11"/>
        <v>商业类型</v>
      </c>
      <c r="R32" s="666" t="s">
        <v>14</v>
      </c>
      <c r="S32" s="667">
        <f t="shared" si="12"/>
        <v>105</v>
      </c>
      <c r="T32" s="666" t="s">
        <v>14</v>
      </c>
      <c r="U32" s="667">
        <f t="shared" si="13"/>
        <v>100</v>
      </c>
      <c r="V32" s="666" t="s">
        <v>14</v>
      </c>
      <c r="W32" s="667">
        <f t="shared" si="14"/>
        <v>100</v>
      </c>
      <c r="X32" s="1264"/>
      <c r="Y32" s="3395" t="s">
        <v>1696</v>
      </c>
      <c r="Z32" s="1263" t="str">
        <f t="shared" si="15"/>
        <v>商业类型</v>
      </c>
      <c r="AA32" s="1263">
        <f t="shared" si="3"/>
        <v>0.95238095238095233</v>
      </c>
      <c r="AB32" s="1263">
        <f t="shared" si="4"/>
        <v>1</v>
      </c>
      <c r="AC32" s="1263">
        <f t="shared" si="5"/>
        <v>1</v>
      </c>
    </row>
    <row r="33" spans="1:29" s="407" customFormat="1" ht="15">
      <c r="A33" s="405"/>
      <c r="B33" s="363" t="s">
        <v>1697</v>
      </c>
      <c r="C33" s="406">
        <f>'数据-汇总表'!E20</f>
        <v>156.33000000000001</v>
      </c>
      <c r="D33" s="118">
        <v>100</v>
      </c>
      <c r="E33" s="368">
        <f>案例!K22</f>
        <v>500.02</v>
      </c>
      <c r="F33" s="363">
        <f>LOOKUP(E33,103:103,104:104)-LOOKUP(C33,103:103,104:104)+100</f>
        <v>96</v>
      </c>
      <c r="G33" s="367">
        <f>案例!O29</f>
        <v>83.05</v>
      </c>
      <c r="H33" s="118">
        <f>LOOKUP(G33,103:103,104:104)-LOOKUP(C33,103:103,104:104)+100</f>
        <v>102</v>
      </c>
      <c r="I33" s="367">
        <f>案例!N80</f>
        <v>122</v>
      </c>
      <c r="J33" s="118">
        <f>LOOKUP(I33,103:103,104:104)-LOOKUP(C33,103:103,104:104)+100</f>
        <v>100</v>
      </c>
      <c r="K33" s="538"/>
      <c r="L33" s="2489"/>
      <c r="M33" s="2491"/>
      <c r="N33" s="2491">
        <f>ROUND(1-(1-0)*(2024-N32)/60,2)</f>
        <v>0.9</v>
      </c>
      <c r="O33" s="2491"/>
      <c r="P33" s="3393"/>
      <c r="Q33" s="530" t="str">
        <f t="shared" si="11"/>
        <v>项目建筑规模</v>
      </c>
      <c r="R33" s="668" t="s">
        <v>14</v>
      </c>
      <c r="S33" s="669">
        <f t="shared" si="12"/>
        <v>96</v>
      </c>
      <c r="T33" s="668" t="s">
        <v>14</v>
      </c>
      <c r="U33" s="669">
        <f t="shared" si="13"/>
        <v>102</v>
      </c>
      <c r="V33" s="668" t="s">
        <v>14</v>
      </c>
      <c r="W33" s="669">
        <f t="shared" si="14"/>
        <v>100</v>
      </c>
      <c r="X33" s="670"/>
      <c r="Y33" s="3395"/>
      <c r="Z33" s="671" t="str">
        <f t="shared" si="15"/>
        <v>项目建筑规模</v>
      </c>
      <c r="AA33" s="1263">
        <f t="shared" si="3"/>
        <v>1.0416666666666667</v>
      </c>
      <c r="AB33" s="1263">
        <f t="shared" si="4"/>
        <v>0.98039215686274506</v>
      </c>
      <c r="AC33" s="1263">
        <f t="shared" si="5"/>
        <v>1</v>
      </c>
    </row>
    <row r="34" spans="1:29" ht="15">
      <c r="A34" s="408"/>
      <c r="B34" s="363" t="s">
        <v>1698</v>
      </c>
      <c r="C34" s="398" t="s">
        <v>3489</v>
      </c>
      <c r="D34" s="373">
        <v>100</v>
      </c>
      <c r="E34" s="398" t="s">
        <v>3487</v>
      </c>
      <c r="F34" s="399">
        <f>SUMIF(105:105,E34,106:106)-SUMIF(105:105,C34,106:106)+100</f>
        <v>102</v>
      </c>
      <c r="G34" s="398" t="s">
        <v>3487</v>
      </c>
      <c r="H34" s="373">
        <f>SUMIF(105:105,G34,106:106)-SUMIF(105:105,C34,106:106)+100</f>
        <v>102</v>
      </c>
      <c r="I34" s="398" t="s">
        <v>3487</v>
      </c>
      <c r="J34" s="373">
        <f>SUMIF(105:105,I34,106:106)-SUMIF(105:105,C34,106:106)+100</f>
        <v>102</v>
      </c>
      <c r="K34" s="537">
        <v>2</v>
      </c>
      <c r="L34" s="2490"/>
      <c r="M34" s="2485"/>
      <c r="N34" s="2485"/>
      <c r="O34" s="2485"/>
      <c r="P34" s="3393"/>
      <c r="Q34" s="1262" t="str">
        <f t="shared" si="11"/>
        <v>建筑结构</v>
      </c>
      <c r="R34" s="666" t="s">
        <v>14</v>
      </c>
      <c r="S34" s="667">
        <f t="shared" si="12"/>
        <v>102</v>
      </c>
      <c r="T34" s="666" t="s">
        <v>14</v>
      </c>
      <c r="U34" s="667">
        <f t="shared" si="13"/>
        <v>102</v>
      </c>
      <c r="V34" s="666" t="s">
        <v>14</v>
      </c>
      <c r="W34" s="667">
        <f t="shared" si="14"/>
        <v>102</v>
      </c>
      <c r="X34" s="1264"/>
      <c r="Y34" s="3395"/>
      <c r="Z34" s="1263" t="str">
        <f t="shared" si="15"/>
        <v>建筑结构</v>
      </c>
      <c r="AA34" s="1263">
        <f t="shared" si="3"/>
        <v>0.98039215686274506</v>
      </c>
      <c r="AB34" s="1263">
        <f t="shared" si="4"/>
        <v>0.98039215686274506</v>
      </c>
      <c r="AC34" s="1263">
        <f t="shared" si="5"/>
        <v>0.98039215686274506</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v>2</v>
      </c>
      <c r="L35" s="2490"/>
      <c r="M35" s="2485"/>
      <c r="N35" s="2485"/>
      <c r="O35" s="2485"/>
      <c r="P35" s="3393"/>
      <c r="Q35" s="1262" t="str">
        <f t="shared" si="11"/>
        <v>公共部分装修</v>
      </c>
      <c r="R35" s="666" t="s">
        <v>14</v>
      </c>
      <c r="S35" s="667">
        <f t="shared" si="12"/>
        <v>100</v>
      </c>
      <c r="T35" s="666" t="s">
        <v>14</v>
      </c>
      <c r="U35" s="667">
        <f t="shared" si="13"/>
        <v>100</v>
      </c>
      <c r="V35" s="666" t="s">
        <v>14</v>
      </c>
      <c r="W35" s="667">
        <f t="shared" si="14"/>
        <v>100</v>
      </c>
      <c r="X35" s="1264"/>
      <c r="Y35" s="3395"/>
      <c r="Z35" s="1263" t="str">
        <f t="shared" si="15"/>
        <v>公共部分装修</v>
      </c>
      <c r="AA35" s="1263">
        <f t="shared" si="3"/>
        <v>1</v>
      </c>
      <c r="AB35" s="1263">
        <f t="shared" si="4"/>
        <v>1</v>
      </c>
      <c r="AC35" s="1263">
        <f t="shared" si="5"/>
        <v>1</v>
      </c>
    </row>
    <row r="36" spans="1:29" ht="15">
      <c r="A36" s="408"/>
      <c r="B36" s="363" t="s">
        <v>1786</v>
      </c>
      <c r="C36" s="410">
        <f>'数据-取费表'!N6</f>
        <v>0.7</v>
      </c>
      <c r="D36" s="373">
        <v>100</v>
      </c>
      <c r="E36" s="410">
        <f>N30</f>
        <v>0.8</v>
      </c>
      <c r="F36" s="399">
        <f>LOOKUP(E36,110:110,111:111)-LOOKUP(C36,110:110,111:111)+100</f>
        <v>102</v>
      </c>
      <c r="G36" s="410">
        <f>N33</f>
        <v>0.9</v>
      </c>
      <c r="H36" s="399">
        <f>LOOKUP(G36,110:110,111:111)-LOOKUP(C36,110:110,111:111)+100</f>
        <v>104</v>
      </c>
      <c r="I36" s="410">
        <f>N33</f>
        <v>0.9</v>
      </c>
      <c r="J36" s="373">
        <f>LOOKUP(I36,110:110,111:111)-LOOKUP(C36,110:110,111:111)+100</f>
        <v>104</v>
      </c>
      <c r="K36" s="3183">
        <v>2</v>
      </c>
      <c r="L36" s="2490"/>
      <c r="M36" s="2485"/>
      <c r="N36" s="2485"/>
      <c r="O36" s="2485"/>
      <c r="P36" s="3393"/>
      <c r="Q36" s="1262" t="str">
        <f t="shared" si="11"/>
        <v>成新度</v>
      </c>
      <c r="R36" s="666" t="s">
        <v>14</v>
      </c>
      <c r="S36" s="667">
        <f t="shared" si="12"/>
        <v>102</v>
      </c>
      <c r="T36" s="666" t="s">
        <v>14</v>
      </c>
      <c r="U36" s="667">
        <f t="shared" si="13"/>
        <v>104</v>
      </c>
      <c r="V36" s="666" t="s">
        <v>14</v>
      </c>
      <c r="W36" s="667">
        <f t="shared" si="14"/>
        <v>104</v>
      </c>
      <c r="X36" s="1264"/>
      <c r="Y36" s="3395"/>
      <c r="Z36" s="1263" t="str">
        <f t="shared" si="15"/>
        <v>成新度</v>
      </c>
      <c r="AA36" s="1263">
        <f t="shared" si="3"/>
        <v>0.98039215686274506</v>
      </c>
      <c r="AB36" s="1263">
        <f t="shared" si="4"/>
        <v>0.96153846153846156</v>
      </c>
      <c r="AC36" s="1263">
        <f t="shared" si="5"/>
        <v>0.96153846153846156</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3183"/>
      <c r="L37" s="2486"/>
      <c r="M37" s="2438"/>
      <c r="N37" s="2438"/>
      <c r="O37" s="2438"/>
      <c r="P37" s="3393"/>
      <c r="Q37" s="529" t="str">
        <f t="shared" si="11"/>
        <v>市政基础设施</v>
      </c>
      <c r="R37" s="663" t="s">
        <v>14</v>
      </c>
      <c r="S37" s="664">
        <f t="shared" si="12"/>
        <v>100</v>
      </c>
      <c r="T37" s="663" t="s">
        <v>14</v>
      </c>
      <c r="U37" s="664">
        <f t="shared" si="13"/>
        <v>100</v>
      </c>
      <c r="V37" s="663" t="s">
        <v>14</v>
      </c>
      <c r="W37" s="664">
        <f t="shared" si="14"/>
        <v>100</v>
      </c>
      <c r="X37" s="665"/>
      <c r="Y37" s="339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3183">
        <v>5</v>
      </c>
      <c r="L38" s="2490"/>
      <c r="M38" s="2485"/>
      <c r="N38" s="2485"/>
      <c r="O38" s="2485"/>
      <c r="P38" s="3393" t="s">
        <v>1696</v>
      </c>
      <c r="Q38" s="1262" t="str">
        <f t="shared" si="11"/>
        <v>业态</v>
      </c>
      <c r="R38" s="666" t="s">
        <v>14</v>
      </c>
      <c r="S38" s="667">
        <f t="shared" si="12"/>
        <v>100</v>
      </c>
      <c r="T38" s="666" t="s">
        <v>14</v>
      </c>
      <c r="U38" s="667">
        <f t="shared" si="13"/>
        <v>100</v>
      </c>
      <c r="V38" s="666" t="s">
        <v>14</v>
      </c>
      <c r="W38" s="667">
        <f t="shared" si="14"/>
        <v>100</v>
      </c>
      <c r="X38" s="1264"/>
      <c r="Y38" s="339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3183"/>
      <c r="L39" s="2490"/>
      <c r="M39" s="2485"/>
      <c r="N39" s="2485"/>
      <c r="O39" s="2485"/>
      <c r="P39" s="3393"/>
      <c r="Q39" s="1262" t="str">
        <f t="shared" si="11"/>
        <v>层高</v>
      </c>
      <c r="R39" s="666" t="s">
        <v>14</v>
      </c>
      <c r="S39" s="667">
        <f t="shared" si="12"/>
        <v>100</v>
      </c>
      <c r="T39" s="666" t="s">
        <v>14</v>
      </c>
      <c r="U39" s="667">
        <f t="shared" si="13"/>
        <v>100</v>
      </c>
      <c r="V39" s="666" t="s">
        <v>14</v>
      </c>
      <c r="W39" s="667">
        <f t="shared" si="14"/>
        <v>100</v>
      </c>
      <c r="X39" s="1264"/>
      <c r="Y39" s="339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3184"/>
      <c r="L40" s="2490"/>
      <c r="M40" s="2485"/>
      <c r="N40" s="2485"/>
      <c r="O40" s="2485"/>
      <c r="P40" s="3393"/>
      <c r="Q40" s="1262" t="str">
        <f t="shared" si="11"/>
        <v>单套建筑面积</v>
      </c>
      <c r="R40" s="666" t="s">
        <v>14</v>
      </c>
      <c r="S40" s="667">
        <f t="shared" si="12"/>
        <v>100</v>
      </c>
      <c r="T40" s="666" t="s">
        <v>14</v>
      </c>
      <c r="U40" s="667">
        <f t="shared" si="13"/>
        <v>100</v>
      </c>
      <c r="V40" s="666" t="s">
        <v>14</v>
      </c>
      <c r="W40" s="667">
        <f t="shared" si="14"/>
        <v>100</v>
      </c>
      <c r="X40" s="1264"/>
      <c r="Y40" s="339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3183"/>
      <c r="L41" s="2489"/>
      <c r="M41" s="2491"/>
      <c r="N41" s="2491"/>
      <c r="O41" s="2491"/>
      <c r="P41" s="3393"/>
      <c r="Q41" s="530" t="str">
        <f t="shared" si="11"/>
        <v>进深比</v>
      </c>
      <c r="R41" s="668" t="s">
        <v>14</v>
      </c>
      <c r="S41" s="669">
        <f t="shared" si="12"/>
        <v>100</v>
      </c>
      <c r="T41" s="668" t="s">
        <v>14</v>
      </c>
      <c r="U41" s="669">
        <f t="shared" si="13"/>
        <v>100</v>
      </c>
      <c r="V41" s="668" t="s">
        <v>14</v>
      </c>
      <c r="W41" s="669">
        <f t="shared" si="14"/>
        <v>100</v>
      </c>
      <c r="X41" s="670"/>
      <c r="Y41" s="3395"/>
      <c r="Z41" s="671" t="str">
        <f t="shared" si="15"/>
        <v>进深比</v>
      </c>
      <c r="AA41" s="1263">
        <f t="shared" si="3"/>
        <v>1</v>
      </c>
      <c r="AB41" s="1263">
        <f t="shared" si="4"/>
        <v>1</v>
      </c>
      <c r="AC41" s="1263">
        <f t="shared" si="5"/>
        <v>1</v>
      </c>
    </row>
    <row r="42" spans="1:29" ht="15">
      <c r="A42" s="408"/>
      <c r="B42" s="363" t="s">
        <v>1792</v>
      </c>
      <c r="C42" s="1759" t="s">
        <v>3499</v>
      </c>
      <c r="D42" s="373">
        <v>100</v>
      </c>
      <c r="E42" s="1759" t="s">
        <v>3500</v>
      </c>
      <c r="F42" s="399">
        <f>SUMIF(122:122,E42,123:123)-SUMIF(122:122,C42,123:123)+100</f>
        <v>98</v>
      </c>
      <c r="G42" s="1759" t="s">
        <v>3500</v>
      </c>
      <c r="H42" s="373">
        <f>SUMIF(122:122,G42,123:123)-SUMIF(122:122,C42,123:123)+100</f>
        <v>98</v>
      </c>
      <c r="I42" s="1759" t="s">
        <v>3500</v>
      </c>
      <c r="J42" s="373">
        <f>SUMIF(122:122,I42,123:123)-SUMIF(122:122,C42,123:123)+100</f>
        <v>98</v>
      </c>
      <c r="K42" s="3183">
        <v>1</v>
      </c>
      <c r="L42" s="2490"/>
      <c r="M42" s="2485"/>
      <c r="N42" s="2485"/>
      <c r="O42" s="2485"/>
      <c r="P42" s="3393"/>
      <c r="Q42" s="1262" t="str">
        <f t="shared" si="11"/>
        <v>内部装修</v>
      </c>
      <c r="R42" s="666" t="s">
        <v>14</v>
      </c>
      <c r="S42" s="667">
        <f t="shared" si="12"/>
        <v>98</v>
      </c>
      <c r="T42" s="666" t="s">
        <v>14</v>
      </c>
      <c r="U42" s="667">
        <f t="shared" si="13"/>
        <v>98</v>
      </c>
      <c r="V42" s="666" t="s">
        <v>14</v>
      </c>
      <c r="W42" s="667">
        <f t="shared" si="14"/>
        <v>98</v>
      </c>
      <c r="X42" s="1264"/>
      <c r="Y42" s="3395"/>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3425</v>
      </c>
      <c r="D43" s="373">
        <v>100</v>
      </c>
      <c r="E43" s="1759" t="s">
        <v>3425</v>
      </c>
      <c r="F43" s="399">
        <f>SUMIF(124:124,E43,125:125)-SUMIF(124:124,C43,125:125)+100</f>
        <v>100</v>
      </c>
      <c r="G43" s="1759" t="s">
        <v>3425</v>
      </c>
      <c r="H43" s="373">
        <f>SUMIF(124:124,G43,125:125)-SUMIF(124:124,C43,125:125)+100</f>
        <v>100</v>
      </c>
      <c r="I43" s="1759" t="s">
        <v>3425</v>
      </c>
      <c r="J43" s="373">
        <f>SUMIF(124:124,I43,125:125)-SUMIF(124:124,C43,125:125)+100</f>
        <v>100</v>
      </c>
      <c r="K43" s="537">
        <v>2</v>
      </c>
      <c r="L43" s="2490"/>
      <c r="M43" s="2485"/>
      <c r="N43" s="2485"/>
      <c r="O43" s="2485"/>
      <c r="P43" s="3393"/>
      <c r="Q43" s="1262" t="str">
        <f t="shared" si="11"/>
        <v>内部装修维护情况</v>
      </c>
      <c r="R43" s="666" t="s">
        <v>14</v>
      </c>
      <c r="S43" s="667">
        <f t="shared" si="12"/>
        <v>100</v>
      </c>
      <c r="T43" s="666" t="s">
        <v>14</v>
      </c>
      <c r="U43" s="667">
        <f t="shared" si="13"/>
        <v>100</v>
      </c>
      <c r="V43" s="666" t="s">
        <v>14</v>
      </c>
      <c r="W43" s="667">
        <f t="shared" si="14"/>
        <v>100</v>
      </c>
      <c r="X43" s="1264"/>
      <c r="Y43" s="339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93"/>
      <c r="Q44" s="529">
        <f t="shared" si="11"/>
        <v>111</v>
      </c>
      <c r="R44" s="663" t="s">
        <v>14</v>
      </c>
      <c r="S44" s="664">
        <f t="shared" si="12"/>
        <v>100</v>
      </c>
      <c r="T44" s="663" t="s">
        <v>14</v>
      </c>
      <c r="U44" s="664">
        <f t="shared" si="13"/>
        <v>100</v>
      </c>
      <c r="V44" s="663" t="s">
        <v>14</v>
      </c>
      <c r="W44" s="664">
        <f t="shared" si="14"/>
        <v>100</v>
      </c>
      <c r="X44" s="665"/>
      <c r="Y44" s="339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93"/>
      <c r="Q45" s="1262">
        <f t="shared" si="11"/>
        <v>111</v>
      </c>
      <c r="R45" s="666" t="s">
        <v>14</v>
      </c>
      <c r="S45" s="667">
        <f t="shared" si="12"/>
        <v>100</v>
      </c>
      <c r="T45" s="666" t="s">
        <v>14</v>
      </c>
      <c r="U45" s="667">
        <f t="shared" si="13"/>
        <v>100</v>
      </c>
      <c r="V45" s="666" t="s">
        <v>14</v>
      </c>
      <c r="W45" s="667">
        <f t="shared" si="14"/>
        <v>100</v>
      </c>
      <c r="X45" s="1264"/>
      <c r="Y45" s="3395"/>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94"/>
      <c r="Q46" s="1262">
        <f t="shared" si="11"/>
        <v>111</v>
      </c>
      <c r="R46" s="666" t="s">
        <v>14</v>
      </c>
      <c r="S46" s="667">
        <f t="shared" si="12"/>
        <v>100</v>
      </c>
      <c r="T46" s="666" t="s">
        <v>14</v>
      </c>
      <c r="U46" s="667">
        <f t="shared" si="13"/>
        <v>100</v>
      </c>
      <c r="V46" s="666" t="s">
        <v>14</v>
      </c>
      <c r="W46" s="667">
        <f t="shared" si="14"/>
        <v>100</v>
      </c>
      <c r="X46" s="1264"/>
      <c r="Y46" s="3396"/>
      <c r="Z46" s="1263">
        <f t="shared" si="15"/>
        <v>111</v>
      </c>
      <c r="AA46" s="1263">
        <f t="shared" si="3"/>
        <v>1</v>
      </c>
      <c r="AB46" s="1263">
        <f t="shared" si="4"/>
        <v>1</v>
      </c>
      <c r="AC46" s="1263">
        <f t="shared" si="5"/>
        <v>1</v>
      </c>
    </row>
    <row r="47" spans="1:29" ht="14.4">
      <c r="A47" s="415" t="s">
        <v>1708</v>
      </c>
      <c r="B47" s="416"/>
      <c r="C47" s="1080" t="s">
        <v>0</v>
      </c>
      <c r="D47" s="417"/>
      <c r="E47" s="418">
        <f>案例!Q22</f>
        <v>18643</v>
      </c>
      <c r="F47" s="419"/>
      <c r="G47" s="420">
        <f>案例!Q30</f>
        <v>16536</v>
      </c>
      <c r="H47" s="421"/>
      <c r="I47" s="418">
        <f>案例!P79</f>
        <v>15033</v>
      </c>
      <c r="J47" s="421"/>
      <c r="K47" s="673"/>
      <c r="L47" s="2492"/>
      <c r="M47" s="2485"/>
      <c r="N47" s="2485"/>
      <c r="O47" s="2485"/>
      <c r="P47" s="3383" t="str">
        <f>A47</f>
        <v>成交单价（元/平方米）</v>
      </c>
      <c r="Q47" s="3383"/>
      <c r="R47" s="3384">
        <f>E47</f>
        <v>18643</v>
      </c>
      <c r="S47" s="3384"/>
      <c r="T47" s="3384">
        <f>G47</f>
        <v>16536</v>
      </c>
      <c r="U47" s="3384"/>
      <c r="V47" s="3384">
        <f>I47</f>
        <v>15033</v>
      </c>
      <c r="W47" s="3384"/>
      <c r="X47" s="384"/>
      <c r="Y47" s="672"/>
      <c r="Z47" s="384"/>
      <c r="AA47" s="384"/>
      <c r="AB47" s="384"/>
      <c r="AC47" s="384"/>
    </row>
    <row r="48" spans="1:29" ht="15" thickBot="1">
      <c r="A48" s="422" t="s">
        <v>1709</v>
      </c>
      <c r="B48" s="423"/>
      <c r="C48" s="1081">
        <f>R49</f>
        <v>16201</v>
      </c>
      <c r="D48" s="2140" t="s">
        <v>2138</v>
      </c>
      <c r="E48" s="1082">
        <f>R48</f>
        <v>17611</v>
      </c>
      <c r="F48" s="2141"/>
      <c r="G48" s="1081">
        <f>T48</f>
        <v>16080</v>
      </c>
      <c r="H48" s="2141"/>
      <c r="I48" s="1082">
        <f>V48</f>
        <v>14911</v>
      </c>
      <c r="J48" s="2141"/>
      <c r="K48" s="2143">
        <f>F48+H48+J48</f>
        <v>0</v>
      </c>
      <c r="L48" s="2492"/>
      <c r="M48" s="2485"/>
      <c r="N48" s="2485"/>
      <c r="O48" s="2485"/>
      <c r="P48" s="3383" t="str">
        <f>A48</f>
        <v>比较价值（元/平方米）</v>
      </c>
      <c r="Q48" s="3383"/>
      <c r="R48" s="3384">
        <f>IF(F1="售价",ROUND(PRODUCT(R47,AA7:AA46),0),ROUND(PRODUCT(R47,AA7:AA46),1))</f>
        <v>17611</v>
      </c>
      <c r="S48" s="3384"/>
      <c r="T48" s="3384">
        <f>IF(F1="售价",ROUND(PRODUCT(T47,AB7:AB46),0),ROUND(PRODUCT(T47,AB7:AB46),1))</f>
        <v>16080</v>
      </c>
      <c r="U48" s="3384"/>
      <c r="V48" s="3384">
        <f>IF(F1="售价",ROUND(PRODUCT(V47,AC7:AC46),0),ROUND(PRODUCT(V47,AC7:AC46),1))</f>
        <v>14911</v>
      </c>
      <c r="W48" s="3384"/>
      <c r="X48" s="384"/>
      <c r="Y48" s="384"/>
      <c r="Z48" s="384"/>
      <c r="AA48" s="384"/>
      <c r="AB48" s="384"/>
      <c r="AC48" s="384"/>
    </row>
    <row r="49" spans="1:29" ht="15" thickBot="1">
      <c r="A49" s="426" t="s">
        <v>1710</v>
      </c>
      <c r="B49" s="427"/>
      <c r="C49" s="350">
        <f>R49</f>
        <v>16201</v>
      </c>
      <c r="D49" s="350"/>
      <c r="E49" s="350"/>
      <c r="F49" s="350"/>
      <c r="G49" s="350"/>
      <c r="H49" s="350"/>
      <c r="I49" s="350"/>
      <c r="J49" s="350"/>
      <c r="K49" s="674"/>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16201</v>
      </c>
      <c r="S49" s="3387"/>
      <c r="T49" s="3387"/>
      <c r="U49" s="3387"/>
      <c r="V49" s="3387"/>
      <c r="W49" s="3387"/>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1711</v>
      </c>
      <c r="D52" s="432"/>
      <c r="E52" s="433">
        <f>IF(E47&lt;E48,E48/E47-1,E47/E48-1)</f>
        <v>5.8599738799613776E-2</v>
      </c>
      <c r="F52" s="434" t="str">
        <f>IF(OR(E52&gt;=0.3,E52&lt;=-0.3),"超过30%","")</f>
        <v/>
      </c>
      <c r="G52" s="433">
        <f>IF(G47&lt;G48,G48/G47-1,G47/G48-1)</f>
        <v>2.8358208955223896E-2</v>
      </c>
      <c r="H52" s="434" t="str">
        <f>IF(OR(G52&gt;=0.3,G52&lt;=-0.3),"超过30%","")</f>
        <v/>
      </c>
      <c r="I52" s="433">
        <f>IF(I47&lt;I48,I48/I47-1,I47/I48-1)</f>
        <v>8.1818791496210963E-3</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1712</v>
      </c>
      <c r="D53" s="435"/>
      <c r="E53" s="433">
        <f>IF(E48&lt;G48,G48/E48-1,E48/G48-1)</f>
        <v>9.5211442786069744E-2</v>
      </c>
      <c r="F53" s="434" t="str">
        <f>IF(OR(E53&gt;=0.2,E53&lt;=-0.2),"超过20%","")</f>
        <v/>
      </c>
      <c r="G53" s="433">
        <f>IF(G48&lt;I48,I48/G48-1,G48/I48-1)</f>
        <v>7.8398497753336516E-2</v>
      </c>
      <c r="H53" s="434" t="str">
        <f>IF(OR(G53&gt;=0.2,G53&lt;=-0.2),"超过20%","")</f>
        <v/>
      </c>
      <c r="I53" s="433">
        <f>IF(I48&lt;E48,E48/I48-1,I48/E48-1)</f>
        <v>0.18107437462276166</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1713</v>
      </c>
      <c r="D54" s="435"/>
      <c r="E54" s="433">
        <f>IF(E47&lt;G47,G47/E47-1,E47/G47-1)</f>
        <v>0.12741896468311564</v>
      </c>
      <c r="F54" s="434" t="str">
        <f>IF(OR(E54&gt;=0.3,E54&lt;=-0.3),"超过30%","")</f>
        <v/>
      </c>
      <c r="G54" s="433">
        <f>IF(G47&lt;I47,I47/G47-1,G47/I47-1)</f>
        <v>9.9980043903412419E-2</v>
      </c>
      <c r="H54" s="434" t="str">
        <f>IF(OR(G54&gt;=0.3,G54&lt;=-0.3),"超过30%","")</f>
        <v/>
      </c>
      <c r="I54" s="433">
        <f>IF(I47&lt;E47,E47/I47-1,I47/E47-1)</f>
        <v>0.24013836226967333</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1714</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v>100</v>
      </c>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1718</v>
      </c>
      <c r="D61" s="3155" t="s">
        <v>3415</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v>102</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99</v>
      </c>
      <c r="E79" s="474">
        <f>D79-$K17</f>
        <v>98</v>
      </c>
      <c r="F79" s="474">
        <f>E79-$K17</f>
        <v>97</v>
      </c>
      <c r="G79" s="474">
        <f>F79-$K17</f>
        <v>96</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99</v>
      </c>
      <c r="E81" s="474">
        <f>D81-$K19</f>
        <v>98</v>
      </c>
      <c r="F81" s="474">
        <f>E81-$K19</f>
        <v>97</v>
      </c>
      <c r="G81" s="474">
        <f>F81-$K19</f>
        <v>96</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20"/>
      <c r="O87" s="2520"/>
      <c r="P87" s="2511"/>
      <c r="Q87" s="2506"/>
      <c r="R87" s="2438"/>
      <c r="S87" s="2438"/>
      <c r="T87" s="2438"/>
      <c r="U87" s="2438"/>
      <c r="V87" s="2438"/>
      <c r="W87" s="2438"/>
      <c r="X87" s="2438"/>
      <c r="Y87" s="2438"/>
      <c r="Z87" s="2438"/>
      <c r="AA87" s="2438"/>
      <c r="AB87" s="2438"/>
      <c r="AC87" s="2438"/>
    </row>
    <row r="88" spans="1:29" s="101" customFormat="1" ht="15" thickTop="1">
      <c r="A88" s="369"/>
      <c r="B88" s="468" t="str">
        <f>B26</f>
        <v>平面位置/可视性</v>
      </c>
      <c r="C88" s="3157" t="s">
        <v>3503</v>
      </c>
      <c r="D88" s="3157" t="s">
        <v>3502</v>
      </c>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v>100</v>
      </c>
      <c r="D89" s="466">
        <v>95</v>
      </c>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 thickTop="1">
      <c r="A90" s="483"/>
      <c r="B90" s="468" t="str">
        <f>B27</f>
        <v>人流量</v>
      </c>
      <c r="C90" s="3157" t="s">
        <v>3502</v>
      </c>
      <c r="D90" s="3157" t="s">
        <v>3543</v>
      </c>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1"/>
      <c r="O91" s="2521"/>
      <c r="P91" s="2512"/>
      <c r="Q91" s="2513"/>
      <c r="R91" s="2491"/>
      <c r="S91" s="2491"/>
      <c r="T91" s="2491"/>
      <c r="U91" s="2491"/>
      <c r="V91" s="2491"/>
      <c r="W91" s="2491"/>
      <c r="X91" s="2491"/>
      <c r="Y91" s="2491"/>
      <c r="Z91" s="2491"/>
      <c r="AA91" s="2491"/>
      <c r="AB91" s="2491"/>
      <c r="AC91" s="2491"/>
    </row>
    <row r="92" spans="1:29" ht="15" thickTop="1">
      <c r="A92" s="366"/>
      <c r="B92" s="468" t="str">
        <f>B28</f>
        <v>楼层</v>
      </c>
      <c r="C92" s="484" t="s">
        <v>3521</v>
      </c>
      <c r="D92" s="484" t="s">
        <v>3501</v>
      </c>
      <c r="E92" s="484" t="s">
        <v>3523</v>
      </c>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90">
        <v>100</v>
      </c>
      <c r="D93" s="466">
        <f>案例!C11</f>
        <v>153</v>
      </c>
      <c r="E93" s="466">
        <f>案例!C12</f>
        <v>118</v>
      </c>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512"/>
      <c r="D94" s="512"/>
      <c r="E94" s="512"/>
      <c r="F94" s="512"/>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66"/>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28.8">
      <c r="A100" s="378" t="s">
        <v>1694</v>
      </c>
      <c r="B100" s="459" t="s">
        <v>1805</v>
      </c>
      <c r="C100" s="3156" t="s">
        <v>3547</v>
      </c>
      <c r="D100" s="3156" t="s">
        <v>3549</v>
      </c>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0(含)-100</v>
      </c>
      <c r="D102" s="508" t="str">
        <f t="shared" ref="D102:L102" si="23">D103&amp;"(含)"&amp;"-"&amp;E103</f>
        <v>100(含)-200</v>
      </c>
      <c r="E102" s="508" t="str">
        <f t="shared" si="23"/>
        <v>200(含)-300</v>
      </c>
      <c r="F102" s="508" t="str">
        <f t="shared" si="23"/>
        <v>300(含)-700</v>
      </c>
      <c r="G102" s="508" t="str">
        <f t="shared" si="23"/>
        <v>700(含)-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100</v>
      </c>
      <c r="E103" s="6">
        <v>200</v>
      </c>
      <c r="F103" s="6">
        <v>300</v>
      </c>
      <c r="G103" s="6">
        <v>700</v>
      </c>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57" t="s">
        <v>3488</v>
      </c>
      <c r="D105" s="3157" t="s">
        <v>3490</v>
      </c>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6">C108-$K35</f>
        <v>98</v>
      </c>
      <c r="E108" s="474">
        <f t="shared" si="26"/>
        <v>96</v>
      </c>
      <c r="F108" s="474">
        <f t="shared" si="26"/>
        <v>94</v>
      </c>
      <c r="G108" s="474">
        <f t="shared" si="26"/>
        <v>92</v>
      </c>
      <c r="H108" s="474">
        <f t="shared" si="26"/>
        <v>90</v>
      </c>
      <c r="I108" s="474">
        <f t="shared" si="26"/>
        <v>88</v>
      </c>
      <c r="J108" s="474">
        <f t="shared" si="26"/>
        <v>86</v>
      </c>
      <c r="K108" s="474">
        <f t="shared" si="26"/>
        <v>84</v>
      </c>
      <c r="L108" s="474">
        <f t="shared" si="26"/>
        <v>82</v>
      </c>
      <c r="M108" s="475">
        <f t="shared" si="26"/>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102</v>
      </c>
      <c r="E111" s="474">
        <f t="shared" ref="E111:M111" si="27">D111+$K36</f>
        <v>104</v>
      </c>
      <c r="F111" s="474">
        <f t="shared" si="27"/>
        <v>106</v>
      </c>
      <c r="G111" s="474">
        <f t="shared" si="27"/>
        <v>108</v>
      </c>
      <c r="H111" s="474">
        <f t="shared" si="27"/>
        <v>110</v>
      </c>
      <c r="I111" s="474">
        <f t="shared" si="27"/>
        <v>112</v>
      </c>
      <c r="J111" s="474">
        <f t="shared" si="27"/>
        <v>114</v>
      </c>
      <c r="K111" s="474">
        <f t="shared" si="27"/>
        <v>116</v>
      </c>
      <c r="L111" s="474">
        <f t="shared" si="27"/>
        <v>118</v>
      </c>
      <c r="M111" s="474">
        <f t="shared" si="27"/>
        <v>120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3157" t="s">
        <v>3493</v>
      </c>
      <c r="D112" s="3157" t="s">
        <v>3494</v>
      </c>
      <c r="E112" s="3157" t="s">
        <v>3495</v>
      </c>
      <c r="F112" s="3157" t="s">
        <v>3496</v>
      </c>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57" t="s">
        <v>3497</v>
      </c>
      <c r="D114" s="3157" t="s">
        <v>3498</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9">C115-$K38</f>
        <v>95</v>
      </c>
      <c r="E115" s="474">
        <f t="shared" si="29"/>
        <v>90</v>
      </c>
      <c r="F115" s="474">
        <f t="shared" si="29"/>
        <v>85</v>
      </c>
      <c r="G115" s="474">
        <f t="shared" si="29"/>
        <v>80</v>
      </c>
      <c r="H115" s="474">
        <f t="shared" si="29"/>
        <v>75</v>
      </c>
      <c r="I115" s="474">
        <f t="shared" si="29"/>
        <v>70</v>
      </c>
      <c r="J115" s="474">
        <f t="shared" si="29"/>
        <v>65</v>
      </c>
      <c r="K115" s="474">
        <f t="shared" si="29"/>
        <v>60</v>
      </c>
      <c r="L115" s="474">
        <f t="shared" si="29"/>
        <v>55</v>
      </c>
      <c r="M115" s="475">
        <f t="shared" si="29"/>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57" t="s">
        <v>3426</v>
      </c>
      <c r="D122" s="3157" t="s">
        <v>3427</v>
      </c>
      <c r="E122" s="3157" t="s">
        <v>3428</v>
      </c>
      <c r="F122" s="3158" t="s">
        <v>3429</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5" priority="14" stopIfTrue="1">
      <formula>$F$52="超过30%"</formula>
    </cfRule>
  </conditionalFormatting>
  <conditionalFormatting sqref="E53">
    <cfRule type="expression" dxfId="24" priority="13" stopIfTrue="1">
      <formula>$F$53="超过20%"</formula>
    </cfRule>
  </conditionalFormatting>
  <conditionalFormatting sqref="E54">
    <cfRule type="expression" dxfId="23" priority="12" stopIfTrue="1">
      <formula>$F$54="超过30%"</formula>
    </cfRule>
  </conditionalFormatting>
  <conditionalFormatting sqref="F7:F46 H7:H46 J7:J46">
    <cfRule type="cellIs" dxfId="22" priority="1" operator="notEqual">
      <formula>100</formula>
    </cfRule>
  </conditionalFormatting>
  <conditionalFormatting sqref="F48">
    <cfRule type="expression" dxfId="21" priority="4">
      <formula>$D$48="简单平均"</formula>
    </cfRule>
  </conditionalFormatting>
  <conditionalFormatting sqref="F52:F54 H52:H54">
    <cfRule type="containsText" dxfId="20" priority="15" stopIfTrue="1" operator="containsText" text="超过">
      <formula>NOT(ISERROR(SEARCH("超过",F52)))</formula>
    </cfRule>
  </conditionalFormatting>
  <conditionalFormatting sqref="G52">
    <cfRule type="expression" dxfId="19" priority="10" stopIfTrue="1">
      <formula>$H$52="超过30%"</formula>
    </cfRule>
  </conditionalFormatting>
  <conditionalFormatting sqref="G53">
    <cfRule type="expression" dxfId="18" priority="9" stopIfTrue="1">
      <formula>$H$53="超过20%"</formula>
    </cfRule>
  </conditionalFormatting>
  <conditionalFormatting sqref="G54">
    <cfRule type="expression" dxfId="17" priority="11" stopIfTrue="1">
      <formula>$H$54="超过30%"</formula>
    </cfRule>
  </conditionalFormatting>
  <conditionalFormatting sqref="H48">
    <cfRule type="expression" dxfId="16" priority="3">
      <formula>$D$48="简单平均"</formula>
    </cfRule>
  </conditionalFormatting>
  <conditionalFormatting sqref="I52">
    <cfRule type="expression" dxfId="15" priority="7" stopIfTrue="1">
      <formula>$J$52="超过30%"</formula>
    </cfRule>
  </conditionalFormatting>
  <conditionalFormatting sqref="I53">
    <cfRule type="expression" dxfId="14" priority="6" stopIfTrue="1">
      <formula>$J$53="超过20%"</formula>
    </cfRule>
  </conditionalFormatting>
  <conditionalFormatting sqref="I54">
    <cfRule type="expression" dxfId="13" priority="5" stopIfTrue="1">
      <formula>$J$54="超过30%"</formula>
    </cfRule>
  </conditionalFormatting>
  <conditionalFormatting sqref="J48">
    <cfRule type="expression" dxfId="12" priority="2">
      <formula>$D$48="简单平均"</formula>
    </cfRule>
  </conditionalFormatting>
  <conditionalFormatting sqref="J52:J54">
    <cfRule type="containsText" dxfId="11" priority="8" stopIfTrue="1" operator="containsText" text="超过">
      <formula>NOT(ISERROR(SEARCH("超过",J52)))</formula>
    </cfRule>
  </conditionalFormatting>
  <dataValidations count="25">
    <dataValidation type="list" allowBlank="1" showInputMessage="1" showErrorMessage="1" sqref="E1" xr:uid="{3DDF3024-9B68-477F-ADB2-4140FFEDCBC7}">
      <formula1>"项目模式,单套模式"</formula1>
    </dataValidation>
    <dataValidation type="list" allowBlank="1" showInputMessage="1" showErrorMessage="1" sqref="D48" xr:uid="{0BCD0734-610F-4013-8473-0357739BE1D5}">
      <formula1>"简单平均,加权平均"</formula1>
    </dataValidation>
    <dataValidation type="list" allowBlank="1" showInputMessage="1" showErrorMessage="1" sqref="F2" xr:uid="{143A2CE0-D2DE-4828-AF39-686F227EA6DD}">
      <formula1>估价方法</formula1>
    </dataValidation>
    <dataValidation type="list" allowBlank="1" showInputMessage="1" showErrorMessage="1" sqref="C2" xr:uid="{7D63EFE5-1F2A-4E19-B79E-71B09898E024}">
      <formula1>"需扣减承租人权益,——"</formula1>
    </dataValidation>
    <dataValidation type="list" allowBlank="1" showInputMessage="1" showErrorMessage="1" sqref="F1" xr:uid="{E7473DBA-10B0-4640-A2CF-0DAE45CD6BF0}">
      <formula1>"售价,租金"</formula1>
    </dataValidation>
    <dataValidation type="list" allowBlank="1" showInputMessage="1" showErrorMessage="1" sqref="C22 E22 G22 I22" xr:uid="{86458177-5639-4269-AABB-B435CAA1DFA8}">
      <formula1>基础设施水平</formula1>
    </dataValidation>
    <dataValidation type="list" allowBlank="1" showInputMessage="1" showErrorMessage="1" sqref="C16 E16 G16 I16" xr:uid="{9B4D8794-2185-4A96-A0DF-1811A533A708}">
      <formula1>商业繁华度</formula1>
    </dataValidation>
    <dataValidation type="list" allowBlank="1" showInputMessage="1" showErrorMessage="1" sqref="C8 E8 G8 I8" xr:uid="{A6C6B8A0-B0D7-493A-9C1B-30B6ABA308F0}">
      <formula1>商业交易情况</formula1>
    </dataValidation>
    <dataValidation type="list" allowBlank="1" showInputMessage="1" showErrorMessage="1" sqref="C39 E39 G39 I39" xr:uid="{842F54FB-373C-47C4-A8DB-DEACC96389AC}">
      <formula1>商业层高</formula1>
    </dataValidation>
    <dataValidation type="list" allowBlank="1" showInputMessage="1" showErrorMessage="1" sqref="C38 E38 G38 I38" xr:uid="{16FD772A-DD72-4543-92A2-9E0FD6A5A7C2}">
      <formula1>商业业态</formula1>
    </dataValidation>
    <dataValidation type="list" allowBlank="1" showInputMessage="1" showErrorMessage="1" sqref="E9 G9 I9" xr:uid="{547066FD-D7DC-48BD-AC87-6B653DFA2E61}">
      <formula1>商业用途</formula1>
    </dataValidation>
    <dataValidation type="list" allowBlank="1" showInputMessage="1" showErrorMessage="1" sqref="C42 E42 G42 I42" xr:uid="{8A4C99FD-2E6F-4CA3-8ACD-7831D27CBD4B}">
      <formula1>商业内部装修</formula1>
    </dataValidation>
    <dataValidation type="list" allowBlank="1" showInputMessage="1" showErrorMessage="1" sqref="C41 E41 G41 I41" xr:uid="{0E752982-3E21-44DE-81E0-9443E32A8074}">
      <formula1>商业进深比</formula1>
    </dataValidation>
    <dataValidation type="list" allowBlank="1" showInputMessage="1" showErrorMessage="1" sqref="C37 E37 G37 I37" xr:uid="{87902D38-0D66-4075-A8D3-85B17942C5E6}">
      <formula1>商业基础设施水平</formula1>
    </dataValidation>
    <dataValidation type="list" allowBlank="1" showInputMessage="1" showErrorMessage="1" sqref="C35 E35 G35 I35" xr:uid="{4F0E616B-87CF-4F14-9018-3721B6384123}">
      <formula1>商业公共部分装修</formula1>
    </dataValidation>
    <dataValidation type="list" allowBlank="1" showInputMessage="1" showErrorMessage="1" sqref="C34 E34 G34 I34" xr:uid="{2CACBCA8-B061-4647-B8C9-FB567FCF90BD}">
      <formula1>商业建筑结构</formula1>
    </dataValidation>
    <dataValidation type="list" allowBlank="1" showInputMessage="1" showErrorMessage="1" sqref="C32 E32 G32 I32" xr:uid="{4046736E-E615-4964-922C-15FFD7AECC14}">
      <formula1>商业类型</formula1>
    </dataValidation>
    <dataValidation type="list" allowBlank="1" showInputMessage="1" showErrorMessage="1" sqref="C28 E28 G28 I28" xr:uid="{91654778-2090-4F07-AA7C-B5E0EF349391}">
      <formula1>商业楼层</formula1>
    </dataValidation>
    <dataValidation type="list" allowBlank="1" showInputMessage="1" showErrorMessage="1" sqref="C27 E27 G27 I27" xr:uid="{EA7C1036-A1EA-4610-B5F3-0397EE6E659E}">
      <formula1>商业人流量</formula1>
    </dataValidation>
    <dataValidation type="list" allowBlank="1" showInputMessage="1" showErrorMessage="1" sqref="C25 E25 G25 I25" xr:uid="{C5E8E77A-5756-4C27-B82E-466F464D788C}">
      <formula1>商业临街状况</formula1>
    </dataValidation>
    <dataValidation type="list" allowBlank="1" showInputMessage="1" showErrorMessage="1" sqref="E24 G24 I24 C24" xr:uid="{4EA2FF6B-66DA-4805-83FC-8A29DA8539A1}">
      <formula1>环境</formula1>
    </dataValidation>
    <dataValidation type="list" allowBlank="1" showInputMessage="1" showErrorMessage="1" sqref="E18 G18 I18 C18" xr:uid="{FE1C470F-365D-455E-9CC7-2241BD9E0153}">
      <formula1>交通便捷度</formula1>
    </dataValidation>
    <dataValidation type="list" allowBlank="1" showInputMessage="1" showErrorMessage="1" sqref="E20 I20 G20 C20" xr:uid="{C645048F-77D7-4E02-B2A1-440819B353F1}">
      <formula1>公共配套设施</formula1>
    </dataValidation>
    <dataValidation type="list" allowBlank="1" showInputMessage="1" showErrorMessage="1" sqref="C43 E43 G43 I43" xr:uid="{DC6A6910-879B-4143-8FCB-455A4B452308}">
      <formula1>内部装修维护情况</formula1>
    </dataValidation>
    <dataValidation type="list" allowBlank="1" showInputMessage="1" showErrorMessage="1" sqref="D1" xr:uid="{AEF956EB-D286-47F6-9D0E-B0149778942E}">
      <formula1>项目类型</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77C1D-3EC5-486B-A754-58ED590813D8}">
  <sheetPr>
    <tabColor rgb="FF92D050"/>
  </sheetPr>
  <dimension ref="A1:AK83"/>
  <sheetViews>
    <sheetView view="pageBreakPreview" topLeftCell="A7"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3556</v>
      </c>
      <c r="D1" s="1270" t="s">
        <v>43</v>
      </c>
      <c r="E1" s="1271" t="s">
        <v>678</v>
      </c>
      <c r="F1" s="998">
        <f ca="1">J53</f>
        <v>17</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3121">
        <f ca="1">ROUND(D2/10000,4)</f>
        <v>94.671499999999995</v>
      </c>
      <c r="C2" s="1288" t="s">
        <v>805</v>
      </c>
      <c r="D2" s="1374">
        <f ca="1">C40+J29+L46</f>
        <v>946715</v>
      </c>
      <c r="E2" s="1294" t="s">
        <v>880</v>
      </c>
      <c r="F2" s="1295"/>
      <c r="G2" s="2476"/>
      <c r="H2" s="2466"/>
      <c r="I2" s="2466"/>
      <c r="J2" s="2466"/>
      <c r="K2" s="2467"/>
      <c r="L2" s="2466"/>
      <c r="M2" s="2466"/>
    </row>
    <row r="3" spans="1:37" ht="18" customHeight="1" thickBot="1">
      <c r="A3" s="1296" t="s">
        <v>806</v>
      </c>
      <c r="B3" s="1297">
        <f ca="1">IF(ISERROR(D2/F43),0,ROUND(D2/F43,0))</f>
        <v>6056</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77128</v>
      </c>
      <c r="D5" s="1272" t="s">
        <v>693</v>
      </c>
      <c r="E5" s="1007"/>
      <c r="F5" s="1008"/>
      <c r="G5" s="1291"/>
      <c r="H5" s="290">
        <v>1</v>
      </c>
      <c r="I5" s="291" t="s">
        <v>692</v>
      </c>
      <c r="J5" s="1006">
        <f ca="1">J6+J10+J12</f>
        <v>0</v>
      </c>
      <c r="K5" s="1272" t="s">
        <v>693</v>
      </c>
      <c r="L5" s="1007"/>
      <c r="M5" s="1008"/>
    </row>
    <row r="6" spans="1:37" ht="18" customHeight="1">
      <c r="A6" s="1005" t="s">
        <v>398</v>
      </c>
      <c r="B6" s="3286" t="s">
        <v>694</v>
      </c>
      <c r="C6" s="1010">
        <f ca="1">ROUND(F6*F8*F7*(1-F9),0)</f>
        <v>77032</v>
      </c>
      <c r="D6" s="146" t="s">
        <v>2106</v>
      </c>
      <c r="E6" s="293" t="s">
        <v>696</v>
      </c>
      <c r="F6" s="294">
        <f ca="1">INDIRECT("'数据-取费表'!u"&amp;$G$1)</f>
        <v>1.5</v>
      </c>
      <c r="G6" s="1291"/>
      <c r="H6" s="1005" t="s">
        <v>398</v>
      </c>
      <c r="I6" s="3286" t="s">
        <v>694</v>
      </c>
      <c r="J6" s="292">
        <f ca="1">ROUND(M6*M8*M7*(1-M9),0)</f>
        <v>0</v>
      </c>
      <c r="K6" s="1283" t="s">
        <v>2107</v>
      </c>
      <c r="L6" s="293" t="s">
        <v>696</v>
      </c>
      <c r="M6" s="294">
        <f ca="1">INDIRECT("'数据-取费表'!z"&amp;$G$1)</f>
        <v>0</v>
      </c>
    </row>
    <row r="7" spans="1:37" ht="18" customHeight="1">
      <c r="A7" s="1009"/>
      <c r="B7" s="3287"/>
      <c r="C7" s="1011"/>
      <c r="D7" s="298"/>
      <c r="E7" s="1012" t="s">
        <v>697</v>
      </c>
      <c r="F7" s="294">
        <f ca="1">IF(INDIRECT("'数据-取费表'!ah"&amp;$G$1)="",INDIRECT("'数据-取费表'!k"&amp;$G$1),INDIRECT("'数据-取费表'!ah"&amp;$G$1))</f>
        <v>156.33000000000001</v>
      </c>
      <c r="G7" s="1291"/>
      <c r="H7" s="295"/>
      <c r="I7" s="3287"/>
      <c r="J7" s="297"/>
      <c r="K7" s="298"/>
      <c r="L7" s="293" t="s">
        <v>697</v>
      </c>
      <c r="M7" s="294">
        <f ca="1">F7</f>
        <v>156.33000000000001</v>
      </c>
    </row>
    <row r="8" spans="1:37" ht="18" customHeight="1">
      <c r="A8" s="295"/>
      <c r="B8" s="3287"/>
      <c r="C8" s="297"/>
      <c r="D8" s="298"/>
      <c r="E8" s="293" t="s">
        <v>698</v>
      </c>
      <c r="F8" s="294">
        <f ca="1">INDIRECT("'数据-取费表'!ai"&amp;$G$1)</f>
        <v>365</v>
      </c>
      <c r="G8" s="1291"/>
      <c r="H8" s="295"/>
      <c r="I8" s="3287"/>
      <c r="J8" s="297"/>
      <c r="K8" s="298"/>
      <c r="L8" s="293" t="s">
        <v>698</v>
      </c>
      <c r="M8" s="294">
        <f ca="1">INDIRECT("'数据-取费表'!ai"&amp;$G$1)</f>
        <v>365</v>
      </c>
    </row>
    <row r="9" spans="1:37" ht="18" customHeight="1">
      <c r="A9" s="295"/>
      <c r="B9" s="3288"/>
      <c r="C9" s="297"/>
      <c r="D9" s="298"/>
      <c r="E9" s="293" t="s">
        <v>699</v>
      </c>
      <c r="F9" s="303">
        <f ca="1">INDIRECT("'数据-取费表'!w"&amp;$G$1)</f>
        <v>0.1</v>
      </c>
      <c r="G9" s="1291"/>
      <c r="H9" s="295"/>
      <c r="I9" s="3288"/>
      <c r="J9" s="297"/>
      <c r="K9" s="298"/>
      <c r="L9" s="304" t="s">
        <v>699</v>
      </c>
      <c r="M9" s="305">
        <f ca="1">INDIRECT("'数据-取费表'!ab"&amp;$G$1)</f>
        <v>0</v>
      </c>
    </row>
    <row r="10" spans="1:37" ht="18" customHeight="1">
      <c r="A10" s="1005" t="s">
        <v>402</v>
      </c>
      <c r="B10" s="1273" t="s">
        <v>700</v>
      </c>
      <c r="C10" s="307">
        <f ca="1">ROUND(IF(F10="押一",C6/12*F11,IF(F10="押二",C6/12*2*F11,IF(F10="押三",C6/12*3*F11,C11*F11))),0)</f>
        <v>96</v>
      </c>
      <c r="D10" s="149" t="s">
        <v>2116</v>
      </c>
      <c r="E10" s="304" t="s">
        <v>701</v>
      </c>
      <c r="F10" s="1052" t="s">
        <v>3416</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451293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468990</v>
      </c>
      <c r="D14" s="1256" t="s">
        <v>708</v>
      </c>
      <c r="E14" s="1254"/>
      <c r="F14" s="310"/>
      <c r="G14" s="1291"/>
      <c r="H14" s="927" t="s">
        <v>398</v>
      </c>
      <c r="I14" s="293" t="s">
        <v>709</v>
      </c>
      <c r="J14" s="21">
        <f ca="1">C29</f>
        <v>644704</v>
      </c>
      <c r="K14" s="12"/>
      <c r="L14" s="758"/>
      <c r="M14" s="759"/>
    </row>
    <row r="15" spans="1:37" s="1303" customFormat="1" ht="18" customHeight="1" thickBot="1">
      <c r="A15" s="927" t="s">
        <v>399</v>
      </c>
      <c r="B15" s="293" t="s">
        <v>710</v>
      </c>
      <c r="C15" s="21">
        <f ca="1">ROUND(C14*F15,0)</f>
        <v>14070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1289</v>
      </c>
      <c r="K16" s="1023" t="s">
        <v>715</v>
      </c>
      <c r="L16" s="1024"/>
      <c r="M16" s="1008"/>
    </row>
    <row r="17" spans="1:37" s="1303" customFormat="1" ht="18" customHeight="1">
      <c r="A17" s="927" t="s">
        <v>681</v>
      </c>
      <c r="B17" s="293" t="s">
        <v>716</v>
      </c>
      <c r="C17" s="21">
        <f ca="1">ROUND(F17*(F43+INDIRECT("'数据-取费表'!S"&amp;$G$1)),0)</f>
        <v>31266</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9380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523706</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10474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1289</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8947</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683</v>
      </c>
      <c r="I24" s="1026" t="s">
        <v>728</v>
      </c>
      <c r="J24" s="1027">
        <f ca="1">ROUND(J5*M24,0)</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-1289</v>
      </c>
      <c r="K25" s="1031" t="s">
        <v>753</v>
      </c>
      <c r="L25" s="1032"/>
      <c r="M25" s="1033"/>
    </row>
    <row r="26" spans="1:37" ht="18" customHeight="1">
      <c r="A26" s="927" t="s">
        <v>397</v>
      </c>
      <c r="B26" s="293" t="s">
        <v>754</v>
      </c>
      <c r="C26" s="21">
        <f ca="1">ROUND((C19+C20)*F26,0)</f>
        <v>53418</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644704</v>
      </c>
      <c r="D29" s="1028"/>
      <c r="E29" s="1026"/>
      <c r="F29" s="1029"/>
      <c r="G29" s="1302"/>
      <c r="H29" s="324" t="s">
        <v>396</v>
      </c>
      <c r="I29" s="325" t="s">
        <v>768</v>
      </c>
      <c r="J29" s="326">
        <f ca="1">ROUND(J26/(1+F40)^F41,0)</f>
        <v>0</v>
      </c>
      <c r="K29" s="327" t="s">
        <v>769</v>
      </c>
      <c r="L29" s="328"/>
      <c r="M29" s="329">
        <f ca="1">INDIRECT("'数据-取费表'!k"&amp;$G$1)</f>
        <v>156.33000000000001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7261</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5135</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1289</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451</v>
      </c>
      <c r="D37" s="1255" t="s">
        <v>743</v>
      </c>
      <c r="E37" s="293" t="s">
        <v>712</v>
      </c>
      <c r="F37" s="320">
        <f ca="1">INDIRECT("'数据-取费表'!Al"&amp;$G$1)</f>
        <v>1E-3</v>
      </c>
      <c r="G37" s="1291"/>
      <c r="H37" s="2471"/>
      <c r="I37" s="1304"/>
      <c r="J37" s="1305"/>
      <c r="K37" s="2329"/>
      <c r="L37" s="2471"/>
      <c r="M37" s="2471"/>
    </row>
    <row r="38" spans="1:18" ht="18" customHeight="1" thickBot="1">
      <c r="A38" s="1025" t="s">
        <v>683</v>
      </c>
      <c r="B38" s="1026" t="s">
        <v>728</v>
      </c>
      <c r="C38" s="1027">
        <f ca="1">ROUND(C5*F38,0)</f>
        <v>386</v>
      </c>
      <c r="D38" s="1028" t="s">
        <v>748</v>
      </c>
      <c r="E38" s="1026" t="s">
        <v>712</v>
      </c>
      <c r="F38" s="1022">
        <f ca="1">INDIRECT("'数据-取费表'!Am"&amp;$G$1)</f>
        <v>5.0000000000000001E-3</v>
      </c>
      <c r="G38" s="1291"/>
      <c r="H38" s="2471"/>
      <c r="I38" s="1304"/>
      <c r="J38" s="1305"/>
      <c r="K38" s="2469"/>
      <c r="L38" s="2471"/>
      <c r="M38" s="2471"/>
    </row>
    <row r="39" spans="1:18" ht="24.6" customHeight="1" thickTop="1">
      <c r="A39" s="1015" t="s">
        <v>394</v>
      </c>
      <c r="B39" s="1030" t="s">
        <v>752</v>
      </c>
      <c r="C39" s="301">
        <f ca="1">C5-C30</f>
        <v>69867</v>
      </c>
      <c r="D39" s="1031" t="s">
        <v>753</v>
      </c>
      <c r="E39" s="1032"/>
      <c r="F39" s="1033"/>
      <c r="G39" s="1291"/>
      <c r="H39" s="2471"/>
      <c r="I39" s="1304"/>
      <c r="J39" s="1305"/>
      <c r="K39" s="2469"/>
      <c r="L39" s="2471"/>
      <c r="M39" s="2471"/>
    </row>
    <row r="40" spans="1:18" ht="18" customHeight="1">
      <c r="A40" s="290" t="s">
        <v>395</v>
      </c>
      <c r="B40" s="291" t="s">
        <v>774</v>
      </c>
      <c r="C40" s="292">
        <f ca="1">ROUND(C39*(1-((1+F42)/(1+F40))^F41)/(F40-F42),0)</f>
        <v>871297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17</v>
      </c>
      <c r="G41" s="1291"/>
      <c r="H41" s="120">
        <f ca="1">C39/C5</f>
        <v>0.90585779483456075</v>
      </c>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5573</v>
      </c>
      <c r="D43" s="327" t="s">
        <v>777</v>
      </c>
      <c r="E43" s="328" t="s">
        <v>778</v>
      </c>
      <c r="F43" s="329">
        <f ca="1">INDIRECT("'数据-取费表'!k"&amp;$G$1)</f>
        <v>156.33000000000001</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3350</v>
      </c>
      <c r="B45" s="1306"/>
      <c r="C45" s="1375">
        <f ca="1">ROUND((C68-C40)/10000,4)</f>
        <v>-89.020099999999999</v>
      </c>
      <c r="D45" s="3128" t="s">
        <v>3351</v>
      </c>
      <c r="E45" s="1306"/>
      <c r="F45" s="1306"/>
      <c r="O45" s="1309" t="s">
        <v>808</v>
      </c>
      <c r="P45" s="1365"/>
      <c r="Q45" s="1365"/>
      <c r="R45" s="1365"/>
    </row>
    <row r="46" spans="1:18" s="1291" customFormat="1" ht="13.8" thickBot="1">
      <c r="A46" s="1310" t="s">
        <v>809</v>
      </c>
      <c r="C46" s="1311">
        <f ca="1">ROUND(C45,0)</f>
        <v>-89</v>
      </c>
      <c r="D46" s="1312" t="str">
        <f>C2</f>
        <v>万元</v>
      </c>
      <c r="I46" s="1313" t="s">
        <v>810</v>
      </c>
      <c r="J46" s="1314"/>
      <c r="K46" s="1315"/>
      <c r="L46" s="1316">
        <f ca="1">IF(M47="住宅",0,IF(L48&gt;J51,L60,J60))</f>
        <v>75418</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3417</v>
      </c>
      <c r="K47" s="1322" t="s">
        <v>816</v>
      </c>
      <c r="L47" s="1323">
        <f ca="1">INDIRECT("'数据-取费表'!d"&amp;$G$1)</f>
        <v>40</v>
      </c>
      <c r="M47" s="1287" t="str">
        <f>IF(ISNUMBER(FIND("住宅",C1)),"住宅","非住宅")</f>
        <v>非住宅</v>
      </c>
      <c r="O47" s="1324" t="s">
        <v>403</v>
      </c>
      <c r="P47" s="1325" t="s">
        <v>817</v>
      </c>
      <c r="Q47" s="1326">
        <f ca="1">C40+J29</f>
        <v>871297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3418</v>
      </c>
      <c r="K48" s="1329" t="s">
        <v>820</v>
      </c>
      <c r="L48" s="1330">
        <f ca="1">INDIRECT("'数据-取费表'!f"&amp;$G$1)</f>
        <v>17</v>
      </c>
      <c r="O48" s="1324" t="s">
        <v>404</v>
      </c>
      <c r="P48" s="1325" t="s">
        <v>821</v>
      </c>
      <c r="Q48" s="1326">
        <f ca="1">J60</f>
        <v>75418</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'数据-取费表'!N19</f>
        <v>2002</v>
      </c>
      <c r="K49" s="1329" t="s">
        <v>824</v>
      </c>
      <c r="L49" s="1332"/>
      <c r="O49" s="1333" t="s">
        <v>405</v>
      </c>
      <c r="P49" s="1325" t="s">
        <v>825</v>
      </c>
      <c r="Q49" s="1326">
        <f ca="1">C29</f>
        <v>644704</v>
      </c>
      <c r="R49" s="1326" t="s">
        <v>818</v>
      </c>
    </row>
    <row r="50" spans="1:18" s="1291" customFormat="1" ht="13.8" thickBot="1">
      <c r="A50" s="921"/>
      <c r="B50" s="924"/>
      <c r="C50" s="925"/>
      <c r="D50" s="898"/>
      <c r="E50" s="992" t="s">
        <v>697</v>
      </c>
      <c r="F50" s="993">
        <f ca="1">F7</f>
        <v>156.33000000000001</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28</v>
      </c>
      <c r="K51" s="1338" t="s">
        <v>830</v>
      </c>
      <c r="L51" s="1339">
        <f ca="1">ROUND(-PV(INDIRECT("'数据-取费表'!h"&amp;$G$1),J51,(C39-C13*C76),0),0)</f>
        <v>570248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17</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v>
      </c>
      <c r="K53" s="3284" t="s">
        <v>837</v>
      </c>
      <c r="L53" s="3285"/>
      <c r="O53" s="1324" t="s">
        <v>409</v>
      </c>
      <c r="P53" s="1325" t="s">
        <v>838</v>
      </c>
      <c r="Q53" s="1326">
        <f ca="1">Q47+Q48</f>
        <v>946715</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451293</v>
      </c>
      <c r="D56" s="1351"/>
      <c r="E56" s="1352"/>
      <c r="F56" s="1344"/>
      <c r="I56" s="1353" t="s">
        <v>842</v>
      </c>
      <c r="J56" s="1354" t="s">
        <v>3419</v>
      </c>
      <c r="K56" s="1327" t="s">
        <v>843</v>
      </c>
      <c r="L56" s="1330" t="str">
        <f ca="1">IF(L48&lt;J51,"——",L48-J51)</f>
        <v>——</v>
      </c>
      <c r="O56" s="1324" t="s">
        <v>403</v>
      </c>
      <c r="P56" s="1325" t="s">
        <v>817</v>
      </c>
      <c r="Q56" s="1326">
        <f ca="1">C40+J29</f>
        <v>871297</v>
      </c>
      <c r="R56" s="1326" t="s">
        <v>818</v>
      </c>
    </row>
    <row r="57" spans="1:18" s="1291" customFormat="1" ht="24.6" thickBot="1">
      <c r="A57" s="1355"/>
      <c r="B57" s="895" t="s">
        <v>767</v>
      </c>
      <c r="C57" s="229">
        <f ca="1">C29</f>
        <v>644704</v>
      </c>
      <c r="D57" s="1356"/>
      <c r="E57" s="1357"/>
      <c r="F57" s="1358"/>
      <c r="I57" s="1359" t="s">
        <v>844</v>
      </c>
      <c r="J57" s="1360">
        <f ca="1">IF(OR(M47="住宅",J51&lt;L48,J56="是"),"——",J51-L48)</f>
        <v>11</v>
      </c>
      <c r="K57" s="1327" t="s">
        <v>892</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1740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257882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75418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t="str">
        <f ca="1">IF(项目基本情况!B11="自然人","——",IF(D61="按租金收入计税",ROUND(C49*F61/(1+'数据-取费表'!C42),0),IF(D61="按房产原值计税",ROUND(C57*F61*0.7,0),INDIRECT("'数据-取费表'!Aj"&amp;$G$1))))</f>
        <v>——</v>
      </c>
      <c r="D61" s="1277" t="s">
        <v>3334</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t="str">
        <f>IF(项目基本情况!B11="自然人","——",ROUND(F62*F63,0))</f>
        <v>——</v>
      </c>
      <c r="D62" s="910" t="s">
        <v>731</v>
      </c>
      <c r="E62" s="895" t="s">
        <v>732</v>
      </c>
      <c r="F62" s="316">
        <f t="shared" si="0"/>
        <v>1.5</v>
      </c>
      <c r="I62" s="1366" t="s">
        <v>858</v>
      </c>
      <c r="J62" s="609" t="s">
        <v>859</v>
      </c>
      <c r="K62" s="609" t="s">
        <v>860</v>
      </c>
      <c r="L62" s="609" t="s">
        <v>861</v>
      </c>
      <c r="M62" s="1367" t="s">
        <v>862</v>
      </c>
      <c r="O62" s="1324" t="s">
        <v>409</v>
      </c>
      <c r="P62" s="1325" t="s">
        <v>838</v>
      </c>
      <c r="Q62" s="1326">
        <f ca="1">Q56+Q57</f>
        <v>871297</v>
      </c>
      <c r="R62" s="1326" t="s">
        <v>410</v>
      </c>
    </row>
    <row r="63" spans="1:18" s="1291" customFormat="1" ht="13.8" thickBot="1">
      <c r="A63" s="317"/>
      <c r="B63" s="901"/>
      <c r="C63" s="26"/>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8" thickBot="1">
      <c r="A64" s="927" t="s">
        <v>402</v>
      </c>
      <c r="B64" s="895" t="s">
        <v>738</v>
      </c>
      <c r="C64" s="21">
        <f ca="1">ROUND(C57*F64,0)</f>
        <v>1289</v>
      </c>
      <c r="D64" s="909" t="s">
        <v>771</v>
      </c>
      <c r="E64" s="895" t="s">
        <v>712</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451</v>
      </c>
      <c r="D65" s="909" t="s">
        <v>743</v>
      </c>
      <c r="E65" s="895" t="s">
        <v>712</v>
      </c>
      <c r="F65" s="320">
        <f t="shared" ca="1" si="0"/>
        <v>1E-3</v>
      </c>
      <c r="I65" s="1366" t="s">
        <v>867</v>
      </c>
      <c r="J65" s="609">
        <v>40</v>
      </c>
      <c r="K65" s="609">
        <v>30</v>
      </c>
      <c r="L65" s="609">
        <v>50</v>
      </c>
      <c r="M65" s="1368">
        <v>0.02</v>
      </c>
      <c r="O65" s="1324" t="s">
        <v>403</v>
      </c>
      <c r="P65" s="1325" t="s">
        <v>817</v>
      </c>
      <c r="Q65" s="1326">
        <f ca="1">C40+J29</f>
        <v>871297</v>
      </c>
      <c r="R65" s="1326" t="s">
        <v>818</v>
      </c>
    </row>
    <row r="66" spans="1:18" s="1291" customFormat="1" ht="16.2" thickBot="1">
      <c r="A66" s="927" t="s">
        <v>793</v>
      </c>
      <c r="B66" s="895" t="s">
        <v>728</v>
      </c>
      <c r="C66" s="21">
        <f ca="1">ROUND(C48*F66,0)</f>
        <v>0</v>
      </c>
      <c r="D66" s="909" t="s">
        <v>748</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-1740</v>
      </c>
      <c r="D67" s="908" t="s">
        <v>753</v>
      </c>
      <c r="E67" s="913"/>
      <c r="F67" s="914"/>
      <c r="O67" s="1333" t="s">
        <v>405</v>
      </c>
      <c r="P67" s="1325" t="s">
        <v>850</v>
      </c>
      <c r="Q67" s="1369">
        <f ca="1">L51</f>
        <v>570248</v>
      </c>
      <c r="R67" s="1326" t="s">
        <v>870</v>
      </c>
    </row>
    <row r="68" spans="1:18" s="1291" customFormat="1" ht="16.2" thickBot="1">
      <c r="A68" s="892" t="s">
        <v>395</v>
      </c>
      <c r="B68" s="893" t="s">
        <v>774</v>
      </c>
      <c r="C68" s="292">
        <f ca="1">ROUND(C67*(1-((1+F70)/(1+F68))^F69)/(F68-F70),0)</f>
        <v>-18904</v>
      </c>
      <c r="D68" s="910" t="s">
        <v>758</v>
      </c>
      <c r="E68" s="895" t="s">
        <v>759</v>
      </c>
      <c r="F68" s="303">
        <f ca="1">F40</f>
        <v>5.5E-2</v>
      </c>
      <c r="O68" s="1333" t="s">
        <v>406</v>
      </c>
      <c r="P68" s="1370" t="s">
        <v>871</v>
      </c>
      <c r="Q68" s="1326">
        <f ca="1">ROUND(Q69-Q70*Q71,0)</f>
        <v>38276</v>
      </c>
      <c r="R68" s="1326" t="s">
        <v>414</v>
      </c>
    </row>
    <row r="69" spans="1:18" s="1291" customFormat="1" ht="13.8" thickBot="1">
      <c r="A69" s="896"/>
      <c r="B69" s="897"/>
      <c r="C69" s="297"/>
      <c r="D69" s="915" t="s">
        <v>762</v>
      </c>
      <c r="E69" s="895" t="s">
        <v>763</v>
      </c>
      <c r="F69" s="323">
        <f ca="1">F41</f>
        <v>17</v>
      </c>
      <c r="O69" s="1333" t="s">
        <v>411</v>
      </c>
      <c r="P69" s="1370" t="s">
        <v>872</v>
      </c>
      <c r="Q69" s="1326">
        <f ca="1">C39</f>
        <v>69867</v>
      </c>
      <c r="R69" s="1326" t="s">
        <v>818</v>
      </c>
    </row>
    <row r="70" spans="1:18" s="1291" customFormat="1" ht="13.8" thickBot="1">
      <c r="A70" s="899"/>
      <c r="B70" s="900"/>
      <c r="C70" s="301"/>
      <c r="D70" s="911"/>
      <c r="E70" s="895" t="s">
        <v>766</v>
      </c>
      <c r="F70" s="990"/>
      <c r="O70" s="1333" t="s">
        <v>412</v>
      </c>
      <c r="P70" s="1370" t="s">
        <v>873</v>
      </c>
      <c r="Q70" s="1326">
        <f ca="1">C13</f>
        <v>451293</v>
      </c>
      <c r="R70" s="1326" t="s">
        <v>818</v>
      </c>
    </row>
    <row r="71" spans="1:18" s="1291" customFormat="1" ht="13.8" thickBot="1">
      <c r="A71" s="916" t="s">
        <v>396</v>
      </c>
      <c r="B71" s="917" t="s">
        <v>776</v>
      </c>
      <c r="C71" s="326">
        <f ca="1">ROUND(C68/F71,0)</f>
        <v>-121</v>
      </c>
      <c r="D71" s="918" t="s">
        <v>777</v>
      </c>
      <c r="E71" s="919" t="s">
        <v>778</v>
      </c>
      <c r="F71" s="329">
        <f ca="1">F43</f>
        <v>156.33000000000001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31591</v>
      </c>
      <c r="D75" s="1291"/>
      <c r="E75" s="1291"/>
      <c r="F75" s="1291"/>
      <c r="K75" s="1308"/>
      <c r="L75" s="1291"/>
      <c r="O75" s="1324" t="s">
        <v>409</v>
      </c>
      <c r="P75" s="1325" t="s">
        <v>838</v>
      </c>
      <c r="Q75" s="1326">
        <f ca="1">Q65+Q66</f>
        <v>871297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0.54800000000000004</v>
      </c>
    </row>
    <row r="80" spans="1:18">
      <c r="B80" s="330" t="s">
        <v>800</v>
      </c>
      <c r="C80" s="265">
        <f ca="1">ROUND(C75/C39,3)</f>
        <v>0.45200000000000001</v>
      </c>
    </row>
    <row r="81" spans="2:3">
      <c r="B81" s="261" t="s">
        <v>801</v>
      </c>
      <c r="C81" s="229"/>
    </row>
    <row r="82" spans="2:3">
      <c r="B82" s="264" t="s">
        <v>802</v>
      </c>
      <c r="C82" s="266">
        <f ca="1">1-C83</f>
        <v>0.48199999999999998</v>
      </c>
    </row>
    <row r="83" spans="2:3">
      <c r="B83" s="264" t="s">
        <v>803</v>
      </c>
      <c r="C83" s="265">
        <f ca="1">ROUND(C13/C40,3)</f>
        <v>0.51800000000000002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xr:uid="{D385324F-EED4-4499-BC01-808F0ED39E22}">
      <formula1>"在建（套用方法）,土地（套用方法）,——"</formula1>
    </dataValidation>
    <dataValidation type="list" allowBlank="1" showInputMessage="1" showErrorMessage="1" sqref="F10 F53 M10" xr:uid="{83332F31-C347-4DB8-AE44-C6BD73CC2E19}">
      <formula1>"押一,押二,押三,自定义"</formula1>
    </dataValidation>
    <dataValidation type="list" allowBlank="1" showInputMessage="1" showErrorMessage="1" sqref="K19" xr:uid="{E1408A37-3B07-47B7-BC99-1226B1009B73}">
      <formula1>"按租金收入计税,按房产原值计税"</formula1>
    </dataValidation>
    <dataValidation type="list" allowBlank="1" showInputMessage="1" showErrorMessage="1" sqref="D33 D61" xr:uid="{6FCDB651-214A-48EF-B08A-95BD0BEA7659}">
      <formula1>"按租金收入计税,按房产原值计税,按票据"</formula1>
    </dataValidation>
    <dataValidation type="list" allowBlank="1" showInputMessage="1" showErrorMessage="1" sqref="C1" xr:uid="{9B98C6D5-BD82-4847-8F3A-62BF7AB64F36}">
      <formula1>项目类型</formula1>
    </dataValidation>
    <dataValidation type="list" allowBlank="1" showInputMessage="1" showErrorMessage="1" sqref="J47" xr:uid="{C7EE2979-BF88-40DC-9C4D-4A63F86B9A3A}">
      <formula1>"钢,钢混,砖混"</formula1>
    </dataValidation>
    <dataValidation type="list" allowBlank="1" showInputMessage="1" showErrorMessage="1" sqref="J48" xr:uid="{C819FA28-5A89-4FDD-9694-23D76B15B7E2}">
      <formula1>"非生产用房,生产用房,受腐蚀的生产用房"</formula1>
    </dataValidation>
    <dataValidation type="list" allowBlank="1" showInputMessage="1" showErrorMessage="1" sqref="J56" xr:uid="{B5BB7F08-CA52-41B5-AFE8-36475DC6B2F2}">
      <formula1>估价范围判定</formula1>
    </dataValidation>
    <dataValidation type="list" allowBlank="1" showInputMessage="1" showErrorMessage="1" sqref="L55" xr:uid="{266F921E-D1DD-406B-AC7E-84BF8DAD523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Q51" sqref="Q5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3407</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150.4872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9626</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843439</v>
      </c>
      <c r="D5" s="202" t="s">
        <v>1469</v>
      </c>
      <c r="E5" s="203" t="s">
        <v>1470</v>
      </c>
      <c r="F5" s="203" t="s">
        <v>1471</v>
      </c>
      <c r="G5" s="204"/>
    </row>
    <row r="6" spans="1:8" s="205" customFormat="1" ht="13.5" customHeight="1">
      <c r="A6" s="731" t="s">
        <v>1472</v>
      </c>
      <c r="B6" s="206" t="s">
        <v>1473</v>
      </c>
      <c r="C6" s="207">
        <f>ROUND(基准地价修正!U2*基准地价修正!T2+基准地价修正!U3*基准地价修正!T3,0)</f>
        <v>795720</v>
      </c>
      <c r="D6" s="208"/>
      <c r="E6" s="209"/>
      <c r="F6" s="209"/>
      <c r="G6" s="210"/>
    </row>
    <row r="7" spans="1:8" s="205" customFormat="1" ht="13.5" customHeight="1">
      <c r="A7" s="731" t="s">
        <v>1474</v>
      </c>
      <c r="B7" s="206" t="s">
        <v>1475</v>
      </c>
      <c r="C7" s="211">
        <f>ROUND(C6*F7,0)</f>
        <v>24269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23450</v>
      </c>
      <c r="D8" s="213"/>
      <c r="E8" s="211"/>
      <c r="F8" s="212"/>
      <c r="G8" s="1713" t="s">
        <v>3408</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100</v>
      </c>
      <c r="F9" s="212"/>
      <c r="G9" s="217"/>
    </row>
    <row r="10" spans="1:8" s="205" customFormat="1" ht="13.5" customHeight="1">
      <c r="A10" s="732" t="s">
        <v>356</v>
      </c>
      <c r="B10" s="215" t="s">
        <v>1480</v>
      </c>
      <c r="C10" s="216">
        <f ca="1">ROUND(D10*E10,0)</f>
        <v>23450</v>
      </c>
      <c r="D10" s="794">
        <f ca="1">IF(B1="",'数据-汇总表'!E6,IF(INDIRECT("'数据-取费表'!c"&amp;$G$1)="住宅",INDIRECT("'数据-取费表'!s"&amp;$G$1),INDIRECT("'数据-取费表'!k"&amp;$G$1)+INDIRECT("'数据-取费表'!s"&amp;$G$1)))</f>
        <v>156.33000000000001</v>
      </c>
      <c r="E10" s="216">
        <f>'数据-取费表'!B28</f>
        <v>150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156.33000000000001</v>
      </c>
      <c r="E19" s="202">
        <f>'数据-取费表'!B31</f>
        <v>200</v>
      </c>
      <c r="F19" s="222"/>
      <c r="G19" s="1713" t="s">
        <v>3409</v>
      </c>
    </row>
    <row r="20" spans="1:7" s="205" customFormat="1" ht="13.5" customHeight="1">
      <c r="A20" s="246" t="s">
        <v>1574</v>
      </c>
      <c r="B20" s="201" t="s">
        <v>1575</v>
      </c>
      <c r="C20" s="223">
        <f ca="1">ROUND((C5+C19)*F20,0)</f>
        <v>16869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28538</v>
      </c>
      <c r="D22" s="226">
        <f ca="1">C26</f>
        <v>2.9999999999999997E-4</v>
      </c>
      <c r="E22" s="227" t="s">
        <v>1579</v>
      </c>
      <c r="F22" s="228">
        <f ca="1">'数据-取费表'!B40</f>
        <v>3.3500000000000002E-2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28255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283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86031</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86031</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1053579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523706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468990</v>
      </c>
      <c r="D34" s="208"/>
      <c r="E34" s="211"/>
      <c r="F34" s="248"/>
      <c r="G34" s="210"/>
    </row>
    <row r="35" spans="1:7" ht="13.5" customHeight="1">
      <c r="A35" s="733" t="s">
        <v>351</v>
      </c>
      <c r="B35" s="206" t="s">
        <v>1527</v>
      </c>
      <c r="C35" s="211">
        <f ca="1">ROUND(C34*F35,0)</f>
        <v>14070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31266</v>
      </c>
      <c r="D37" s="208">
        <f ca="1">D19</f>
        <v>156.33000000000001</v>
      </c>
      <c r="E37" s="240">
        <f>'数据-取费表'!B35</f>
        <v>200</v>
      </c>
      <c r="F37" s="250"/>
      <c r="G37" s="252"/>
    </row>
    <row r="38" spans="1:7" ht="13.5" customHeight="1">
      <c r="A38" s="733" t="s">
        <v>354</v>
      </c>
      <c r="B38" s="206" t="s">
        <v>1533</v>
      </c>
      <c r="C38" s="211">
        <f ca="1">ROUND(C34*F38,0)</f>
        <v>9380</v>
      </c>
      <c r="D38" s="211"/>
      <c r="E38" s="211"/>
      <c r="F38" s="250">
        <f>'数据-取费表'!B36</f>
        <v>0.02</v>
      </c>
      <c r="G38" s="210" t="s">
        <v>1528</v>
      </c>
    </row>
    <row r="39" spans="1:7" s="205" customFormat="1" ht="13.5" customHeight="1">
      <c r="A39" s="246" t="s">
        <v>1534</v>
      </c>
      <c r="B39" s="201" t="s">
        <v>1535</v>
      </c>
      <c r="C39" s="223">
        <f ca="1">ROUND(C33*F20,0)</f>
        <v>10474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8947</v>
      </c>
      <c r="D41" s="226">
        <f ca="1">C44</f>
        <v>2.9999999999999997E-4</v>
      </c>
      <c r="E41" s="227" t="s">
        <v>1539</v>
      </c>
      <c r="F41" s="228">
        <f ca="1">F22</f>
        <v>3.3500000000000002E-2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8772</v>
      </c>
      <c r="D42" s="229"/>
      <c r="E42" s="229"/>
      <c r="F42" s="230"/>
      <c r="G42" s="3281" t="s">
        <v>1591</v>
      </c>
    </row>
    <row r="43" spans="1:7" ht="13.5" customHeight="1">
      <c r="A43" s="733" t="s">
        <v>347</v>
      </c>
      <c r="B43" s="206" t="s">
        <v>1545</v>
      </c>
      <c r="C43" s="229">
        <f ca="1">ROUND(IF('数据-取费表'!B22&lt;=1,C39*F22*'数据-取费表'!B20/2,C39*(POWER((1+F22),'数据-取费表'!B20/2)-1)),0)</f>
        <v>175</v>
      </c>
      <c r="D43" s="229"/>
      <c r="E43" s="229"/>
      <c r="F43" s="230"/>
      <c r="G43" s="3282"/>
    </row>
    <row r="44" spans="1:7" ht="13.5" customHeight="1">
      <c r="A44" s="733" t="s">
        <v>348</v>
      </c>
      <c r="B44" s="206" t="s">
        <v>1546</v>
      </c>
      <c r="C44" s="229">
        <f ca="1">ROUND(IF('数据-取费表'!B22&lt;=1,C40*F22*'数据-取费表'!B20/2,C40*(POWER((1+F22),'数据-取费表'!B20/2)-1)),4)</f>
        <v>2.9999999999999997E-4</v>
      </c>
      <c r="D44" s="229"/>
      <c r="E44" s="229"/>
      <c r="F44" s="230"/>
      <c r="G44" s="3283"/>
    </row>
    <row r="45" spans="1:7" s="205" customFormat="1" ht="13.5" customHeight="1">
      <c r="A45" s="246" t="s">
        <v>1547</v>
      </c>
      <c r="B45" s="235" t="s">
        <v>1513</v>
      </c>
      <c r="C45" s="236">
        <f ca="1">C46</f>
        <v>53418</v>
      </c>
      <c r="D45" s="226">
        <f ca="1">C47</f>
        <v>2E-3</v>
      </c>
      <c r="E45" s="227" t="s">
        <v>1539</v>
      </c>
      <c r="F45" s="237">
        <f ca="1">F27</f>
        <v>0.1</v>
      </c>
      <c r="G45" s="238" t="s">
        <v>1548</v>
      </c>
    </row>
    <row r="46" spans="1:7" s="205" customFormat="1" ht="13.5" customHeight="1">
      <c r="A46" s="733" t="s">
        <v>346</v>
      </c>
      <c r="B46" s="239" t="s">
        <v>1549</v>
      </c>
      <c r="C46" s="240">
        <f ca="1">ROUND((C33+C39)*F27,0)</f>
        <v>53418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644704</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451293</v>
      </c>
      <c r="D51" s="223"/>
      <c r="E51" s="223"/>
      <c r="F51" s="255"/>
      <c r="G51" s="225" t="s">
        <v>1560</v>
      </c>
    </row>
    <row r="52" spans="1:7" s="199" customFormat="1" ht="16.8" thickBot="1">
      <c r="A52" s="256" t="s">
        <v>1561</v>
      </c>
      <c r="B52" s="257"/>
      <c r="C52" s="258">
        <f ca="1">C31+C51</f>
        <v>1504872</v>
      </c>
      <c r="D52" s="257"/>
      <c r="E52" s="257"/>
      <c r="F52" s="257"/>
      <c r="G52" s="259"/>
    </row>
    <row r="55" spans="1:7" ht="15">
      <c r="B55" s="261" t="s">
        <v>1562</v>
      </c>
      <c r="C55" s="262"/>
    </row>
    <row r="56" spans="1:7">
      <c r="B56" s="264" t="s">
        <v>802</v>
      </c>
      <c r="C56" s="266">
        <f ca="1">1-C57</f>
        <v>0.7</v>
      </c>
    </row>
    <row r="57" spans="1:7">
      <c r="B57" s="264" t="s">
        <v>803</v>
      </c>
      <c r="C57" s="265">
        <f ca="1">ROUND(C51/C52,3)</f>
        <v>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49" zoomScale="70" zoomScaleNormal="80" zoomScaleSheetLayoutView="70" workbookViewId="0">
      <selection activeCell="F56" sqref="F5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80</v>
      </c>
      <c r="C2" s="1845" t="s">
        <v>1935</v>
      </c>
      <c r="D2" s="161" t="s">
        <v>1936</v>
      </c>
      <c r="E2" s="3118" t="s">
        <v>673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Ⅸ-延2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1.5418000000000001</v>
      </c>
      <c r="T2" s="3061">
        <f t="shared" ref="T2:T16" si="0">ROUND($C$5*$C$22*$C$23*$C$24*S2*$C$28,0)</f>
        <v>5749</v>
      </c>
      <c r="U2" s="1129">
        <f>'数据-汇总表'!E19/2</f>
        <v>78.165000000000006</v>
      </c>
      <c r="V2" s="3061">
        <f>ROUND(T2*U2/10000,0)</f>
        <v>45</v>
      </c>
      <c r="W2" s="1132"/>
      <c r="X2" s="1132"/>
      <c r="Y2" s="1132"/>
      <c r="Z2" s="1132"/>
      <c r="AA2" s="1132"/>
      <c r="AB2" s="1132"/>
      <c r="AC2" s="1133"/>
      <c r="AD2" s="1134"/>
      <c r="AE2" s="1134"/>
      <c r="AF2" s="1134"/>
      <c r="AG2" s="1134"/>
      <c r="AH2" s="1134"/>
      <c r="AI2" s="1134"/>
      <c r="AJ2" s="1135"/>
    </row>
    <row r="3" spans="1:36" ht="15.6">
      <c r="A3" s="194" t="s">
        <v>1940</v>
      </c>
      <c r="B3" s="195" t="e">
        <f>ROUND(B2*10000/D1,0)</f>
        <v>#DIV/0!</v>
      </c>
      <c r="C3" s="1845" t="s">
        <v>1941</v>
      </c>
      <c r="D3" s="161" t="s">
        <v>1942</v>
      </c>
      <c r="E3" s="3116" t="s">
        <v>2439</v>
      </c>
      <c r="F3" s="1847" t="s">
        <v>3420</v>
      </c>
      <c r="G3" s="707">
        <f>IF(F3="宗地容积率",'数据-汇总表'!I4,IF(F3="估价对象容积率",'数据-汇总表'!I6,'数据-汇总表'!I7))</f>
        <v>0</v>
      </c>
      <c r="H3" s="161" t="s">
        <v>1943</v>
      </c>
      <c r="I3" s="728">
        <v>2</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1.1883999999999999</v>
      </c>
      <c r="T3" s="3061">
        <f t="shared" si="0"/>
        <v>4431</v>
      </c>
      <c r="U3" s="1129">
        <f>'数据-汇总表'!E19/2</f>
        <v>78.165000000000006</v>
      </c>
      <c r="V3" s="3061">
        <f t="shared" ref="V3:V16" si="1">ROUND(T3*U3/10000,0)</f>
        <v>35</v>
      </c>
      <c r="W3" s="1132"/>
      <c r="X3" s="1132"/>
      <c r="Y3" s="1132"/>
      <c r="Z3" s="1132"/>
      <c r="AA3" s="1132"/>
      <c r="AB3" s="1132"/>
      <c r="AC3" s="1133"/>
      <c r="AD3" s="1134"/>
      <c r="AE3" s="1134"/>
      <c r="AF3" s="1134"/>
      <c r="AG3" s="1134"/>
      <c r="AH3" s="1134"/>
      <c r="AI3" s="1134"/>
      <c r="AJ3" s="1135"/>
    </row>
    <row r="4" spans="1:36" ht="15.6">
      <c r="A4" s="3487"/>
      <c r="B4" s="3488"/>
      <c r="C4" s="3488"/>
      <c r="D4" s="3489"/>
      <c r="E4" s="3489"/>
      <c r="F4" s="3489"/>
      <c r="G4" s="3489"/>
      <c r="H4" s="3489"/>
      <c r="I4" s="3489"/>
      <c r="J4" s="349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0.96940000000000004</v>
      </c>
      <c r="T4" s="3061">
        <f t="shared" si="0"/>
        <v>3615</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5185</v>
      </c>
      <c r="D5" s="1251">
        <f>ROUND(C6*C17+C20,0)</f>
        <v>5185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0.82299999999999995</v>
      </c>
      <c r="T5" s="3061">
        <f t="shared" si="0"/>
        <v>3069</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5150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0.74980000000000002</v>
      </c>
      <c r="T6" s="3061">
        <f t="shared" si="0"/>
        <v>2796</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九级</v>
      </c>
      <c r="Y7" s="1130" t="s">
        <v>1956</v>
      </c>
      <c r="Z7" s="1131">
        <f>G3</f>
        <v>0</v>
      </c>
      <c r="AA7" s="1132"/>
      <c r="AB7" s="1132"/>
      <c r="AC7" s="1133"/>
      <c r="AD7" s="1134"/>
      <c r="AE7" s="1134"/>
      <c r="AF7" s="1134"/>
      <c r="AG7" s="1134"/>
      <c r="AH7" s="1134"/>
      <c r="AI7" s="1134"/>
      <c r="AJ7" s="1135"/>
    </row>
    <row r="8" spans="1:36" ht="26.4">
      <c r="A8" s="3007"/>
      <c r="B8" s="161" t="s">
        <v>1957</v>
      </c>
      <c r="C8" s="1869" t="s">
        <v>3421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84" t="s">
        <v>1960</v>
      </c>
      <c r="X8" s="348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5150</v>
      </c>
      <c r="N9" s="812">
        <f>SUMPRODUCT((因素修正幅度!B277:B326=I2)*(因素修正幅度!C3:G3=E2)*(因素修正幅度!C277:G326))</f>
        <v>0.15</v>
      </c>
      <c r="O9" s="1055"/>
      <c r="P9" s="1055"/>
      <c r="Q9" s="1055"/>
      <c r="R9" s="1128">
        <v>8</v>
      </c>
      <c r="S9" s="1129"/>
      <c r="T9" s="3061">
        <f t="shared" si="0"/>
        <v>0</v>
      </c>
      <c r="U9" s="1129"/>
      <c r="V9" s="3061">
        <f t="shared" si="1"/>
        <v>0</v>
      </c>
      <c r="W9" s="348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8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491" t="s">
        <v>3254</v>
      </c>
      <c r="B20" s="158" t="s">
        <v>1994</v>
      </c>
      <c r="C20" s="3029">
        <f>ROUND(IF(F21="与级别开发程度一致",0,(G21-E21)/C21),0)</f>
        <v>35</v>
      </c>
      <c r="D20" s="3044" t="s">
        <v>1998</v>
      </c>
      <c r="E20" s="3045"/>
      <c r="F20" s="3497" t="s">
        <v>1995</v>
      </c>
      <c r="G20" s="3498"/>
      <c r="H20" s="3030" t="s">
        <v>3531</v>
      </c>
      <c r="I20" s="3030" t="s">
        <v>3532</v>
      </c>
      <c r="J20" s="3031" t="s">
        <v>3533</v>
      </c>
      <c r="K20" s="1888" t="s">
        <v>3534</v>
      </c>
      <c r="L20" s="1888" t="s">
        <v>3535</v>
      </c>
      <c r="M20" s="1888" t="s">
        <v>3536</v>
      </c>
      <c r="N20" s="1888" t="s">
        <v>3537</v>
      </c>
      <c r="O20" s="1889" t="s">
        <v>3538</v>
      </c>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92"/>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3530</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5" t="s">
        <v>2002</v>
      </c>
      <c r="E23" s="716">
        <v>44197</v>
      </c>
      <c r="F23" s="1895" t="s">
        <v>2003</v>
      </c>
      <c r="G23" s="717">
        <f>'数据-取费表'!B2</f>
        <v>45562</v>
      </c>
      <c r="H23" s="3046" t="s">
        <v>3255</v>
      </c>
      <c r="I23" s="3047" t="str">
        <f>IF(H23="季度增幅（自定义）",SUMIF(N25:N28,E2,O25:O28),"")</f>
        <v/>
      </c>
      <c r="J23" s="3139" t="s">
        <v>3422</v>
      </c>
      <c r="K23" s="1060"/>
      <c r="L23" s="1896" t="s">
        <v>2004</v>
      </c>
      <c r="M23" s="1240">
        <f>ROUND(SUMIF(地价!B2:G2,E2,地价!B16:G16),0)</f>
        <v>350</v>
      </c>
      <c r="N23" s="1897" t="s">
        <v>2005</v>
      </c>
      <c r="O23" s="718">
        <f>ROUNDDOWN(DATEDIF(E23,G23,"M")/3,0)</f>
        <v>14</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0.67710000000000004</v>
      </c>
      <c r="D24" s="1901" t="s">
        <v>2007</v>
      </c>
      <c r="E24" s="1247">
        <f>存贷款利率!E26/100</f>
        <v>4.3499999999999997E-2</v>
      </c>
      <c r="F24" s="1901" t="s">
        <v>1999</v>
      </c>
      <c r="G24" s="723">
        <f>SUMIF(M30:Q30,E2,M33:Q33)</f>
        <v>5.5E-2</v>
      </c>
      <c r="H24" s="1901" t="s">
        <v>2008</v>
      </c>
      <c r="I24" s="724">
        <f>SUMIF('数据-取费表'!C6:C15,E2,'数据-取费表'!F6:F15)/COUNTIF('数据-取费表'!C6:C15,E2)</f>
        <v>17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3423</v>
      </c>
      <c r="C25" s="460">
        <f>IF(B25="容积率修正",IF(G3&lt;10,D26,J26),C27)</f>
        <v>1.1883999999999999</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3257</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1.1883999999999999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1.018</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80</v>
      </c>
      <c r="D30" s="1924"/>
      <c r="E30" s="1841"/>
      <c r="F30" s="1925"/>
      <c r="G30" s="1841"/>
      <c r="H30" s="1841"/>
      <c r="I30" s="1841"/>
      <c r="J30" s="1926"/>
      <c r="K30" s="1055"/>
      <c r="L30" s="3053" t="s">
        <v>1936</v>
      </c>
      <c r="M30" s="3054" t="s">
        <v>1990</v>
      </c>
      <c r="N30" s="3054" t="s">
        <v>1991</v>
      </c>
      <c r="O30" s="3054" t="s">
        <v>1992</v>
      </c>
      <c r="P30" s="3054" t="s">
        <v>1993</v>
      </c>
      <c r="Q30" s="3057"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4431</v>
      </c>
      <c r="D33" s="1939"/>
      <c r="E33" s="726">
        <f>ROUND(C33*D33/10000,0)</f>
        <v>0</v>
      </c>
      <c r="F33" s="3048" t="s">
        <v>3259</v>
      </c>
      <c r="G33" s="1940"/>
      <c r="H33" s="1940"/>
      <c r="I33" s="1940"/>
      <c r="J33" s="1941"/>
      <c r="K33" s="1055"/>
      <c r="L33" s="3051" t="s">
        <v>3262</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1" t="s">
        <v>3263</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3264</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5"/>
      <c r="B37" s="1954" t="s">
        <v>2036</v>
      </c>
      <c r="C37" s="166">
        <f>ROUND(D5*C22*C23*C24*C28*F37,0)</f>
        <v>1864</v>
      </c>
      <c r="D37" s="1939"/>
      <c r="E37" s="162">
        <f>ROUND(C37*D37/10000,0)</f>
        <v>0</v>
      </c>
      <c r="F37" s="162">
        <f>SUMIF(修正!A57:A68,G2,修正!B57:B68)</f>
        <v>0.5</v>
      </c>
      <c r="G37" s="162">
        <f>ROUND(IF(E2="工业",C37*$M$42,C37*$M$41),0)</f>
        <v>466</v>
      </c>
      <c r="H37" s="162">
        <f>D37</f>
        <v>0</v>
      </c>
      <c r="I37" s="162">
        <f>ROUND(G37*H37/10000,0)</f>
        <v>0</v>
      </c>
      <c r="J37" s="2752"/>
      <c r="K37" s="3059" t="s">
        <v>3265</v>
      </c>
      <c r="L37" s="1963">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6"/>
      <c r="B38" s="1883" t="s">
        <v>2037</v>
      </c>
      <c r="C38" s="166">
        <f>ROUND(D5*C22*C23*C24*C28*F38,0)</f>
        <v>746</v>
      </c>
      <c r="D38" s="1939"/>
      <c r="E38" s="162">
        <f t="shared" ref="E38:E42" si="4">ROUND(C38*D38/10000,0)</f>
        <v>0</v>
      </c>
      <c r="F38" s="162">
        <f>SUMIF(修正!A57:A68,G2,修正!C57:C68)</f>
        <v>0.2</v>
      </c>
      <c r="G38" s="162">
        <f>ROUND(IF(E2="工业",C38*$M$42,C38*$M$41),0)</f>
        <v>187</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6"/>
      <c r="B39" s="1883" t="s">
        <v>3258</v>
      </c>
      <c r="C39" s="166">
        <f>ROUND(D5*C22*C23*C24*C28*F39,0)</f>
        <v>746</v>
      </c>
      <c r="D39" s="1939"/>
      <c r="E39" s="162">
        <f t="shared" si="4"/>
        <v>0</v>
      </c>
      <c r="F39" s="162">
        <f>SUMIF(修正!A57:A68,G2,修正!D57:D68)</f>
        <v>0.2</v>
      </c>
      <c r="G39" s="162">
        <f>ROUND(IF(E2="工业",C39*$M$42,C39*$M$41),0)</f>
        <v>187</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746</v>
      </c>
      <c r="D40" s="1939"/>
      <c r="E40" s="162">
        <f t="shared" si="4"/>
        <v>0</v>
      </c>
      <c r="F40" s="166">
        <f>SUMIF(修正!A57:A68,G2,修正!E57:E68)</f>
        <v>0.2</v>
      </c>
      <c r="G40" s="162">
        <f>ROUND(IF(E2="工业",C40*$M$42,C40*$M$41),0)</f>
        <v>187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707</v>
      </c>
      <c r="D41" s="1939"/>
      <c r="E41" s="162">
        <f t="shared" si="4"/>
        <v>0</v>
      </c>
      <c r="F41" s="166">
        <f>SUMIF(修正!A57:A68,G2,修正!F57:F68)</f>
        <v>0.2</v>
      </c>
      <c r="G41" s="162">
        <f>ROUND(IF(E2="工业",C41*$M$42,C41*$M$41),0)</f>
        <v>177</v>
      </c>
      <c r="H41" s="162">
        <f t="shared" si="5"/>
        <v>0</v>
      </c>
      <c r="I41" s="162">
        <f t="shared" si="6"/>
        <v>0</v>
      </c>
      <c r="J41" s="938"/>
      <c r="L41" s="3060" t="s">
        <v>3266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353</v>
      </c>
      <c r="D42" s="1944"/>
      <c r="E42" s="178">
        <f t="shared" si="4"/>
        <v>0</v>
      </c>
      <c r="F42" s="722">
        <f>SUMIF(修正!A57:A68,G2,修正!G57:G68)</f>
        <v>0.1</v>
      </c>
      <c r="G42" s="178">
        <f>ROUND(IF(E2="工业",C42*$M$42,C42*$M$41),0)</f>
        <v>88</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0.64170000000000005</v>
      </c>
      <c r="D44" s="162" t="s">
        <v>1999</v>
      </c>
      <c r="E44" s="1990">
        <f>G24</f>
        <v>5.5E-2</v>
      </c>
      <c r="F44" s="162" t="s">
        <v>2008</v>
      </c>
      <c r="G44" s="174">
        <f>项目基本情况!D15</f>
        <v>17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1.018</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52.8">
      <c r="A50" s="1969" t="s">
        <v>2052</v>
      </c>
      <c r="B50" s="1972" t="str">
        <f>估价对象房地状况!C4</f>
        <v>估价对象2公里范围内有百品尚购物中心，周边商业氛围一般，人流量一般，商业繁华一般</v>
      </c>
      <c r="C50" s="1886" t="s">
        <v>3424</v>
      </c>
      <c r="D50" s="1001">
        <f t="shared" ref="D50:D58" si="7">SUMIF($J$49:$N$49,C50,J50:N50)</f>
        <v>0</v>
      </c>
      <c r="E50" s="701">
        <f>ROUND(SUM(D50:D58),4)</f>
        <v>1.7999999999999999E-2</v>
      </c>
      <c r="F50" s="1674">
        <f>IF(E2="商业",SUMIF(L1:L12,G2,N1:N12),"——")</f>
        <v>0.15</v>
      </c>
      <c r="G50" s="999">
        <v>2.2499999999999999E-2</v>
      </c>
      <c r="H50" s="1002">
        <f t="shared" ref="H50:H58" si="8">IFERROR(ROUNDDOWN($F$50*I50/2,4),"——")</f>
        <v>2.2499999999999999E-2</v>
      </c>
      <c r="I50" s="3066">
        <v>0.3</v>
      </c>
      <c r="J50" s="1000">
        <f t="shared" ref="J50:J58" si="9">K50+$G50</f>
        <v>4.4999999999999998E-2</v>
      </c>
      <c r="K50" s="1000">
        <f t="shared" ref="K50:K58" si="10">$L50+$G50</f>
        <v>2.2499999999999999E-2</v>
      </c>
      <c r="L50" s="1000">
        <v>0</v>
      </c>
      <c r="M50" s="1000">
        <f t="shared" ref="M50:N58" si="11">L50-$G50</f>
        <v>-2.2499999999999999E-2</v>
      </c>
      <c r="N50" s="1000">
        <f t="shared" si="11"/>
        <v>-4.4999999999999998E-2</v>
      </c>
      <c r="AA50" s="1056"/>
      <c r="AB50" s="1056"/>
      <c r="AC50" s="1056"/>
      <c r="AD50" s="1056"/>
      <c r="AE50" s="1056"/>
      <c r="AF50" s="1056"/>
      <c r="AG50" s="1056"/>
      <c r="AH50" s="1056"/>
      <c r="AI50" s="1056"/>
      <c r="AJ50" s="1056"/>
      <c r="AK50" s="1056"/>
    </row>
    <row r="51" spans="1:37" s="1055" customFormat="1" ht="79.2">
      <c r="A51" s="1969" t="s">
        <v>2053</v>
      </c>
      <c r="B51" s="1261" t="str">
        <f>估价对象房地状况!C18</f>
        <v>估价对象临城市主干道--妫川路，周边有Y9路、919路、920路公交车，门口可停车，停车便捷程度较好，综合评价交通便捷度一般</v>
      </c>
      <c r="C51" s="1886" t="s">
        <v>3424</v>
      </c>
      <c r="D51" s="1001">
        <f t="shared" si="7"/>
        <v>0</v>
      </c>
      <c r="E51" s="702"/>
      <c r="F51" s="1674"/>
      <c r="G51" s="999">
        <v>1.6500000000000001E-2</v>
      </c>
      <c r="H51" s="1002">
        <f t="shared" si="8"/>
        <v>1.6500000000000001E-2</v>
      </c>
      <c r="I51" s="3066">
        <v>0.22</v>
      </c>
      <c r="J51" s="1000">
        <f t="shared" si="9"/>
        <v>3.3000000000000002E-2</v>
      </c>
      <c r="K51" s="1000">
        <f t="shared" si="10"/>
        <v>1.6500000000000001E-2</v>
      </c>
      <c r="L51" s="1000">
        <v>0</v>
      </c>
      <c r="M51" s="1000">
        <f t="shared" si="11"/>
        <v>-1.6500000000000001E-2</v>
      </c>
      <c r="N51" s="1000">
        <f t="shared" si="11"/>
        <v>-3.3000000000000002E-2</v>
      </c>
      <c r="AA51" s="1056"/>
      <c r="AB51" s="1056"/>
      <c r="AC51" s="1056"/>
      <c r="AD51" s="1056"/>
      <c r="AE51" s="1056"/>
      <c r="AF51" s="1056"/>
      <c r="AG51" s="1056"/>
      <c r="AH51" s="1056"/>
      <c r="AI51" s="1056"/>
      <c r="AJ51" s="1056"/>
      <c r="AK51" s="1056"/>
    </row>
    <row r="52" spans="1:37" s="1055" customFormat="1" ht="48">
      <c r="A52" s="3068" t="s">
        <v>3268</v>
      </c>
      <c r="B52" s="1261">
        <f>估价对象房地状况!C19</f>
        <v>0</v>
      </c>
      <c r="C52" s="1886" t="s">
        <v>3424</v>
      </c>
      <c r="D52" s="1001">
        <f t="shared" si="7"/>
        <v>0</v>
      </c>
      <c r="E52" s="702"/>
      <c r="F52" s="1674"/>
      <c r="G52" s="999">
        <v>8.9999999999999993E-3</v>
      </c>
      <c r="H52" s="1002">
        <f t="shared" si="8"/>
        <v>8.9999999999999993E-3</v>
      </c>
      <c r="I52" s="3066">
        <v>0.12</v>
      </c>
      <c r="J52" s="1000">
        <f t="shared" si="9"/>
        <v>1.7999999999999999E-2</v>
      </c>
      <c r="K52" s="1000">
        <f t="shared" si="10"/>
        <v>8.9999999999999993E-3</v>
      </c>
      <c r="L52" s="1000">
        <v>0</v>
      </c>
      <c r="M52" s="1000">
        <f t="shared" si="11"/>
        <v>-8.9999999999999993E-3</v>
      </c>
      <c r="N52" s="1000">
        <f t="shared" si="11"/>
        <v>-1.7999999999999999E-2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3430</v>
      </c>
      <c r="D53" s="1001">
        <f t="shared" si="7"/>
        <v>-3.7000000000000002E-3</v>
      </c>
      <c r="E53" s="702"/>
      <c r="F53" s="1674"/>
      <c r="G53" s="999">
        <v>3.7000000000000002E-3</v>
      </c>
      <c r="H53" s="1002">
        <f t="shared" si="8"/>
        <v>3.7000000000000002E-3</v>
      </c>
      <c r="I53" s="3066">
        <v>0.05</v>
      </c>
      <c r="J53" s="1000">
        <f t="shared" si="9"/>
        <v>7.4000000000000003E-3</v>
      </c>
      <c r="K53" s="1000">
        <f t="shared" si="10"/>
        <v>3.7000000000000002E-3</v>
      </c>
      <c r="L53" s="1000">
        <v>0</v>
      </c>
      <c r="M53" s="1000">
        <f t="shared" si="11"/>
        <v>-3.7000000000000002E-3</v>
      </c>
      <c r="N53" s="1000">
        <f t="shared" si="11"/>
        <v>-7.4000000000000003E-3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3425</v>
      </c>
      <c r="D54" s="1001">
        <f t="shared" si="7"/>
        <v>6.0000000000000001E-3</v>
      </c>
      <c r="E54" s="702"/>
      <c r="F54" s="1674"/>
      <c r="G54" s="999">
        <v>6.0000000000000001E-3</v>
      </c>
      <c r="H54" s="1002">
        <f t="shared" si="8"/>
        <v>6.0000000000000001E-3</v>
      </c>
      <c r="I54" s="3066">
        <v>0.08</v>
      </c>
      <c r="J54" s="1000">
        <f t="shared" si="9"/>
        <v>1.2E-2</v>
      </c>
      <c r="K54" s="1000">
        <f t="shared" si="10"/>
        <v>6.0000000000000001E-3</v>
      </c>
      <c r="L54" s="1000">
        <v>0</v>
      </c>
      <c r="M54" s="1000">
        <f t="shared" si="11"/>
        <v>-6.0000000000000001E-3</v>
      </c>
      <c r="N54" s="1000">
        <f t="shared" si="11"/>
        <v>-1.2E-2</v>
      </c>
      <c r="AA54" s="1056"/>
      <c r="AB54" s="1056"/>
      <c r="AC54" s="1056"/>
      <c r="AD54" s="1056"/>
      <c r="AE54" s="1056"/>
      <c r="AF54" s="1056"/>
      <c r="AG54" s="1056"/>
      <c r="AH54" s="1056"/>
      <c r="AI54" s="1056"/>
      <c r="AJ54" s="1056"/>
      <c r="AK54" s="1056"/>
    </row>
    <row r="55" spans="1:37" s="1055" customFormat="1" ht="36">
      <c r="A55" s="1969" t="s">
        <v>2057</v>
      </c>
      <c r="B55" s="1974" t="s">
        <v>2058</v>
      </c>
      <c r="C55" s="1886" t="s">
        <v>3424</v>
      </c>
      <c r="D55" s="1001">
        <f t="shared" si="7"/>
        <v>0</v>
      </c>
      <c r="E55" s="702"/>
      <c r="F55" s="1674"/>
      <c r="G55" s="999">
        <v>3.7000000000000002E-3</v>
      </c>
      <c r="H55" s="1002">
        <f t="shared" si="8"/>
        <v>3.7000000000000002E-3</v>
      </c>
      <c r="I55" s="3066">
        <v>0.05</v>
      </c>
      <c r="J55" s="1000">
        <f t="shared" si="9"/>
        <v>7.4000000000000003E-3</v>
      </c>
      <c r="K55" s="1000">
        <f t="shared" si="10"/>
        <v>3.7000000000000002E-3</v>
      </c>
      <c r="L55" s="1000">
        <v>0</v>
      </c>
      <c r="M55" s="1000">
        <f t="shared" si="11"/>
        <v>-3.7000000000000002E-3</v>
      </c>
      <c r="N55" s="1000">
        <f t="shared" si="11"/>
        <v>-7.4000000000000003E-3</v>
      </c>
      <c r="AA55" s="1056"/>
      <c r="AB55" s="1056"/>
      <c r="AC55" s="1056"/>
      <c r="AD55" s="1056"/>
      <c r="AE55" s="1056"/>
      <c r="AF55" s="1056"/>
      <c r="AG55" s="1056"/>
      <c r="AH55" s="1056"/>
      <c r="AI55" s="1056"/>
      <c r="AJ55" s="1056"/>
      <c r="AK55" s="1056"/>
    </row>
    <row r="56" spans="1:37" s="1055" customFormat="1" ht="105.6">
      <c r="A56" s="1975" t="s">
        <v>2059</v>
      </c>
      <c r="B56" s="1239" t="str">
        <f>估价对象房地状况!C21</f>
        <v>估价对象所在区域公共配套设施齐备情况：农业银行、农业发展银行、中国银行，司家营小学、北京市延庆区第二中学，国润家园社区卫生服务站、北京中医医院延庆医院，百尚购物中心</v>
      </c>
      <c r="C56" s="1886" t="s">
        <v>3424</v>
      </c>
      <c r="D56" s="1001">
        <f t="shared" si="7"/>
        <v>0</v>
      </c>
      <c r="E56" s="702"/>
      <c r="F56" s="1674"/>
      <c r="G56" s="999">
        <v>3.7000000000000002E-3</v>
      </c>
      <c r="H56" s="1002">
        <f t="shared" si="8"/>
        <v>3.7000000000000002E-3</v>
      </c>
      <c r="I56" s="3066">
        <v>0.05</v>
      </c>
      <c r="J56" s="1000">
        <f t="shared" si="9"/>
        <v>7.4000000000000003E-3</v>
      </c>
      <c r="K56" s="1000">
        <f t="shared" si="10"/>
        <v>3.7000000000000002E-3</v>
      </c>
      <c r="L56" s="1000">
        <v>0</v>
      </c>
      <c r="M56" s="1000">
        <f t="shared" si="11"/>
        <v>-3.7000000000000002E-3</v>
      </c>
      <c r="N56" s="1000">
        <f t="shared" si="11"/>
        <v>-7.4000000000000003E-3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3539</v>
      </c>
      <c r="D57" s="1001">
        <f t="shared" si="7"/>
        <v>1.2E-2</v>
      </c>
      <c r="E57" s="702"/>
      <c r="F57" s="1674"/>
      <c r="G57" s="999">
        <v>6.0000000000000001E-3</v>
      </c>
      <c r="H57" s="1002">
        <f t="shared" si="8"/>
        <v>6.0000000000000001E-3</v>
      </c>
      <c r="I57" s="3066">
        <v>0.08</v>
      </c>
      <c r="J57" s="1000">
        <f t="shared" si="9"/>
        <v>1.2E-2</v>
      </c>
      <c r="K57" s="1000">
        <f t="shared" si="10"/>
        <v>6.0000000000000001E-3</v>
      </c>
      <c r="L57" s="1000">
        <v>0</v>
      </c>
      <c r="M57" s="1000">
        <f t="shared" si="11"/>
        <v>-6.0000000000000001E-3</v>
      </c>
      <c r="N57" s="1000">
        <f t="shared" si="11"/>
        <v>-1.2E-2</v>
      </c>
      <c r="AA57" s="1056"/>
      <c r="AB57" s="1056"/>
      <c r="AC57" s="1056"/>
      <c r="AD57" s="1056"/>
      <c r="AE57" s="1056"/>
      <c r="AF57" s="1056"/>
      <c r="AG57" s="1056"/>
      <c r="AH57" s="1056"/>
      <c r="AI57" s="1056"/>
      <c r="AJ57" s="1056"/>
      <c r="AK57" s="1056"/>
    </row>
    <row r="58" spans="1:37" s="1055" customFormat="1" ht="106.2" thickBot="1">
      <c r="A58" s="1976" t="s">
        <v>2061</v>
      </c>
      <c r="B58" s="1977" t="str">
        <f>估价对象房地状况!C20</f>
        <v>区域自然环境：迎宾公园、百泉公园、夏都公园、北京延庆世界地质公园；人文环境：延庆区职业学院、妫川宝塔、延庆地质博物馆、水生野生博物馆；综合评价环境状况较好</v>
      </c>
      <c r="C58" s="1886" t="s">
        <v>3425</v>
      </c>
      <c r="D58" s="1001">
        <f t="shared" si="7"/>
        <v>3.7000000000000002E-3</v>
      </c>
      <c r="E58" s="703"/>
      <c r="F58" s="1674"/>
      <c r="G58" s="999">
        <v>3.7000000000000002E-3</v>
      </c>
      <c r="H58" s="1002">
        <f t="shared" si="8"/>
        <v>3.7000000000000002E-3</v>
      </c>
      <c r="I58" s="3067">
        <v>0.05</v>
      </c>
      <c r="J58" s="1000">
        <f t="shared" si="9"/>
        <v>7.4000000000000003E-3</v>
      </c>
      <c r="K58" s="1000">
        <f t="shared" si="10"/>
        <v>3.7000000000000002E-3</v>
      </c>
      <c r="L58" s="1000">
        <v>0</v>
      </c>
      <c r="M58" s="1000">
        <f t="shared" si="11"/>
        <v>-3.7000000000000002E-3</v>
      </c>
      <c r="N58" s="1000">
        <f t="shared" si="11"/>
        <v>-7.4000000000000003E-3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79.2">
      <c r="A62" s="1969" t="s">
        <v>2053</v>
      </c>
      <c r="B62" s="1261" t="str">
        <f>估价对象房地状况!C18</f>
        <v>估价对象临城市主干道--妫川路，周边有Y9路、919路、920路公交车，门口可停车，停车便捷程度较好，综合评价交通便捷度一般</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3268</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105.6">
      <c r="A67" s="1969" t="s">
        <v>2059</v>
      </c>
      <c r="B67" s="1239" t="str">
        <f>估价对象房地状况!C21</f>
        <v>估价对象所在区域公共配套设施齐备情况：农业银行、农业发展银行、中国银行，司家营小学、北京市延庆区第二中学，国润家园社区卫生服务站、北京中医医院延庆医院，百尚购物中心</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106.2" thickBot="1">
      <c r="A69" s="1976" t="s">
        <v>2061</v>
      </c>
      <c r="B69" s="1978" t="str">
        <f>估价对象房地状况!C20</f>
        <v>区域自然环境：迎宾公园、百泉公园、夏都公园、北京延庆世界地质公园；人文环境：延庆区职业学院、妫川宝塔、延庆地质博物馆、水生野生博物馆；综合评价环境状况较好</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79.2">
      <c r="A73" s="1969" t="s">
        <v>2053</v>
      </c>
      <c r="B73" s="1261" t="str">
        <f>估价对象房地状况!C18</f>
        <v>估价对象临城市主干道--妫川路，周边有Y9路、919路、920路公交车，门口可停车，停车便捷程度较好，综合评价交通便捷度一般</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3268</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105.6">
      <c r="A76" s="1969" t="s">
        <v>2059</v>
      </c>
      <c r="B76" s="1239" t="str">
        <f>估价对象房地状况!C21</f>
        <v>估价对象所在区域公共配套设施齐备情况：农业银行、农业发展银行、中国银行，司家营小学、北京市延庆区第二中学，国润家园社区卫生服务站、北京中医医院延庆医院，百尚购物中心</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105.6">
      <c r="A79" s="1969" t="s">
        <v>2061</v>
      </c>
      <c r="B79" s="1972" t="str">
        <f>估价对象房地状况!C20</f>
        <v>区域自然环境：迎宾公园、百泉公园、夏都公园、北京延庆世界地质公园；人文环境：延庆区职业学院、妫川宝塔、延庆地质博物馆、水生野生博物馆；综合评价环境状况较好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3269</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79.2">
      <c r="A94" s="3078" t="s">
        <v>3272</v>
      </c>
      <c r="B94" s="3069" t="str">
        <f>估价对象房地状况!C18</f>
        <v>估价对象临城市主干道--妫川路，周边有Y9路、919路、920路公交车，门口可停车，停车便捷程度较好，综合评价交通便捷度一般</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3268</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3273</v>
      </c>
      <c r="B96" s="3084" t="s">
        <v>3284</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3274</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3275</v>
      </c>
      <c r="B98" s="3085" t="s">
        <v>3285</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105.6">
      <c r="A99" s="3078" t="s">
        <v>3276</v>
      </c>
      <c r="B99" s="3069" t="str">
        <f>估价对象房地状况!C21</f>
        <v>估价对象所在区域公共配套设施齐备情况：农业银行、农业发展银行、中国银行，司家营小学、北京市延庆区第二中学，国润家园社区卫生服务站、北京中医医院延庆医院，百尚购物中心</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3277</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106.2" thickBot="1">
      <c r="A101" s="3079" t="s">
        <v>3278</v>
      </c>
      <c r="B101" s="3086" t="str">
        <f>估价对象房地状况!C20</f>
        <v>区域自然环境：迎宾公园、百泉公园、夏都公园、北京延庆世界地质公园；人文环境：延庆区职业学院、妫川宝塔、延庆地质博物馆、水生野生博物馆；综合评价环境状况较好</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93" t="s">
        <v>3293</v>
      </c>
      <c r="B103" s="3493"/>
      <c r="C103" s="3493"/>
      <c r="D103" s="3493"/>
      <c r="E103" s="3493"/>
      <c r="F103" s="3493"/>
      <c r="G103" s="3493"/>
      <c r="H103" s="3493"/>
      <c r="I103" s="3493"/>
      <c r="J103" s="3493"/>
      <c r="K103" s="1666"/>
      <c r="L103" s="1666"/>
      <c r="M103" s="1666"/>
      <c r="N103" s="1666"/>
    </row>
    <row r="104" spans="1:14">
      <c r="A104" s="3494" t="s">
        <v>3294</v>
      </c>
      <c r="B104" s="3494" t="s">
        <v>3295</v>
      </c>
      <c r="C104" s="3088" t="s">
        <v>3296</v>
      </c>
      <c r="D104" s="3089"/>
      <c r="E104" s="3089"/>
      <c r="F104" s="3089"/>
      <c r="G104" s="3089"/>
      <c r="H104" s="3089"/>
      <c r="I104" s="3089"/>
      <c r="J104" s="3090"/>
      <c r="K104" s="3091"/>
      <c r="L104" s="3091"/>
      <c r="M104" s="3091"/>
      <c r="N104" s="3091"/>
    </row>
    <row r="105" spans="1:14">
      <c r="A105" s="3494"/>
      <c r="B105" s="349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8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1"/>
      <c r="B111" s="3092" t="s">
        <v>3267</v>
      </c>
      <c r="C111" s="3093">
        <f>$I$3</f>
        <v>2</v>
      </c>
      <c r="D111" s="3093">
        <f t="shared" ref="D111:M111" si="32">$I$3</f>
        <v>2</v>
      </c>
      <c r="E111" s="3093">
        <f t="shared" si="32"/>
        <v>2</v>
      </c>
      <c r="F111" s="3093">
        <f t="shared" si="32"/>
        <v>2</v>
      </c>
      <c r="G111" s="3093">
        <f t="shared" si="32"/>
        <v>2</v>
      </c>
      <c r="H111" s="3093">
        <f t="shared" si="32"/>
        <v>2</v>
      </c>
      <c r="I111" s="3093">
        <f t="shared" si="32"/>
        <v>2</v>
      </c>
      <c r="J111" s="3093">
        <f t="shared" si="32"/>
        <v>2</v>
      </c>
      <c r="K111" s="3093">
        <f t="shared" si="32"/>
        <v>2</v>
      </c>
      <c r="L111" s="3093">
        <f t="shared" si="32"/>
        <v>2</v>
      </c>
      <c r="M111" s="3093">
        <f t="shared" si="32"/>
        <v>2</v>
      </c>
      <c r="N111" s="3093">
        <f>$I$3</f>
        <v>2</v>
      </c>
    </row>
    <row r="112" spans="1:14">
      <c r="A112" s="3482"/>
      <c r="B112" s="3092">
        <v>6</v>
      </c>
      <c r="C112" s="3087">
        <f>(-0.5556*(C111^2)-0.2719*C111+8944)*(10^(-4))</f>
        <v>0.89412338000000002</v>
      </c>
      <c r="D112" s="3087">
        <f>(-0.5556*(D111^2)-0.2719*D111+8944)*(10^(-4))</f>
        <v>0.89412338000000002</v>
      </c>
      <c r="E112" s="3087">
        <f>(-0.7912*(E111^2)-11.3794*E111+8482)*(10^(-4))</f>
        <v>0.84560763999999999</v>
      </c>
      <c r="F112" s="3087">
        <f t="shared" ref="F112:I112" si="33">(-0.7912*(F111^2)-11.3794*F111+8482)*(10^(-4))</f>
        <v>0.84560763999999999</v>
      </c>
      <c r="G112" s="3087">
        <f t="shared" si="33"/>
        <v>0.84560763999999999</v>
      </c>
      <c r="H112" s="3087">
        <f t="shared" si="33"/>
        <v>0.84560763999999999</v>
      </c>
      <c r="I112" s="3087">
        <f t="shared" si="33"/>
        <v>0.84560763999999999</v>
      </c>
      <c r="J112" s="3087">
        <f>(-0.989*(J111^2)-63.78*J111+7771)*(10^(-4))</f>
        <v>0.76394840000000008</v>
      </c>
      <c r="K112" s="3087">
        <f t="shared" ref="K112:N112" si="34">(-0.989*(K111^2)-63.78*K111+7771)*(10^(-4))</f>
        <v>0.76394840000000008</v>
      </c>
      <c r="L112" s="3087">
        <f t="shared" si="34"/>
        <v>0.76394840000000008</v>
      </c>
      <c r="M112" s="3087">
        <f t="shared" si="34"/>
        <v>0.76394840000000008</v>
      </c>
      <c r="N112" s="3087">
        <f t="shared" si="34"/>
        <v>0.76394840000000008</v>
      </c>
    </row>
    <row r="113" spans="1:14">
      <c r="A113" s="3483" t="s">
        <v>3310</v>
      </c>
      <c r="B113" s="3483"/>
      <c r="C113" s="3483"/>
      <c r="D113" s="3483"/>
      <c r="E113" s="3483"/>
      <c r="F113" s="3483"/>
      <c r="G113" s="3483"/>
      <c r="H113" s="3483"/>
      <c r="I113" s="3483"/>
      <c r="J113" s="348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3311</v>
      </c>
      <c r="B116" s="3112">
        <f>G3</f>
        <v>0</v>
      </c>
      <c r="C116" s="3097" t="s">
        <v>3312</v>
      </c>
      <c r="D116" s="3098">
        <f>SUMPRODUCT((A118:A122=F116)*(B117:M117=H116)*B118:M122)</f>
        <v>0.84860000000000002</v>
      </c>
      <c r="E116" s="161" t="s">
        <v>3313</v>
      </c>
      <c r="F116" s="3099" t="str">
        <f>E2</f>
        <v>商业</v>
      </c>
      <c r="G116" s="161" t="s">
        <v>3314</v>
      </c>
      <c r="H116" s="3099" t="str">
        <f>G2</f>
        <v>九级</v>
      </c>
      <c r="I116" s="161"/>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8" t="s">
        <v>2607</v>
      </c>
      <c r="B20" s="3503" t="s">
        <v>2628</v>
      </c>
      <c r="C20" s="2840" t="s">
        <v>2439</v>
      </c>
      <c r="D20" s="2841"/>
      <c r="E20" s="2842">
        <v>1</v>
      </c>
      <c r="F20" s="2843" t="s">
        <v>2440</v>
      </c>
      <c r="G20" s="2843"/>
    </row>
    <row r="21" spans="1:13" ht="19.5" customHeight="1">
      <c r="A21" s="3509"/>
      <c r="B21" s="3502"/>
      <c r="C21" s="2844" t="s">
        <v>2441</v>
      </c>
      <c r="D21" s="2845"/>
      <c r="E21" s="2846">
        <v>1</v>
      </c>
      <c r="F21" s="2843" t="s">
        <v>2442</v>
      </c>
      <c r="G21" s="2843"/>
    </row>
    <row r="22" spans="1:13" ht="19.5" customHeight="1">
      <c r="A22" s="3509"/>
      <c r="B22" s="3502"/>
      <c r="C22" s="2844" t="s">
        <v>2443</v>
      </c>
      <c r="D22" s="2845"/>
      <c r="E22" s="2846">
        <v>0.9</v>
      </c>
      <c r="F22" s="2843" t="s">
        <v>2444</v>
      </c>
      <c r="G22" s="2843"/>
    </row>
    <row r="23" spans="1:13" ht="19.5" customHeight="1">
      <c r="A23" s="3509"/>
      <c r="B23" s="3502"/>
      <c r="C23" s="2844" t="s">
        <v>2445</v>
      </c>
      <c r="D23" s="2845"/>
      <c r="E23" s="2846">
        <v>0.9</v>
      </c>
      <c r="F23" s="2843" t="s">
        <v>2446</v>
      </c>
      <c r="G23" s="2843"/>
    </row>
    <row r="24" spans="1:13" ht="19.5" customHeight="1">
      <c r="A24" s="3509"/>
      <c r="B24" s="3502"/>
      <c r="C24" s="2844" t="s">
        <v>2447</v>
      </c>
      <c r="D24" s="2845"/>
      <c r="E24" s="2846">
        <v>0.8</v>
      </c>
      <c r="F24" s="2843" t="s">
        <v>2448</v>
      </c>
      <c r="G24" s="2843"/>
    </row>
    <row r="25" spans="1:13" ht="19.5" customHeight="1" thickBot="1">
      <c r="A25" s="3510"/>
      <c r="B25" s="3504"/>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05" t="s">
        <v>2631</v>
      </c>
      <c r="B27" s="3503" t="s">
        <v>2612</v>
      </c>
      <c r="C27" s="2840" t="s">
        <v>2452</v>
      </c>
      <c r="D27" s="2841"/>
      <c r="E27" s="2842">
        <v>1</v>
      </c>
      <c r="F27" s="2843" t="s">
        <v>2453</v>
      </c>
      <c r="G27" s="2843"/>
    </row>
    <row r="28" spans="1:13" ht="19.5" customHeight="1">
      <c r="A28" s="3506"/>
      <c r="B28" s="3502"/>
      <c r="C28" s="2844" t="s">
        <v>2454</v>
      </c>
      <c r="D28" s="2845"/>
      <c r="E28" s="2846">
        <v>1</v>
      </c>
      <c r="F28" s="2843" t="s">
        <v>2455</v>
      </c>
      <c r="G28" s="2843"/>
    </row>
    <row r="29" spans="1:13" ht="19.5" customHeight="1">
      <c r="A29" s="3506"/>
      <c r="B29" s="3502"/>
      <c r="C29" s="2844" t="s">
        <v>2456</v>
      </c>
      <c r="D29" s="2845"/>
      <c r="E29" s="2846">
        <v>0.8</v>
      </c>
      <c r="F29" s="2843" t="s">
        <v>2457</v>
      </c>
      <c r="G29" s="2843"/>
    </row>
    <row r="30" spans="1:13" ht="19.5" customHeight="1">
      <c r="A30" s="3506"/>
      <c r="B30" s="3502"/>
      <c r="C30" s="2844" t="s">
        <v>2458</v>
      </c>
      <c r="D30" s="2845"/>
      <c r="E30" s="2846">
        <v>0.8</v>
      </c>
      <c r="F30" s="2843" t="s">
        <v>2459</v>
      </c>
      <c r="G30" s="2843"/>
    </row>
    <row r="31" spans="1:13" ht="19.5" customHeight="1">
      <c r="A31" s="3506"/>
      <c r="B31" s="3502"/>
      <c r="C31" s="2844" t="s">
        <v>2460</v>
      </c>
      <c r="D31" s="2845"/>
      <c r="E31" s="2846">
        <v>0.8</v>
      </c>
      <c r="F31" s="2843" t="s">
        <v>2461</v>
      </c>
      <c r="G31" s="2843"/>
    </row>
    <row r="32" spans="1:13" ht="19.5" customHeight="1">
      <c r="A32" s="3506"/>
      <c r="B32" s="3502"/>
      <c r="C32" s="2844" t="s">
        <v>2462</v>
      </c>
      <c r="D32" s="2845"/>
      <c r="E32" s="2846">
        <v>0.7</v>
      </c>
      <c r="F32" s="2843" t="s">
        <v>2463</v>
      </c>
      <c r="G32" s="2843"/>
    </row>
    <row r="33" spans="1:7" ht="19.5" customHeight="1">
      <c r="A33" s="3506"/>
      <c r="B33" s="3502"/>
      <c r="C33" s="2844" t="s">
        <v>2464</v>
      </c>
      <c r="D33" s="2845"/>
      <c r="E33" s="2846">
        <v>0.8</v>
      </c>
      <c r="F33" s="2843" t="s">
        <v>2465</v>
      </c>
      <c r="G33" s="2843"/>
    </row>
    <row r="34" spans="1:7" ht="19.5" customHeight="1">
      <c r="A34" s="3506"/>
      <c r="B34" s="3502"/>
      <c r="C34" s="2844" t="s">
        <v>2466</v>
      </c>
      <c r="D34" s="2845"/>
      <c r="E34" s="2846">
        <v>0.6</v>
      </c>
      <c r="F34" s="2843" t="s">
        <v>2467</v>
      </c>
      <c r="G34" s="2843"/>
    </row>
    <row r="35" spans="1:7" ht="19.5" customHeight="1">
      <c r="A35" s="3506"/>
      <c r="B35" s="3502"/>
      <c r="C35" s="2844" t="s">
        <v>2468</v>
      </c>
      <c r="D35" s="2845"/>
      <c r="E35" s="2846">
        <v>0.2</v>
      </c>
      <c r="F35" s="2843" t="s">
        <v>2469</v>
      </c>
      <c r="G35" s="2843"/>
    </row>
    <row r="36" spans="1:7" ht="19.5" customHeight="1">
      <c r="A36" s="3506"/>
      <c r="B36" s="3502"/>
      <c r="C36" s="2844" t="s">
        <v>2470</v>
      </c>
      <c r="D36" s="2845"/>
      <c r="E36" s="2846">
        <v>0.2</v>
      </c>
      <c r="F36" s="2843" t="s">
        <v>2471</v>
      </c>
      <c r="G36" s="2843"/>
    </row>
    <row r="37" spans="1:7" ht="19.5" customHeight="1">
      <c r="A37" s="3506"/>
      <c r="B37" s="3500" t="s">
        <v>2632</v>
      </c>
      <c r="C37" s="2844" t="s">
        <v>2472</v>
      </c>
      <c r="D37" s="2845"/>
      <c r="E37" s="2846">
        <v>0.6</v>
      </c>
      <c r="F37" s="2843" t="s">
        <v>2473</v>
      </c>
      <c r="G37" s="2843"/>
    </row>
    <row r="38" spans="1:7" ht="19.5" customHeight="1">
      <c r="A38" s="3506"/>
      <c r="B38" s="3502"/>
      <c r="C38" s="2844" t="s">
        <v>2474</v>
      </c>
      <c r="D38" s="2845"/>
      <c r="E38" s="2846">
        <v>0.6</v>
      </c>
      <c r="F38" s="2843" t="s">
        <v>2475</v>
      </c>
      <c r="G38" s="2843"/>
    </row>
    <row r="39" spans="1:7" ht="19.5" customHeight="1" thickBot="1">
      <c r="A39" s="3507"/>
      <c r="B39" s="3504"/>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08" t="s">
        <v>2610</v>
      </c>
      <c r="B41" s="3503" t="s">
        <v>2634</v>
      </c>
      <c r="C41" s="2840" t="s">
        <v>2479</v>
      </c>
      <c r="D41" s="2841"/>
      <c r="E41" s="2842">
        <v>1</v>
      </c>
      <c r="F41" s="2843" t="s">
        <v>2480</v>
      </c>
      <c r="G41" s="2843"/>
    </row>
    <row r="42" spans="1:7" ht="19.5" customHeight="1">
      <c r="A42" s="3509"/>
      <c r="B42" s="3502"/>
      <c r="C42" s="2844" t="s">
        <v>2481</v>
      </c>
      <c r="D42" s="2845"/>
      <c r="E42" s="2846">
        <v>1</v>
      </c>
      <c r="F42" s="2843" t="s">
        <v>2482</v>
      </c>
      <c r="G42" s="2843"/>
    </row>
    <row r="43" spans="1:7" ht="19.5" customHeight="1">
      <c r="A43" s="3509"/>
      <c r="B43" s="3501"/>
      <c r="C43" s="2844" t="s">
        <v>2483</v>
      </c>
      <c r="D43" s="2845"/>
      <c r="E43" s="2846">
        <v>1.5</v>
      </c>
      <c r="F43" s="2843" t="s">
        <v>2484</v>
      </c>
      <c r="G43" s="2843"/>
    </row>
    <row r="44" spans="1:7" ht="19.5" customHeight="1">
      <c r="A44" s="3509"/>
      <c r="B44" s="2855" t="s">
        <v>2635</v>
      </c>
      <c r="C44" s="2844" t="s">
        <v>2636</v>
      </c>
      <c r="D44" s="2845"/>
      <c r="E44" s="2846">
        <v>2</v>
      </c>
      <c r="F44" s="2843" t="s">
        <v>2485</v>
      </c>
      <c r="G44" s="2843"/>
    </row>
    <row r="45" spans="1:7" ht="19.5" customHeight="1">
      <c r="A45" s="3509"/>
      <c r="B45" s="3500" t="s">
        <v>2637</v>
      </c>
      <c r="C45" s="2844" t="s">
        <v>2486</v>
      </c>
      <c r="D45" s="2845"/>
      <c r="E45" s="2846">
        <v>1</v>
      </c>
      <c r="F45" s="2843" t="s">
        <v>2487</v>
      </c>
      <c r="G45" s="2843"/>
    </row>
    <row r="46" spans="1:7" ht="19.5" customHeight="1">
      <c r="A46" s="3509"/>
      <c r="B46" s="3502"/>
      <c r="C46" s="2844" t="s">
        <v>2488</v>
      </c>
      <c r="D46" s="2845"/>
      <c r="E46" s="2846">
        <v>1</v>
      </c>
      <c r="F46" s="2843" t="s">
        <v>2489</v>
      </c>
      <c r="G46" s="2843"/>
    </row>
    <row r="47" spans="1:7" ht="19.5" customHeight="1">
      <c r="A47" s="3509"/>
      <c r="B47" s="3502"/>
      <c r="C47" s="2844" t="s">
        <v>2490</v>
      </c>
      <c r="D47" s="2845"/>
      <c r="E47" s="2846">
        <v>1</v>
      </c>
      <c r="F47" s="2843" t="s">
        <v>2491</v>
      </c>
      <c r="G47" s="2843"/>
    </row>
    <row r="48" spans="1:7" ht="19.5" customHeight="1">
      <c r="A48" s="3509"/>
      <c r="B48" s="3502"/>
      <c r="C48" s="2844" t="s">
        <v>2492</v>
      </c>
      <c r="D48" s="2845"/>
      <c r="E48" s="2846">
        <v>1</v>
      </c>
      <c r="F48" s="2843" t="s">
        <v>2493</v>
      </c>
      <c r="G48" s="2843"/>
    </row>
    <row r="49" spans="1:7" ht="19.5" customHeight="1">
      <c r="A49" s="3509"/>
      <c r="B49" s="3502"/>
      <c r="C49" s="2844" t="s">
        <v>2494</v>
      </c>
      <c r="D49" s="2845"/>
      <c r="E49" s="2846">
        <v>1</v>
      </c>
      <c r="F49" s="2843" t="s">
        <v>2495</v>
      </c>
      <c r="G49" s="2843"/>
    </row>
    <row r="50" spans="1:7" ht="19.5" customHeight="1">
      <c r="A50" s="3509"/>
      <c r="B50" s="3502"/>
      <c r="C50" s="2844" t="s">
        <v>2496</v>
      </c>
      <c r="D50" s="2845"/>
      <c r="E50" s="2846">
        <v>1</v>
      </c>
      <c r="F50" s="2843" t="s">
        <v>2497</v>
      </c>
      <c r="G50" s="2843"/>
    </row>
    <row r="51" spans="1:7" ht="19.5" customHeight="1" thickBot="1">
      <c r="A51" s="3510"/>
      <c r="B51" s="3504"/>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500" t="s">
        <v>2651</v>
      </c>
      <c r="C73" s="2829" t="s">
        <v>2652</v>
      </c>
      <c r="D73" s="2829" t="s">
        <v>2653</v>
      </c>
      <c r="E73" s="2855">
        <v>0.2</v>
      </c>
      <c r="F73" s="2855">
        <v>25</v>
      </c>
    </row>
    <row r="74" spans="1:7" ht="24">
      <c r="A74" s="2855">
        <v>2</v>
      </c>
      <c r="B74" s="3502"/>
      <c r="C74" s="2829" t="s">
        <v>2654</v>
      </c>
      <c r="D74" s="2829" t="s">
        <v>2655</v>
      </c>
      <c r="E74" s="2855">
        <v>0.2</v>
      </c>
      <c r="F74" s="2855">
        <v>25</v>
      </c>
    </row>
    <row r="75" spans="1:7" ht="24">
      <c r="A75" s="2855">
        <v>3</v>
      </c>
      <c r="B75" s="3502"/>
      <c r="C75" s="2829" t="s">
        <v>2656</v>
      </c>
      <c r="D75" s="2829" t="s">
        <v>2657</v>
      </c>
      <c r="E75" s="2855">
        <v>0.2</v>
      </c>
      <c r="F75" s="2855">
        <v>25</v>
      </c>
    </row>
    <row r="76" spans="1:7" ht="14.4">
      <c r="A76" s="2855">
        <v>4</v>
      </c>
      <c r="B76" s="3502"/>
      <c r="C76" s="2829" t="s">
        <v>2658</v>
      </c>
      <c r="D76" s="2829" t="s">
        <v>2659</v>
      </c>
      <c r="E76" s="2855">
        <v>0.15</v>
      </c>
      <c r="F76" s="2855">
        <v>20</v>
      </c>
    </row>
    <row r="77" spans="1:7" ht="24">
      <c r="A77" s="2855">
        <v>5</v>
      </c>
      <c r="B77" s="3502"/>
      <c r="C77" s="2829" t="s">
        <v>2660</v>
      </c>
      <c r="D77" s="2829" t="s">
        <v>2661</v>
      </c>
      <c r="E77" s="2855">
        <v>0.15</v>
      </c>
      <c r="F77" s="2855">
        <v>20</v>
      </c>
    </row>
    <row r="78" spans="1:7" ht="24">
      <c r="A78" s="2855">
        <v>6</v>
      </c>
      <c r="B78" s="3502"/>
      <c r="C78" s="2829" t="s">
        <v>2662</v>
      </c>
      <c r="D78" s="2829" t="s">
        <v>2663</v>
      </c>
      <c r="E78" s="2855">
        <v>0.15</v>
      </c>
      <c r="F78" s="2855">
        <v>20</v>
      </c>
    </row>
    <row r="79" spans="1:7" ht="24">
      <c r="A79" s="2855">
        <v>7</v>
      </c>
      <c r="B79" s="3502"/>
      <c r="C79" s="2829" t="s">
        <v>2664</v>
      </c>
      <c r="D79" s="2829" t="s">
        <v>2665</v>
      </c>
      <c r="E79" s="2855">
        <v>0.15</v>
      </c>
      <c r="F79" s="2855">
        <v>20</v>
      </c>
    </row>
    <row r="80" spans="1:7" ht="24">
      <c r="A80" s="2855">
        <v>8</v>
      </c>
      <c r="B80" s="3502"/>
      <c r="C80" s="2829" t="s">
        <v>2666</v>
      </c>
      <c r="D80" s="2829" t="s">
        <v>2667</v>
      </c>
      <c r="E80" s="2855">
        <v>0.1</v>
      </c>
      <c r="F80" s="2855">
        <v>15</v>
      </c>
    </row>
    <row r="81" spans="1:6" ht="24">
      <c r="A81" s="2855">
        <v>9</v>
      </c>
      <c r="B81" s="3502"/>
      <c r="C81" s="2829" t="s">
        <v>2668</v>
      </c>
      <c r="D81" s="2829" t="s">
        <v>2669</v>
      </c>
      <c r="E81" s="2855">
        <v>0.1</v>
      </c>
      <c r="F81" s="2855">
        <v>15</v>
      </c>
    </row>
    <row r="82" spans="1:6" ht="24">
      <c r="A82" s="2855">
        <v>10</v>
      </c>
      <c r="B82" s="3502"/>
      <c r="C82" s="2829" t="s">
        <v>2670</v>
      </c>
      <c r="D82" s="2829" t="s">
        <v>2671</v>
      </c>
      <c r="E82" s="2855">
        <v>0.1</v>
      </c>
      <c r="F82" s="2855">
        <v>15</v>
      </c>
    </row>
    <row r="83" spans="1:6" ht="24">
      <c r="A83" s="2855">
        <v>11</v>
      </c>
      <c r="B83" s="3502"/>
      <c r="C83" s="2829" t="s">
        <v>2672</v>
      </c>
      <c r="D83" s="2829" t="s">
        <v>2673</v>
      </c>
      <c r="E83" s="2855">
        <v>0.1</v>
      </c>
      <c r="F83" s="2855">
        <v>15</v>
      </c>
    </row>
    <row r="84" spans="1:6" ht="24">
      <c r="A84" s="2855">
        <v>12</v>
      </c>
      <c r="B84" s="3502"/>
      <c r="C84" s="2829" t="s">
        <v>2674</v>
      </c>
      <c r="D84" s="2829" t="s">
        <v>2675</v>
      </c>
      <c r="E84" s="2855">
        <v>0.1</v>
      </c>
      <c r="F84" s="2855">
        <v>15</v>
      </c>
    </row>
    <row r="85" spans="1:6" ht="24">
      <c r="A85" s="2855">
        <v>13</v>
      </c>
      <c r="B85" s="3502"/>
      <c r="C85" s="2829" t="s">
        <v>2676</v>
      </c>
      <c r="D85" s="2829" t="s">
        <v>2677</v>
      </c>
      <c r="E85" s="2855">
        <v>0.1</v>
      </c>
      <c r="F85" s="2855">
        <v>15</v>
      </c>
    </row>
    <row r="86" spans="1:6" ht="24">
      <c r="A86" s="2855">
        <v>14</v>
      </c>
      <c r="B86" s="3502"/>
      <c r="C86" s="2829" t="s">
        <v>2678</v>
      </c>
      <c r="D86" s="2829" t="s">
        <v>2679</v>
      </c>
      <c r="E86" s="2855">
        <v>0.1</v>
      </c>
      <c r="F86" s="2855">
        <v>15</v>
      </c>
    </row>
    <row r="87" spans="1:6" ht="24">
      <c r="A87" s="2855">
        <v>15</v>
      </c>
      <c r="B87" s="3502"/>
      <c r="C87" s="2829" t="s">
        <v>2680</v>
      </c>
      <c r="D87" s="2829" t="s">
        <v>2681</v>
      </c>
      <c r="E87" s="2855">
        <v>0.1</v>
      </c>
      <c r="F87" s="2855">
        <v>15</v>
      </c>
    </row>
    <row r="88" spans="1:6" ht="24">
      <c r="A88" s="2855">
        <v>16</v>
      </c>
      <c r="B88" s="3502"/>
      <c r="C88" s="2829" t="s">
        <v>2682</v>
      </c>
      <c r="D88" s="2829" t="s">
        <v>2683</v>
      </c>
      <c r="E88" s="2855">
        <v>0.1</v>
      </c>
      <c r="F88" s="2855">
        <v>15</v>
      </c>
    </row>
    <row r="89" spans="1:6" ht="24">
      <c r="A89" s="2855">
        <v>17</v>
      </c>
      <c r="B89" s="3501"/>
      <c r="C89" s="2829" t="s">
        <v>2684</v>
      </c>
      <c r="D89" s="2829" t="s">
        <v>2685</v>
      </c>
      <c r="E89" s="2855">
        <v>0.1</v>
      </c>
      <c r="F89" s="2855">
        <v>15</v>
      </c>
    </row>
    <row r="90" spans="1:6" ht="14.4">
      <c r="A90" s="2855">
        <v>18</v>
      </c>
      <c r="B90" s="3500" t="s">
        <v>2686</v>
      </c>
      <c r="C90" s="2829" t="s">
        <v>2687</v>
      </c>
      <c r="D90" s="2829" t="s">
        <v>2688</v>
      </c>
      <c r="E90" s="2855">
        <v>0.2</v>
      </c>
      <c r="F90" s="2855">
        <v>25</v>
      </c>
    </row>
    <row r="91" spans="1:6" ht="24">
      <c r="A91" s="2855">
        <v>19</v>
      </c>
      <c r="B91" s="3502"/>
      <c r="C91" s="2829" t="s">
        <v>2689</v>
      </c>
      <c r="D91" s="2829" t="s">
        <v>2690</v>
      </c>
      <c r="E91" s="2855">
        <v>0.2</v>
      </c>
      <c r="F91" s="2855">
        <v>25</v>
      </c>
    </row>
    <row r="92" spans="1:6" ht="14.4">
      <c r="A92" s="2855">
        <v>20</v>
      </c>
      <c r="B92" s="3502"/>
      <c r="C92" s="2829" t="s">
        <v>2691</v>
      </c>
      <c r="D92" s="2829" t="s">
        <v>2692</v>
      </c>
      <c r="E92" s="2855">
        <v>0.15</v>
      </c>
      <c r="F92" s="2855">
        <v>20</v>
      </c>
    </row>
    <row r="93" spans="1:6" ht="24">
      <c r="A93" s="2855">
        <v>21</v>
      </c>
      <c r="B93" s="3502"/>
      <c r="C93" s="2829" t="s">
        <v>2693</v>
      </c>
      <c r="D93" s="2829" t="s">
        <v>2694</v>
      </c>
      <c r="E93" s="2855">
        <v>0.15</v>
      </c>
      <c r="F93" s="2855">
        <v>20</v>
      </c>
    </row>
    <row r="94" spans="1:6" ht="24">
      <c r="A94" s="2855">
        <v>22</v>
      </c>
      <c r="B94" s="3502"/>
      <c r="C94" s="2829" t="s">
        <v>2695</v>
      </c>
      <c r="D94" s="2829" t="s">
        <v>2696</v>
      </c>
      <c r="E94" s="2855">
        <v>0.15</v>
      </c>
      <c r="F94" s="2855">
        <v>20</v>
      </c>
    </row>
    <row r="95" spans="1:6" ht="36">
      <c r="A95" s="2855">
        <v>23</v>
      </c>
      <c r="B95" s="3502"/>
      <c r="C95" s="2829" t="s">
        <v>2697</v>
      </c>
      <c r="D95" s="2829" t="s">
        <v>2698</v>
      </c>
      <c r="E95" s="2855">
        <v>0.15</v>
      </c>
      <c r="F95" s="2855">
        <v>20</v>
      </c>
    </row>
    <row r="96" spans="1:6" ht="24">
      <c r="A96" s="2855">
        <v>24</v>
      </c>
      <c r="B96" s="3502"/>
      <c r="C96" s="2829" t="s">
        <v>2699</v>
      </c>
      <c r="D96" s="2829" t="s">
        <v>2700</v>
      </c>
      <c r="E96" s="2855">
        <v>0.1</v>
      </c>
      <c r="F96" s="2855">
        <v>15</v>
      </c>
    </row>
    <row r="97" spans="1:6" ht="24">
      <c r="A97" s="2855">
        <v>25</v>
      </c>
      <c r="B97" s="3502"/>
      <c r="C97" s="2829" t="s">
        <v>2701</v>
      </c>
      <c r="D97" s="2829" t="s">
        <v>2702</v>
      </c>
      <c r="E97" s="2855">
        <v>0.1</v>
      </c>
      <c r="F97" s="2855">
        <v>15</v>
      </c>
    </row>
    <row r="98" spans="1:6" ht="24">
      <c r="A98" s="2855">
        <v>26</v>
      </c>
      <c r="B98" s="3502"/>
      <c r="C98" s="2829" t="s">
        <v>2703</v>
      </c>
      <c r="D98" s="2829" t="s">
        <v>2704</v>
      </c>
      <c r="E98" s="2855">
        <v>0.1</v>
      </c>
      <c r="F98" s="2855">
        <v>15</v>
      </c>
    </row>
    <row r="99" spans="1:6" ht="24">
      <c r="A99" s="2855">
        <v>27</v>
      </c>
      <c r="B99" s="3502"/>
      <c r="C99" s="2829" t="s">
        <v>2705</v>
      </c>
      <c r="D99" s="2829" t="s">
        <v>2706</v>
      </c>
      <c r="E99" s="2855">
        <v>0.1</v>
      </c>
      <c r="F99" s="2855">
        <v>15</v>
      </c>
    </row>
    <row r="100" spans="1:6" ht="24">
      <c r="A100" s="2855">
        <v>28</v>
      </c>
      <c r="B100" s="3502"/>
      <c r="C100" s="2829" t="s">
        <v>2707</v>
      </c>
      <c r="D100" s="2829" t="s">
        <v>2708</v>
      </c>
      <c r="E100" s="2855">
        <v>0.1</v>
      </c>
      <c r="F100" s="2855">
        <v>15</v>
      </c>
    </row>
    <row r="101" spans="1:6" ht="24">
      <c r="A101" s="2855">
        <v>29</v>
      </c>
      <c r="B101" s="3502"/>
      <c r="C101" s="2829" t="s">
        <v>2709</v>
      </c>
      <c r="D101" s="2829" t="s">
        <v>2710</v>
      </c>
      <c r="E101" s="2855">
        <v>0.1</v>
      </c>
      <c r="F101" s="2855">
        <v>15</v>
      </c>
    </row>
    <row r="102" spans="1:6" ht="24">
      <c r="A102" s="2855">
        <v>30</v>
      </c>
      <c r="B102" s="3502"/>
      <c r="C102" s="2829" t="s">
        <v>2711</v>
      </c>
      <c r="D102" s="2829" t="s">
        <v>2712</v>
      </c>
      <c r="E102" s="2855">
        <v>0.1</v>
      </c>
      <c r="F102" s="2855">
        <v>15</v>
      </c>
    </row>
    <row r="103" spans="1:6" ht="24">
      <c r="A103" s="2855">
        <v>31</v>
      </c>
      <c r="B103" s="3502"/>
      <c r="C103" s="2829" t="s">
        <v>2713</v>
      </c>
      <c r="D103" s="2829" t="s">
        <v>2714</v>
      </c>
      <c r="E103" s="2855">
        <v>0.1</v>
      </c>
      <c r="F103" s="2855">
        <v>15</v>
      </c>
    </row>
    <row r="104" spans="1:6" ht="24">
      <c r="A104" s="2855">
        <v>32</v>
      </c>
      <c r="B104" s="3502"/>
      <c r="C104" s="2829" t="s">
        <v>2715</v>
      </c>
      <c r="D104" s="2829" t="s">
        <v>2716</v>
      </c>
      <c r="E104" s="2855">
        <v>0.1</v>
      </c>
      <c r="F104" s="2855">
        <v>15</v>
      </c>
    </row>
    <row r="105" spans="1:6" ht="24">
      <c r="A105" s="2855">
        <v>33</v>
      </c>
      <c r="B105" s="3502"/>
      <c r="C105" s="2829" t="s">
        <v>2717</v>
      </c>
      <c r="D105" s="2829" t="s">
        <v>2718</v>
      </c>
      <c r="E105" s="2855">
        <v>0.1</v>
      </c>
      <c r="F105" s="2855">
        <v>15</v>
      </c>
    </row>
    <row r="106" spans="1:6" ht="24">
      <c r="A106" s="2855">
        <v>34</v>
      </c>
      <c r="B106" s="3501"/>
      <c r="C106" s="2829" t="s">
        <v>2719</v>
      </c>
      <c r="D106" s="2829" t="s">
        <v>2720</v>
      </c>
      <c r="E106" s="2855">
        <v>0.1</v>
      </c>
      <c r="F106" s="2855">
        <v>15</v>
      </c>
    </row>
    <row r="107" spans="1:6" ht="36">
      <c r="A107" s="2855">
        <v>35</v>
      </c>
      <c r="B107" s="3500" t="s">
        <v>2721</v>
      </c>
      <c r="C107" s="2855" t="s">
        <v>2722</v>
      </c>
      <c r="D107" s="2829" t="s">
        <v>2723</v>
      </c>
      <c r="E107" s="2855">
        <v>0.15</v>
      </c>
      <c r="F107" s="2855">
        <v>20</v>
      </c>
    </row>
    <row r="108" spans="1:6" ht="24">
      <c r="A108" s="2855">
        <v>36</v>
      </c>
      <c r="B108" s="3502"/>
      <c r="C108" s="2855" t="s">
        <v>2724</v>
      </c>
      <c r="D108" s="2829" t="s">
        <v>2725</v>
      </c>
      <c r="E108" s="2855">
        <v>0.15</v>
      </c>
      <c r="F108" s="2855">
        <v>20</v>
      </c>
    </row>
    <row r="109" spans="1:6" ht="24">
      <c r="A109" s="2855">
        <v>37</v>
      </c>
      <c r="B109" s="3502"/>
      <c r="C109" s="2855" t="s">
        <v>2726</v>
      </c>
      <c r="D109" s="2829" t="s">
        <v>2727</v>
      </c>
      <c r="E109" s="2855">
        <v>0.15</v>
      </c>
      <c r="F109" s="2855">
        <v>20</v>
      </c>
    </row>
    <row r="110" spans="1:6" ht="24">
      <c r="A110" s="2855">
        <v>38</v>
      </c>
      <c r="B110" s="3502"/>
      <c r="C110" s="2855" t="s">
        <v>2728</v>
      </c>
      <c r="D110" s="2829" t="s">
        <v>2729</v>
      </c>
      <c r="E110" s="2855">
        <v>0.1</v>
      </c>
      <c r="F110" s="2855">
        <v>15</v>
      </c>
    </row>
    <row r="111" spans="1:6" ht="24">
      <c r="A111" s="2855">
        <v>39</v>
      </c>
      <c r="B111" s="3502"/>
      <c r="C111" s="2855" t="s">
        <v>2730</v>
      </c>
      <c r="D111" s="2829" t="s">
        <v>2731</v>
      </c>
      <c r="E111" s="2855">
        <v>0.1</v>
      </c>
      <c r="F111" s="2855">
        <v>15</v>
      </c>
    </row>
    <row r="112" spans="1:6" ht="24">
      <c r="A112" s="2855">
        <v>40</v>
      </c>
      <c r="B112" s="3501"/>
      <c r="C112" s="2855" t="s">
        <v>2732</v>
      </c>
      <c r="D112" s="2829" t="s">
        <v>2733</v>
      </c>
      <c r="E112" s="2855">
        <v>0.1</v>
      </c>
      <c r="F112" s="2855">
        <v>15</v>
      </c>
    </row>
    <row r="113" spans="1:6" ht="24">
      <c r="A113" s="2855">
        <v>41</v>
      </c>
      <c r="B113" s="3499" t="s">
        <v>2734</v>
      </c>
      <c r="C113" s="2855" t="s">
        <v>2735</v>
      </c>
      <c r="D113" s="2829" t="s">
        <v>2736</v>
      </c>
      <c r="E113" s="2855">
        <v>0.1</v>
      </c>
      <c r="F113" s="2855">
        <v>15</v>
      </c>
    </row>
    <row r="114" spans="1:6" ht="24">
      <c r="A114" s="2855">
        <v>42</v>
      </c>
      <c r="B114" s="3499"/>
      <c r="C114" s="2855" t="s">
        <v>2737</v>
      </c>
      <c r="D114" s="2829" t="s">
        <v>2738</v>
      </c>
      <c r="E114" s="2855">
        <v>0.1</v>
      </c>
      <c r="F114" s="2855">
        <v>15</v>
      </c>
    </row>
    <row r="115" spans="1:6" ht="24">
      <c r="A115" s="2855">
        <v>43</v>
      </c>
      <c r="B115" s="3499"/>
      <c r="C115" s="2855" t="s">
        <v>2739</v>
      </c>
      <c r="D115" s="2829" t="s">
        <v>2740</v>
      </c>
      <c r="E115" s="2855">
        <v>0.1</v>
      </c>
      <c r="F115" s="2855">
        <v>15</v>
      </c>
    </row>
    <row r="116" spans="1:6" ht="24">
      <c r="A116" s="2855">
        <v>44</v>
      </c>
      <c r="B116" s="3500" t="s">
        <v>2741</v>
      </c>
      <c r="C116" s="2855" t="s">
        <v>2742</v>
      </c>
      <c r="D116" s="2829" t="s">
        <v>2743</v>
      </c>
      <c r="E116" s="2855">
        <v>0.1</v>
      </c>
      <c r="F116" s="2855">
        <v>15</v>
      </c>
    </row>
    <row r="117" spans="1:6" ht="24">
      <c r="A117" s="2855">
        <v>45</v>
      </c>
      <c r="B117" s="3501"/>
      <c r="C117" s="2829" t="s">
        <v>2744</v>
      </c>
      <c r="D117" s="2829" t="s">
        <v>2745</v>
      </c>
      <c r="E117" s="2855">
        <v>0.1</v>
      </c>
      <c r="F117" s="2855">
        <v>15</v>
      </c>
    </row>
    <row r="118" spans="1:6" ht="24">
      <c r="A118" s="2855">
        <v>46</v>
      </c>
      <c r="B118" s="3500" t="s">
        <v>2746</v>
      </c>
      <c r="C118" s="2855" t="s">
        <v>2747</v>
      </c>
      <c r="D118" s="2829" t="s">
        <v>2748</v>
      </c>
      <c r="E118" s="2855">
        <v>0.1</v>
      </c>
      <c r="F118" s="2855">
        <v>15</v>
      </c>
    </row>
    <row r="119" spans="1:6" ht="24">
      <c r="A119" s="2855">
        <v>47</v>
      </c>
      <c r="B119" s="3501"/>
      <c r="C119" s="2855" t="s">
        <v>2749</v>
      </c>
      <c r="D119" s="2829" t="s">
        <v>2750</v>
      </c>
      <c r="E119" s="2855">
        <v>0.1</v>
      </c>
      <c r="F119" s="2855">
        <v>15</v>
      </c>
    </row>
    <row r="120" spans="1:6" ht="24">
      <c r="A120" s="2855">
        <v>48</v>
      </c>
      <c r="B120" s="3500" t="s">
        <v>2751</v>
      </c>
      <c r="C120" s="2855" t="s">
        <v>2752</v>
      </c>
      <c r="D120" s="2829" t="s">
        <v>2753</v>
      </c>
      <c r="E120" s="2855">
        <v>0.1</v>
      </c>
      <c r="F120" s="2855">
        <v>15</v>
      </c>
    </row>
    <row r="121" spans="1:6" ht="24">
      <c r="A121" s="2855">
        <v>49</v>
      </c>
      <c r="B121" s="3501"/>
      <c r="C121" s="2855" t="s">
        <v>2754</v>
      </c>
      <c r="D121" s="2829" t="s">
        <v>2755</v>
      </c>
      <c r="E121" s="2855">
        <v>0.1</v>
      </c>
      <c r="F121" s="2855">
        <v>15</v>
      </c>
    </row>
    <row r="122" spans="1:6" ht="24">
      <c r="A122" s="2855">
        <v>50</v>
      </c>
      <c r="B122" s="3499" t="s">
        <v>2756</v>
      </c>
      <c r="C122" s="2855" t="s">
        <v>2757</v>
      </c>
      <c r="D122" s="2829" t="s">
        <v>2758</v>
      </c>
      <c r="E122" s="2855">
        <v>0.1</v>
      </c>
      <c r="F122" s="2855">
        <v>15</v>
      </c>
    </row>
    <row r="123" spans="1:6" ht="24">
      <c r="A123" s="2855">
        <v>51</v>
      </c>
      <c r="B123" s="3499"/>
      <c r="C123" s="2855" t="s">
        <v>2759</v>
      </c>
      <c r="D123" s="2829" t="s">
        <v>2760</v>
      </c>
      <c r="E123" s="2855">
        <v>0.1</v>
      </c>
      <c r="F123" s="2855">
        <v>15</v>
      </c>
    </row>
    <row r="124" spans="1:6" ht="24">
      <c r="A124" s="2855">
        <v>52</v>
      </c>
      <c r="B124" s="3499" t="s">
        <v>2761</v>
      </c>
      <c r="C124" s="2855" t="s">
        <v>2762</v>
      </c>
      <c r="D124" s="2829" t="s">
        <v>2763</v>
      </c>
      <c r="E124" s="2855">
        <v>0.1</v>
      </c>
      <c r="F124" s="2855">
        <v>15</v>
      </c>
    </row>
    <row r="125" spans="1:6" ht="24">
      <c r="A125" s="2855">
        <v>53</v>
      </c>
      <c r="B125" s="3499"/>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99" t="s">
        <v>2769</v>
      </c>
      <c r="C127" s="2855" t="s">
        <v>2770</v>
      </c>
      <c r="D127" s="2829" t="s">
        <v>2771</v>
      </c>
      <c r="E127" s="2855">
        <v>0.1</v>
      </c>
      <c r="F127" s="2855">
        <v>15</v>
      </c>
    </row>
    <row r="128" spans="1:6" ht="24">
      <c r="A128" s="2855">
        <v>56</v>
      </c>
      <c r="B128" s="3499"/>
      <c r="C128" s="2855" t="s">
        <v>2772</v>
      </c>
      <c r="D128" s="2829" t="s">
        <v>2773</v>
      </c>
      <c r="E128" s="2855">
        <v>0.1</v>
      </c>
      <c r="F128" s="2855">
        <v>15</v>
      </c>
    </row>
    <row r="129" spans="1:6" ht="24">
      <c r="A129" s="2855">
        <v>57</v>
      </c>
      <c r="B129" s="3499"/>
      <c r="C129" s="2855" t="s">
        <v>2774</v>
      </c>
      <c r="D129" s="2829" t="s">
        <v>2775</v>
      </c>
      <c r="E129" s="2855">
        <v>0.1</v>
      </c>
      <c r="F129" s="2855">
        <v>15</v>
      </c>
    </row>
    <row r="130" spans="1:6" ht="24">
      <c r="A130" s="2855">
        <v>58</v>
      </c>
      <c r="B130" s="3499" t="s">
        <v>2776</v>
      </c>
      <c r="C130" s="2855" t="s">
        <v>2777</v>
      </c>
      <c r="D130" s="2829" t="s">
        <v>2778</v>
      </c>
      <c r="E130" s="2855">
        <v>0.1</v>
      </c>
      <c r="F130" s="2855">
        <v>15</v>
      </c>
    </row>
    <row r="131" spans="1:6" ht="24">
      <c r="A131" s="2855">
        <v>59</v>
      </c>
      <c r="B131" s="3499"/>
      <c r="C131" s="2855" t="s">
        <v>2779</v>
      </c>
      <c r="D131" s="2829" t="s">
        <v>2780</v>
      </c>
      <c r="E131" s="2855">
        <v>0.1</v>
      </c>
      <c r="F131" s="2855">
        <v>15</v>
      </c>
    </row>
    <row r="132" spans="1:6" ht="24">
      <c r="A132" s="2855">
        <v>60</v>
      </c>
      <c r="B132" s="3500" t="s">
        <v>2781</v>
      </c>
      <c r="C132" s="2855" t="s">
        <v>2782</v>
      </c>
      <c r="D132" s="2829" t="s">
        <v>2783</v>
      </c>
      <c r="E132" s="2855">
        <v>0.1</v>
      </c>
      <c r="F132" s="2855">
        <v>15</v>
      </c>
    </row>
    <row r="133" spans="1:6" ht="24">
      <c r="A133" s="2855">
        <v>61</v>
      </c>
      <c r="B133" s="3501"/>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99" t="s">
        <v>2789</v>
      </c>
      <c r="C135" s="2855" t="s">
        <v>2790</v>
      </c>
      <c r="D135" s="2829" t="s">
        <v>2791</v>
      </c>
      <c r="E135" s="2855">
        <v>0.1</v>
      </c>
      <c r="F135" s="2855">
        <v>15</v>
      </c>
    </row>
    <row r="136" spans="1:6" ht="24">
      <c r="A136" s="2855">
        <v>64</v>
      </c>
      <c r="B136" s="3499"/>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6"/>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25842</v>
      </c>
      <c r="C2" s="2" t="s">
        <v>106</v>
      </c>
      <c r="D2" s="190"/>
      <c r="E2" s="190"/>
      <c r="F2" s="190"/>
      <c r="G2" s="190"/>
    </row>
    <row r="3" spans="1:7" s="191" customFormat="1" ht="18" customHeight="1" thickBot="1">
      <c r="A3" s="194" t="s">
        <v>58</v>
      </c>
      <c r="B3" s="195">
        <f ca="1">ROUND(B2*10000/'数据-汇总表'!E3,0)</f>
        <v>826521</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100</v>
      </c>
      <c r="F9" s="212"/>
      <c r="G9" s="217"/>
    </row>
    <row r="10" spans="1:7" s="205" customFormat="1" ht="13.5" customHeight="1">
      <c r="A10" s="732" t="s">
        <v>356</v>
      </c>
      <c r="B10" s="215" t="s">
        <v>67</v>
      </c>
      <c r="C10" s="216">
        <f>ROUND(D10*E10/10000,0)</f>
        <v>5</v>
      </c>
      <c r="D10" s="794">
        <f>'数据-汇总表'!E6</f>
        <v>312.66000000000003</v>
      </c>
      <c r="E10" s="216">
        <f>'数据-取费表'!B28</f>
        <v>150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v>
      </c>
      <c r="D19" s="203">
        <f>'数据-汇总表'!E3</f>
        <v>312.66000000000003</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697</v>
      </c>
      <c r="D22" s="226">
        <f ca="1">C26</f>
        <v>2.9999999999999997E-4</v>
      </c>
      <c r="E22" s="227" t="s">
        <v>99</v>
      </c>
      <c r="F22" s="228">
        <f ca="1">'数据-取费表'!B40</f>
        <v>3.3500000000000002E-2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690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2103</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2103</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25751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105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94</v>
      </c>
      <c r="D34" s="208"/>
      <c r="E34" s="211"/>
      <c r="F34" s="248">
        <f>IF('数据-取费表'!B24=0,1,'数据-取费表'!N16)</f>
        <v>1</v>
      </c>
      <c r="G34" s="210" t="s">
        <v>89</v>
      </c>
    </row>
    <row r="35" spans="1:7" ht="13.5" customHeight="1">
      <c r="A35" s="733" t="s">
        <v>351</v>
      </c>
      <c r="B35" s="206" t="s">
        <v>33</v>
      </c>
      <c r="C35" s="211">
        <f>ROUND(C34*F35,0)</f>
        <v>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v>
      </c>
      <c r="D37" s="208">
        <f>'数据-汇总表'!E3</f>
        <v>312.66000000000003</v>
      </c>
      <c r="E37" s="240">
        <f>'数据-取费表'!B35</f>
        <v>200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2</v>
      </c>
      <c r="D42" s="229"/>
      <c r="E42" s="229"/>
      <c r="F42" s="230"/>
      <c r="G42" s="3281" t="s">
        <v>94</v>
      </c>
    </row>
    <row r="43" spans="1:7" ht="13.5" customHeight="1">
      <c r="A43" s="733" t="s">
        <v>347</v>
      </c>
      <c r="B43" s="206" t="s">
        <v>426</v>
      </c>
      <c r="C43" s="229">
        <f ca="1">ROUND(IF('数据-取费表'!B22&lt;=1,C39*F22*'数据-取费表'!B21/2,C39*(POWER((1+F22),'数据-取费表'!B21/2)-1)),0)</f>
        <v>0</v>
      </c>
      <c r="D43" s="229"/>
      <c r="E43" s="229"/>
      <c r="F43" s="230"/>
      <c r="G43" s="3282"/>
    </row>
    <row r="44" spans="1:7" ht="13.5" customHeight="1">
      <c r="A44" s="733" t="s">
        <v>348</v>
      </c>
      <c r="B44" s="206" t="s">
        <v>428</v>
      </c>
      <c r="C44" s="229">
        <f ca="1">ROUND(IF('数据-取费表'!B22&lt;=1,C40*F22*'数据-取费表'!B21/2,C40*(POWER((1+F22),'数据-取费表'!B21/2)-1)),4)</f>
        <v>2.9999999999999997E-4</v>
      </c>
      <c r="D44" s="229"/>
      <c r="E44" s="229"/>
      <c r="F44" s="230"/>
      <c r="G44" s="3283"/>
    </row>
    <row r="45" spans="1:7" s="205" customFormat="1" ht="13.5" customHeight="1">
      <c r="A45" s="730" t="s">
        <v>341</v>
      </c>
      <c r="B45" s="235" t="s">
        <v>85</v>
      </c>
      <c r="C45" s="236">
        <f>C46</f>
        <v>11</v>
      </c>
      <c r="D45" s="226">
        <f>C47</f>
        <v>2E-3</v>
      </c>
      <c r="E45" s="227" t="s">
        <v>102</v>
      </c>
      <c r="F45" s="237"/>
      <c r="G45" s="238" t="s">
        <v>434</v>
      </c>
    </row>
    <row r="46" spans="1:7" s="205" customFormat="1" ht="13.5" customHeight="1">
      <c r="A46" s="733" t="s">
        <v>349</v>
      </c>
      <c r="B46" s="239" t="s">
        <v>427</v>
      </c>
      <c r="C46" s="240">
        <f>ROUND((C33+C39)*F27,0)</f>
        <v>11</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130</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91</v>
      </c>
      <c r="D51" s="223"/>
      <c r="E51" s="223"/>
      <c r="F51" s="255"/>
      <c r="G51" s="225" t="s">
        <v>37</v>
      </c>
    </row>
    <row r="52" spans="1:7" s="199" customFormat="1" ht="16.8" thickBot="1">
      <c r="A52" s="256" t="s">
        <v>38</v>
      </c>
      <c r="B52" s="257"/>
      <c r="C52" s="258">
        <f ca="1">C31+C51</f>
        <v>25842</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3" t="s">
        <v>2839</v>
      </c>
      <c r="B1" s="3513"/>
      <c r="C1" s="3513"/>
      <c r="D1" s="3513"/>
      <c r="E1" s="3513"/>
      <c r="F1" s="3513"/>
      <c r="G1" s="3514"/>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1"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2"/>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5" t="s">
        <v>3181</v>
      </c>
      <c r="B1" s="3515"/>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11"/>
  </cols>
  <sheetData>
    <row r="1" spans="1:6">
      <c r="A1" s="3516" t="s">
        <v>3232</v>
      </c>
      <c r="B1" s="3516"/>
      <c r="C1" s="3516"/>
      <c r="D1" s="3516"/>
      <c r="E1" s="3516"/>
      <c r="F1" s="3517"/>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结果表1号!D116</f>
        <v>出让国有建设用地使用权价值</v>
      </c>
      <c r="E2" s="3206"/>
      <c r="F2" s="3206" t="str">
        <f>结果表1号!F116</f>
        <v>在建建筑物价值</v>
      </c>
      <c r="G2" s="3206"/>
      <c r="H2" s="3206" t="str">
        <f>IF(项目基本情况!B9="房地产市场价值","房地产市场价值","房地产价值")</f>
        <v>房地产价值</v>
      </c>
      <c r="I2" s="3206"/>
    </row>
    <row r="3" spans="1:9" ht="15.6">
      <c r="A3" s="3201"/>
      <c r="B3" s="3201"/>
      <c r="C3" s="3201"/>
      <c r="D3" s="800" t="s">
        <v>925</v>
      </c>
      <c r="E3" s="800" t="s">
        <v>931</v>
      </c>
      <c r="F3" s="800" t="s">
        <v>925</v>
      </c>
      <c r="G3" s="800" t="s">
        <v>926</v>
      </c>
      <c r="H3" s="800" t="s">
        <v>925</v>
      </c>
      <c r="I3" s="800" t="s">
        <v>926</v>
      </c>
    </row>
    <row r="4" spans="1:9" ht="30">
      <c r="A4" s="1402" t="str">
        <f>项目基本情况!S2</f>
        <v>北京市延庆县燕水佳园14号楼1至2层1号、2号房地产</v>
      </c>
      <c r="B4" s="800">
        <f>项目基本情况!C17</f>
        <v>312.66000000000003</v>
      </c>
      <c r="C4" s="800">
        <f>项目基本情况!C18</f>
        <v>0</v>
      </c>
      <c r="D4" s="800">
        <f>结果表1号!D118</f>
        <v>0</v>
      </c>
      <c r="E4" s="800">
        <f>结果表1号!E118</f>
        <v>0</v>
      </c>
      <c r="F4" s="800">
        <f>结果表1号!F118</f>
        <v>0</v>
      </c>
      <c r="G4" s="800">
        <f>结果表1号!G118</f>
        <v>0</v>
      </c>
      <c r="H4" s="800">
        <f ca="1">结果表1号!H118</f>
        <v>190</v>
      </c>
      <c r="I4" s="800">
        <f ca="1">结果表1号!I118</f>
        <v>12143</v>
      </c>
    </row>
    <row r="5" spans="1:9" ht="30" customHeight="1">
      <c r="A5" s="3201" t="s">
        <v>927</v>
      </c>
      <c r="B5" s="3201"/>
      <c r="C5" s="3201"/>
      <c r="D5" s="3201" t="str">
        <f>结果表1号!D119</f>
        <v>零元整</v>
      </c>
      <c r="E5" s="3201"/>
      <c r="F5" s="3201" t="str">
        <f>结果表1号!F119</f>
        <v>零元整</v>
      </c>
      <c r="G5" s="3201"/>
      <c r="H5" s="3201" t="str">
        <f ca="1">结果表1号!H119</f>
        <v>壹佰玖拾万元整</v>
      </c>
      <c r="I5" s="3201"/>
    </row>
    <row r="6" spans="1:9" ht="15.6">
      <c r="A6" s="3200" t="str">
        <f>结果表1号!A120</f>
        <v>估价师知悉的法定优先受偿款</v>
      </c>
      <c r="B6" s="3200"/>
      <c r="C6" s="3200"/>
      <c r="D6" s="3200">
        <f>结果表1号!D120</f>
        <v>0</v>
      </c>
      <c r="E6" s="3200"/>
      <c r="F6" s="3200"/>
      <c r="G6" s="3200"/>
      <c r="H6" s="3200"/>
      <c r="I6" s="3200"/>
    </row>
    <row r="7" spans="1:9" ht="15">
      <c r="A7" s="3201" t="s">
        <v>927</v>
      </c>
      <c r="B7" s="3201"/>
      <c r="C7" s="3201"/>
      <c r="D7" s="3202" t="str">
        <f>结果表1号!D121</f>
        <v>零元整</v>
      </c>
      <c r="E7" s="3203"/>
      <c r="F7" s="3203"/>
      <c r="G7" s="3203"/>
      <c r="H7" s="3203"/>
      <c r="I7" s="3204"/>
    </row>
    <row r="8" spans="1:9" ht="15.6">
      <c r="A8" s="3200" t="str">
        <f>结果表1号!A122</f>
        <v>房地产抵押价值</v>
      </c>
      <c r="B8" s="3200"/>
      <c r="C8" s="3200"/>
      <c r="D8" s="3200">
        <f ca="1">结果表1号!D122</f>
        <v>190</v>
      </c>
      <c r="E8" s="3200"/>
      <c r="F8" s="3200"/>
      <c r="G8" s="3200"/>
      <c r="H8" s="3200"/>
      <c r="I8" s="3200"/>
    </row>
    <row r="9" spans="1:9" ht="15">
      <c r="A9" s="3201" t="s">
        <v>927</v>
      </c>
      <c r="B9" s="3201"/>
      <c r="C9" s="3201"/>
      <c r="D9" s="3201" t="str">
        <f ca="1">结果表1号!D123</f>
        <v>壹佰玖拾万元整</v>
      </c>
      <c r="E9" s="3201"/>
      <c r="F9" s="3201"/>
      <c r="G9" s="3201"/>
      <c r="H9" s="3201"/>
      <c r="I9" s="3201"/>
    </row>
    <row r="10" spans="1:9" ht="15.6">
      <c r="A10" s="3200" t="str">
        <f>结果表1号!A124</f>
        <v/>
      </c>
      <c r="B10" s="3200"/>
      <c r="C10" s="3200"/>
      <c r="D10" s="3200" t="str">
        <f>结果表1号!D124</f>
        <v>——</v>
      </c>
      <c r="E10" s="3200"/>
      <c r="F10" s="3200"/>
      <c r="G10" s="3200"/>
      <c r="H10" s="3200"/>
      <c r="I10" s="3200"/>
    </row>
    <row r="11" spans="1:9" ht="15">
      <c r="A11" s="3201" t="s">
        <v>927</v>
      </c>
      <c r="B11" s="3201"/>
      <c r="C11" s="3201"/>
      <c r="D11" s="3201" t="e">
        <f>结果表1号!D125</f>
        <v>#VALUE!</v>
      </c>
      <c r="E11" s="3201"/>
      <c r="F11" s="3201"/>
      <c r="G11" s="3201"/>
      <c r="H11" s="3201"/>
      <c r="I11" s="3201"/>
    </row>
    <row r="12" spans="1:9" ht="15.6">
      <c r="A12" s="3200" t="str">
        <f>结果表1号!A126</f>
        <v/>
      </c>
      <c r="B12" s="3200"/>
      <c r="C12" s="3200"/>
      <c r="D12" s="3200" t="str">
        <f>结果表1号!D126</f>
        <v>——</v>
      </c>
      <c r="E12" s="3200"/>
      <c r="F12" s="3200"/>
      <c r="G12" s="3200"/>
      <c r="H12" s="3200"/>
      <c r="I12" s="3200"/>
    </row>
    <row r="13" spans="1:9" ht="15.6" thickBot="1">
      <c r="A13" s="3198" t="s">
        <v>927</v>
      </c>
      <c r="B13" s="3198"/>
      <c r="C13" s="3198"/>
      <c r="D13" s="3198" t="e">
        <f>结果表1号!D127</f>
        <v>#VALUE!</v>
      </c>
      <c r="E13" s="3198"/>
      <c r="F13" s="3198"/>
      <c r="G13" s="3198"/>
      <c r="H13" s="3198"/>
      <c r="I13" s="3198"/>
    </row>
    <row r="14" spans="1:9" ht="14.4" thickTop="1">
      <c r="A14" s="3199" t="s">
        <v>932</v>
      </c>
      <c r="B14" s="3199"/>
      <c r="C14" s="3199"/>
      <c r="D14" s="3199"/>
      <c r="E14" s="3199"/>
      <c r="F14" s="3199"/>
      <c r="G14" s="3199"/>
      <c r="H14" s="3199"/>
      <c r="I14" s="3199"/>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5">
        <f>基准地价修正!G23</f>
        <v>45562</v>
      </c>
      <c r="B1" s="2927" t="s">
        <v>3369</v>
      </c>
      <c r="C1" s="2928"/>
      <c r="D1" s="2928"/>
      <c r="E1" s="2928"/>
      <c r="F1" s="2928"/>
      <c r="G1" s="2928"/>
      <c r="H1" s="2928"/>
      <c r="I1" s="2928"/>
      <c r="J1" s="2894"/>
      <c r="K1" s="2928" t="s">
        <v>454</v>
      </c>
      <c r="L1" s="2928"/>
      <c r="M1" s="2928"/>
      <c r="N1" s="2928"/>
      <c r="O1" s="2928"/>
      <c r="P1" s="2928"/>
      <c r="Q1" s="2894"/>
      <c r="R1" s="3518" t="s">
        <v>456</v>
      </c>
      <c r="S1" s="3519"/>
      <c r="T1" s="3519"/>
      <c r="U1" s="3519"/>
      <c r="V1" s="3519"/>
      <c r="W1" s="3519"/>
      <c r="X1" s="2894"/>
      <c r="Y1" s="3518" t="s">
        <v>457</v>
      </c>
      <c r="Z1" s="3519"/>
      <c r="AA1" s="3519"/>
      <c r="AB1" s="3519"/>
      <c r="AC1" s="3519"/>
      <c r="AD1" s="3519"/>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3375</v>
      </c>
      <c r="B5" s="2030">
        <v>2024</v>
      </c>
      <c r="C5" s="2041">
        <v>3</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3376</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4" customFormat="1" ht="13.2">
      <c r="A7" s="2903" t="s">
        <v>3378</v>
      </c>
      <c r="B7" s="2030">
        <v>2024</v>
      </c>
      <c r="C7" s="2041">
        <v>1</v>
      </c>
      <c r="D7" s="2006">
        <v>0.08</v>
      </c>
      <c r="E7" s="2006">
        <v>0.46</v>
      </c>
      <c r="F7" s="2006">
        <v>-0.16</v>
      </c>
      <c r="G7" s="2006">
        <v>0.26</v>
      </c>
      <c r="H7" s="2915">
        <v>0.59</v>
      </c>
      <c r="I7" s="2007">
        <v>0</v>
      </c>
      <c r="J7" s="2904"/>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4"/>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4"/>
      <c r="Y7" s="2027"/>
      <c r="Z7" s="2027"/>
      <c r="AA7" s="2027"/>
      <c r="AB7" s="2027"/>
      <c r="AC7" s="2027"/>
      <c r="AD7" s="2027"/>
    </row>
    <row r="8" spans="1:30" s="2044" customFormat="1" ht="13.2">
      <c r="A8" s="2903" t="s">
        <v>3373</v>
      </c>
      <c r="B8" s="2030">
        <v>2023</v>
      </c>
      <c r="C8" s="2041">
        <v>4</v>
      </c>
      <c r="D8" s="2006">
        <v>0.19</v>
      </c>
      <c r="E8" s="2006">
        <v>0.24</v>
      </c>
      <c r="F8" s="2006">
        <v>-0.16</v>
      </c>
      <c r="G8" s="2006">
        <v>0.17</v>
      </c>
      <c r="H8" s="2915">
        <v>0.61</v>
      </c>
      <c r="I8" s="2007">
        <f>F8</f>
        <v>-0.16</v>
      </c>
      <c r="J8" s="2904"/>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4"/>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4"/>
      <c r="Y8" s="2027"/>
      <c r="Z8" s="2027"/>
      <c r="AA8" s="2027"/>
      <c r="AB8" s="2027"/>
      <c r="AC8" s="2027"/>
      <c r="AD8" s="2027"/>
    </row>
    <row r="9" spans="1:30" s="2044" customFormat="1" ht="13.2">
      <c r="A9" s="2903" t="s">
        <v>3372</v>
      </c>
      <c r="B9" s="2030">
        <v>2023</v>
      </c>
      <c r="C9" s="2041">
        <v>3</v>
      </c>
      <c r="D9" s="2006">
        <v>0.25</v>
      </c>
      <c r="E9" s="2006">
        <v>0.5</v>
      </c>
      <c r="F9" s="2006">
        <v>0.31</v>
      </c>
      <c r="G9" s="2006">
        <v>0.21</v>
      </c>
      <c r="H9" s="2915">
        <v>0.43</v>
      </c>
      <c r="I9" s="2007">
        <f t="shared" si="15"/>
        <v>0.31</v>
      </c>
      <c r="J9" s="2904"/>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4"/>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4"/>
      <c r="Y9" s="2027"/>
      <c r="Z9" s="2027"/>
      <c r="AA9" s="2027"/>
      <c r="AB9" s="2027"/>
      <c r="AC9" s="2027"/>
      <c r="AD9" s="2027"/>
    </row>
    <row r="10" spans="1:30" s="2044" customFormat="1" ht="13.2">
      <c r="A10" s="2903" t="s">
        <v>3368</v>
      </c>
      <c r="B10" s="2030">
        <v>2023</v>
      </c>
      <c r="C10" s="2041">
        <v>2</v>
      </c>
      <c r="D10" s="2006">
        <v>0.91</v>
      </c>
      <c r="E10" s="2006">
        <v>0.66</v>
      </c>
      <c r="F10" s="2006">
        <v>0.47</v>
      </c>
      <c r="G10" s="2006">
        <v>0.96</v>
      </c>
      <c r="H10" s="2915">
        <v>0.71</v>
      </c>
      <c r="I10" s="2007">
        <f t="shared" si="15"/>
        <v>0.47</v>
      </c>
      <c r="J10" s="2904"/>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4"/>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4"/>
      <c r="Y10" s="2027"/>
      <c r="Z10" s="2027"/>
      <c r="AA10" s="2027"/>
      <c r="AB10" s="2027"/>
      <c r="AC10" s="2027"/>
      <c r="AD10" s="2027"/>
    </row>
    <row r="11" spans="1:30" s="2044" customFormat="1" ht="13.2">
      <c r="A11" s="2903" t="s">
        <v>3367</v>
      </c>
      <c r="B11" s="2030">
        <v>2023</v>
      </c>
      <c r="C11" s="2041">
        <v>1</v>
      </c>
      <c r="D11" s="2006">
        <v>0.89</v>
      </c>
      <c r="E11" s="2006">
        <v>0.74</v>
      </c>
      <c r="F11" s="2006">
        <v>0.56999999999999995</v>
      </c>
      <c r="G11" s="2006">
        <v>0.92</v>
      </c>
      <c r="H11" s="2915">
        <v>0.5</v>
      </c>
      <c r="I11" s="2007">
        <f t="shared" si="15"/>
        <v>0.56999999999999995</v>
      </c>
      <c r="J11" s="2904"/>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4"/>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4"/>
      <c r="Y11" s="2027"/>
      <c r="Z11" s="2027"/>
      <c r="AA11" s="2027"/>
      <c r="AB11" s="2027"/>
      <c r="AC11" s="2027"/>
      <c r="AD11" s="2027"/>
    </row>
    <row r="12" spans="1:30" s="2044" customFormat="1" ht="13.2">
      <c r="A12" s="2903" t="s">
        <v>3366</v>
      </c>
      <c r="B12" s="2030">
        <v>2022</v>
      </c>
      <c r="C12" s="2041">
        <v>4</v>
      </c>
      <c r="D12" s="2006">
        <v>0.62</v>
      </c>
      <c r="E12" s="2006">
        <v>0.2</v>
      </c>
      <c r="F12" s="2006">
        <v>0.11</v>
      </c>
      <c r="G12" s="2006">
        <v>0.69</v>
      </c>
      <c r="H12" s="2915">
        <v>0.53</v>
      </c>
      <c r="I12" s="2007">
        <f t="shared" si="15"/>
        <v>0.11</v>
      </c>
      <c r="J12" s="2904"/>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4"/>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4"/>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3.2">
      <c r="A13" s="2903" t="s">
        <v>3362</v>
      </c>
      <c r="B13" s="2030">
        <v>2022</v>
      </c>
      <c r="C13" s="2041">
        <v>3</v>
      </c>
      <c r="D13" s="2006">
        <v>0.66</v>
      </c>
      <c r="E13" s="2006">
        <v>0.32</v>
      </c>
      <c r="F13" s="2006">
        <v>0.23</v>
      </c>
      <c r="G13" s="2006">
        <v>0.72</v>
      </c>
      <c r="H13" s="2915">
        <v>0.63</v>
      </c>
      <c r="I13" s="2007">
        <f t="shared" si="15"/>
        <v>0.23</v>
      </c>
      <c r="J13" s="2904"/>
      <c r="K13" s="2042">
        <f t="shared" si="16"/>
        <v>6.6E-3</v>
      </c>
      <c r="L13" s="2027">
        <f t="shared" si="16"/>
        <v>3.2000000000000002E-3</v>
      </c>
      <c r="M13" s="2027">
        <f t="shared" si="16"/>
        <v>2.3E-3</v>
      </c>
      <c r="N13" s="2027">
        <f t="shared" si="16"/>
        <v>7.1999999999999998E-3</v>
      </c>
      <c r="O13" s="2027">
        <f t="shared" si="16"/>
        <v>6.3E-3</v>
      </c>
      <c r="P13" s="2027">
        <f t="shared" si="36"/>
        <v>2.3E-3</v>
      </c>
      <c r="Q13" s="2904"/>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4"/>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3.2">
      <c r="A14" s="2903" t="s">
        <v>3353</v>
      </c>
      <c r="B14" s="2030">
        <v>2022</v>
      </c>
      <c r="C14" s="2041">
        <v>2</v>
      </c>
      <c r="D14" s="2006">
        <v>0.93</v>
      </c>
      <c r="E14" s="2006">
        <v>0.15</v>
      </c>
      <c r="F14" s="2006">
        <v>0.01</v>
      </c>
      <c r="G14" s="2006">
        <v>1.05</v>
      </c>
      <c r="H14" s="2915">
        <v>1.08</v>
      </c>
      <c r="I14" s="2007">
        <f t="shared" si="15"/>
        <v>0.01</v>
      </c>
      <c r="J14" s="2904"/>
      <c r="K14" s="2042">
        <f t="shared" si="16"/>
        <v>9.300000000000001E-3</v>
      </c>
      <c r="L14" s="2027">
        <f t="shared" si="16"/>
        <v>1.5E-3</v>
      </c>
      <c r="M14" s="2027">
        <f t="shared" si="16"/>
        <v>1E-4</v>
      </c>
      <c r="N14" s="2027">
        <f t="shared" si="16"/>
        <v>1.0500000000000001E-2</v>
      </c>
      <c r="O14" s="2027">
        <f t="shared" si="16"/>
        <v>1.0800000000000001E-2</v>
      </c>
      <c r="P14" s="2027">
        <f t="shared" si="36"/>
        <v>1E-4</v>
      </c>
      <c r="Q14" s="2904"/>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4"/>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3.2">
      <c r="A15" s="2903" t="s">
        <v>2820</v>
      </c>
      <c r="B15" s="2030">
        <v>2022</v>
      </c>
      <c r="C15" s="2041">
        <v>1</v>
      </c>
      <c r="D15" s="2006">
        <v>0.89</v>
      </c>
      <c r="E15" s="2006">
        <v>0.44</v>
      </c>
      <c r="F15" s="2006">
        <v>0.37</v>
      </c>
      <c r="G15" s="2006">
        <v>0.96</v>
      </c>
      <c r="H15" s="2915">
        <v>0.64</v>
      </c>
      <c r="I15" s="2007">
        <f t="shared" si="15"/>
        <v>0.37</v>
      </c>
      <c r="J15" s="2904"/>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4"/>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4"/>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3.2">
      <c r="A16" s="2903" t="s">
        <v>2821</v>
      </c>
      <c r="B16" s="2030">
        <v>2021</v>
      </c>
      <c r="C16" s="2041">
        <v>4</v>
      </c>
      <c r="D16" s="2006">
        <v>1.03</v>
      </c>
      <c r="E16" s="2006">
        <v>0.24</v>
      </c>
      <c r="F16" s="2006">
        <v>7.0000000000000007E-2</v>
      </c>
      <c r="G16" s="2006">
        <v>1.17</v>
      </c>
      <c r="H16" s="2915">
        <v>0.55000000000000004</v>
      </c>
      <c r="I16" s="2007">
        <f t="shared" si="15"/>
        <v>7.0000000000000007E-2</v>
      </c>
      <c r="J16" s="2904"/>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4"/>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4"/>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3.2">
      <c r="A17" s="2903" t="s">
        <v>2822</v>
      </c>
      <c r="B17" s="2030">
        <v>2021</v>
      </c>
      <c r="C17" s="2041">
        <v>3</v>
      </c>
      <c r="D17" s="2006">
        <v>0.47</v>
      </c>
      <c r="E17" s="2006">
        <v>0.41</v>
      </c>
      <c r="F17" s="2006">
        <v>0.24</v>
      </c>
      <c r="G17" s="2006">
        <v>0.48</v>
      </c>
      <c r="H17" s="2915">
        <v>0.48</v>
      </c>
      <c r="I17" s="2007">
        <f t="shared" si="15"/>
        <v>0.24</v>
      </c>
      <c r="J17" s="2904"/>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4"/>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4"/>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3.2">
      <c r="A18" s="2903" t="s">
        <v>2823</v>
      </c>
      <c r="B18" s="2030">
        <v>2021</v>
      </c>
      <c r="C18" s="2041">
        <v>2</v>
      </c>
      <c r="D18" s="2006">
        <v>0.92</v>
      </c>
      <c r="E18" s="2006">
        <v>0.72</v>
      </c>
      <c r="F18" s="2006">
        <v>0.41</v>
      </c>
      <c r="G18" s="2006">
        <v>0.95</v>
      </c>
      <c r="H18" s="2915">
        <v>1.01</v>
      </c>
      <c r="I18" s="2007">
        <f t="shared" si="15"/>
        <v>0.41</v>
      </c>
      <c r="J18" s="2904"/>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4"/>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4"/>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6" customFormat="1" ht="13.8" thickBot="1">
      <c r="A19" s="2916" t="s">
        <v>2824</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5" thickTop="1"/>
    <row r="21" spans="1:30">
      <c r="A21" s="3141" t="s">
        <v>3364</v>
      </c>
    </row>
    <row r="22" spans="1:30">
      <c r="I22" s="1404" t="s">
        <v>2825</v>
      </c>
    </row>
    <row r="24" spans="1:30" s="2008" customFormat="1" ht="13.2">
      <c r="B24" s="2927" t="s">
        <v>3370</v>
      </c>
      <c r="C24" s="2928"/>
      <c r="D24" s="2928"/>
      <c r="E24" s="2928"/>
      <c r="F24" s="2928"/>
      <c r="G24" s="2928"/>
      <c r="H24" s="2928"/>
      <c r="I24" s="2928"/>
      <c r="J24" s="2894"/>
      <c r="K24" s="2928" t="s">
        <v>2826</v>
      </c>
      <c r="L24" s="2928"/>
      <c r="M24" s="2928"/>
      <c r="N24" s="2928"/>
      <c r="O24" s="2928"/>
      <c r="P24" s="2928"/>
      <c r="Q24" s="2894"/>
      <c r="R24" s="3518" t="s">
        <v>2827</v>
      </c>
      <c r="S24" s="3519"/>
      <c r="T24" s="3519"/>
      <c r="U24" s="3519"/>
      <c r="V24" s="3519"/>
      <c r="W24" s="3519"/>
      <c r="X24" s="2894"/>
      <c r="Y24" s="3518" t="s">
        <v>2828</v>
      </c>
      <c r="Z24" s="3519"/>
      <c r="AA24" s="3519"/>
      <c r="AB24" s="3519"/>
      <c r="AC24" s="3519"/>
      <c r="AD24" s="3519"/>
    </row>
    <row r="25" spans="1:30" s="2009" customFormat="1" ht="15" thickBot="1">
      <c r="B25" s="2879"/>
      <c r="C25" s="2880"/>
      <c r="D25" s="2010" t="s">
        <v>2829</v>
      </c>
      <c r="E25" s="2011" t="s">
        <v>2830</v>
      </c>
      <c r="F25" s="2011" t="s">
        <v>2831</v>
      </c>
      <c r="G25" s="2011" t="s">
        <v>2832</v>
      </c>
      <c r="H25" s="2011"/>
      <c r="I25" s="2011" t="s">
        <v>2833</v>
      </c>
      <c r="J25" s="2881"/>
      <c r="K25" s="2010" t="s">
        <v>2829</v>
      </c>
      <c r="L25" s="2011" t="s">
        <v>2830</v>
      </c>
      <c r="M25" s="2011" t="s">
        <v>2831</v>
      </c>
      <c r="N25" s="2011" t="s">
        <v>2832</v>
      </c>
      <c r="O25" s="2011"/>
      <c r="P25" s="2011" t="s">
        <v>2833</v>
      </c>
      <c r="Q25" s="2881"/>
      <c r="R25" s="2010" t="s">
        <v>2829</v>
      </c>
      <c r="S25" s="2011" t="s">
        <v>2830</v>
      </c>
      <c r="T25" s="2011" t="s">
        <v>2831</v>
      </c>
      <c r="U25" s="2011" t="s">
        <v>2832</v>
      </c>
      <c r="V25" s="2011"/>
      <c r="W25" s="2011" t="s">
        <v>2833</v>
      </c>
      <c r="X25" s="2881"/>
      <c r="Y25" s="2010" t="s">
        <v>2829</v>
      </c>
      <c r="Z25" s="2011" t="s">
        <v>2830</v>
      </c>
      <c r="AA25" s="2011" t="s">
        <v>2831</v>
      </c>
      <c r="AB25" s="2011" t="s">
        <v>2832</v>
      </c>
      <c r="AC25" s="2011"/>
      <c r="AD25" s="2011" t="s">
        <v>2833</v>
      </c>
    </row>
    <row r="26" spans="1:30" s="2884" customFormat="1" ht="13.2">
      <c r="A26" s="2882" t="s">
        <v>2834</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8" customFormat="1" ht="13.2">
      <c r="B27" s="2024"/>
      <c r="J27" s="2894"/>
      <c r="K27" s="2895"/>
      <c r="L27" s="2896"/>
      <c r="M27" s="2896"/>
      <c r="N27" s="2896"/>
      <c r="O27" s="2896"/>
      <c r="P27" s="2896"/>
      <c r="Q27" s="2894"/>
      <c r="R27" s="2026"/>
      <c r="S27" s="2897"/>
      <c r="T27" s="2898"/>
      <c r="U27" s="2026"/>
      <c r="V27" s="2899"/>
      <c r="W27" s="2026"/>
      <c r="X27" s="2894"/>
      <c r="Y27" s="2027"/>
      <c r="Z27" s="2900"/>
      <c r="AA27" s="2901"/>
      <c r="AB27" s="2027"/>
      <c r="AC27" s="2902"/>
      <c r="AD27" s="2027"/>
    </row>
    <row r="28" spans="1:30" s="2044" customFormat="1" ht="13.2">
      <c r="A28" s="2039" t="s">
        <v>3375</v>
      </c>
      <c r="B28" s="2030">
        <v>2024</v>
      </c>
      <c r="C28" s="2041">
        <v>3</v>
      </c>
      <c r="D28" s="2006"/>
      <c r="E28" s="2006">
        <v>0</v>
      </c>
      <c r="F28" s="2006">
        <v>0</v>
      </c>
      <c r="G28" s="2006">
        <v>0</v>
      </c>
      <c r="H28" s="2006"/>
      <c r="I28" s="2007">
        <f t="shared" ref="I28" si="47">F28</f>
        <v>0</v>
      </c>
      <c r="J28" s="2904"/>
      <c r="K28" s="2042"/>
      <c r="L28" s="2027">
        <f t="shared" ref="L28" si="48">E28/100</f>
        <v>0</v>
      </c>
      <c r="M28" s="2027">
        <f t="shared" ref="M28" si="49">F28/100</f>
        <v>0</v>
      </c>
      <c r="N28" s="2027">
        <f t="shared" ref="N28" si="50">G28/100</f>
        <v>0</v>
      </c>
      <c r="O28" s="2027"/>
      <c r="P28" s="2027">
        <f>M28</f>
        <v>0</v>
      </c>
      <c r="Q28" s="2904"/>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4"/>
      <c r="Y28" s="2027"/>
      <c r="Z28" s="2900">
        <f t="shared" ref="Z28:AB29" si="51">IF(E28=0,0,ROUND(AVERAGE(E28:E41)/100,4))</f>
        <v>0</v>
      </c>
      <c r="AA28" s="2900">
        <f t="shared" si="51"/>
        <v>0</v>
      </c>
      <c r="AB28" s="2900">
        <f t="shared" si="51"/>
        <v>0</v>
      </c>
      <c r="AC28" s="2902"/>
      <c r="AD28" s="2027">
        <f>IF(I28=0,0,ROUND(AVERAGE(I28:I41)/100,4))</f>
        <v>0</v>
      </c>
    </row>
    <row r="29" spans="1:30" s="2914" customFormat="1" ht="13.2">
      <c r="A29" s="2905" t="s">
        <v>3376</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4" customFormat="1" ht="13.2">
      <c r="A30" s="2903" t="s">
        <v>3377</v>
      </c>
      <c r="B30" s="2030">
        <v>2024</v>
      </c>
      <c r="C30" s="2041">
        <v>1</v>
      </c>
      <c r="D30" s="2006"/>
      <c r="E30" s="2006">
        <v>0.25</v>
      </c>
      <c r="F30" s="2006">
        <v>0.4</v>
      </c>
      <c r="G30" s="2006">
        <v>-0.63</v>
      </c>
      <c r="H30" s="2915"/>
      <c r="I30" s="2007">
        <f t="shared" ref="I30:I31" si="54">F30</f>
        <v>0.4</v>
      </c>
      <c r="J30" s="2904"/>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4"/>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4"/>
      <c r="Y30" s="2027"/>
      <c r="Z30" s="2900"/>
      <c r="AA30" s="2901"/>
      <c r="AB30" s="2027"/>
      <c r="AC30" s="2902"/>
      <c r="AD30" s="2027"/>
    </row>
    <row r="31" spans="1:30" s="2044" customFormat="1" ht="13.2">
      <c r="A31" s="2903" t="s">
        <v>3374</v>
      </c>
      <c r="B31" s="2030">
        <v>2023</v>
      </c>
      <c r="C31" s="2041">
        <v>4</v>
      </c>
      <c r="D31" s="2006"/>
      <c r="E31" s="2006">
        <v>7.0000000000000007E-2</v>
      </c>
      <c r="F31" s="2006">
        <v>0.09</v>
      </c>
      <c r="G31" s="2006">
        <v>0.03</v>
      </c>
      <c r="H31" s="2915"/>
      <c r="I31" s="2007">
        <f t="shared" si="54"/>
        <v>0.09</v>
      </c>
      <c r="J31" s="2904"/>
      <c r="K31" s="2042"/>
      <c r="L31" s="2027">
        <f t="shared" si="53"/>
        <v>7.000000000000001E-4</v>
      </c>
      <c r="M31" s="2027">
        <f t="shared" si="53"/>
        <v>8.9999999999999998E-4</v>
      </c>
      <c r="N31" s="2027">
        <f t="shared" si="53"/>
        <v>2.9999999999999997E-4</v>
      </c>
      <c r="O31" s="2027"/>
      <c r="P31" s="2027">
        <f t="shared" ref="P31" si="60">M31</f>
        <v>8.9999999999999998E-4</v>
      </c>
      <c r="Q31" s="2904"/>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4"/>
      <c r="Y31" s="2027"/>
      <c r="Z31" s="2900"/>
      <c r="AA31" s="2901"/>
      <c r="AB31" s="2027"/>
      <c r="AC31" s="2902"/>
      <c r="AD31" s="2027"/>
    </row>
    <row r="32" spans="1:30" s="2044" customFormat="1" ht="13.2">
      <c r="A32" s="2903" t="s">
        <v>3372</v>
      </c>
      <c r="B32" s="2030">
        <v>2023</v>
      </c>
      <c r="C32" s="2041">
        <v>3</v>
      </c>
      <c r="D32" s="2006"/>
      <c r="E32" s="2006">
        <v>0.35</v>
      </c>
      <c r="F32" s="2006">
        <v>0.17</v>
      </c>
      <c r="G32" s="2006">
        <v>0.52</v>
      </c>
      <c r="H32" s="2915"/>
      <c r="I32" s="2007">
        <f t="shared" si="52"/>
        <v>0.17</v>
      </c>
      <c r="J32" s="2904"/>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4"/>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4"/>
      <c r="Y32" s="2027"/>
      <c r="Z32" s="2900"/>
      <c r="AA32" s="2901"/>
      <c r="AB32" s="2027"/>
      <c r="AC32" s="2902"/>
      <c r="AD32" s="2027"/>
    </row>
    <row r="33" spans="1:30" s="2044" customFormat="1" ht="13.2">
      <c r="A33" s="2903" t="s">
        <v>3371</v>
      </c>
      <c r="B33" s="2030">
        <v>2023</v>
      </c>
      <c r="C33" s="2041">
        <v>2</v>
      </c>
      <c r="D33" s="2006"/>
      <c r="E33" s="2006">
        <v>0.5</v>
      </c>
      <c r="F33" s="2006">
        <v>0.45</v>
      </c>
      <c r="G33" s="2006">
        <v>0.89</v>
      </c>
      <c r="H33" s="2915"/>
      <c r="I33" s="2007">
        <f t="shared" si="52"/>
        <v>0.45</v>
      </c>
      <c r="J33" s="2904"/>
      <c r="K33" s="2042"/>
      <c r="L33" s="2027">
        <f t="shared" si="62"/>
        <v>5.0000000000000001E-3</v>
      </c>
      <c r="M33" s="2027">
        <f t="shared" si="63"/>
        <v>4.5000000000000005E-3</v>
      </c>
      <c r="N33" s="2027">
        <f t="shared" si="64"/>
        <v>8.8999999999999999E-3</v>
      </c>
      <c r="O33" s="2027"/>
      <c r="P33" s="2027">
        <f t="shared" si="65"/>
        <v>4.5000000000000005E-3</v>
      </c>
      <c r="Q33" s="2904"/>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4"/>
      <c r="Y33" s="2027"/>
      <c r="Z33" s="2900"/>
      <c r="AA33" s="2901"/>
      <c r="AB33" s="2027"/>
      <c r="AC33" s="2902"/>
      <c r="AD33" s="2027"/>
    </row>
    <row r="34" spans="1:30" s="2044" customFormat="1" ht="13.2">
      <c r="A34" s="2903" t="s">
        <v>3367</v>
      </c>
      <c r="B34" s="2030">
        <v>2023</v>
      </c>
      <c r="C34" s="2041">
        <v>1</v>
      </c>
      <c r="D34" s="2006"/>
      <c r="E34" s="2006">
        <v>0.55000000000000004</v>
      </c>
      <c r="F34" s="2006">
        <v>0.59</v>
      </c>
      <c r="G34" s="2006">
        <v>0.64</v>
      </c>
      <c r="H34" s="2915"/>
      <c r="I34" s="2007">
        <f t="shared" si="52"/>
        <v>0.59</v>
      </c>
      <c r="J34" s="2904"/>
      <c r="K34" s="2042"/>
      <c r="L34" s="2027">
        <f t="shared" si="62"/>
        <v>5.5000000000000005E-3</v>
      </c>
      <c r="M34" s="2027">
        <f t="shared" si="63"/>
        <v>5.8999999999999999E-3</v>
      </c>
      <c r="N34" s="2027">
        <f t="shared" si="64"/>
        <v>6.4000000000000003E-3</v>
      </c>
      <c r="O34" s="2027"/>
      <c r="P34" s="2027">
        <f t="shared" si="65"/>
        <v>5.8999999999999999E-3</v>
      </c>
      <c r="Q34" s="2904"/>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4"/>
      <c r="Y34" s="2027"/>
      <c r="Z34" s="2900"/>
      <c r="AA34" s="2901"/>
      <c r="AB34" s="2027"/>
      <c r="AC34" s="2902"/>
      <c r="AD34" s="2027"/>
    </row>
    <row r="35" spans="1:30" s="2044" customFormat="1" ht="13.2">
      <c r="A35" s="2903" t="s">
        <v>3366</v>
      </c>
      <c r="B35" s="2030">
        <v>2022</v>
      </c>
      <c r="C35" s="2041">
        <v>4</v>
      </c>
      <c r="D35" s="2006"/>
      <c r="E35" s="2006">
        <v>0.45</v>
      </c>
      <c r="F35" s="2006">
        <v>0.2</v>
      </c>
      <c r="G35" s="2006">
        <v>0.38</v>
      </c>
      <c r="H35" s="2915"/>
      <c r="I35" s="2007">
        <f t="shared" si="52"/>
        <v>0.2</v>
      </c>
      <c r="J35" s="2904"/>
      <c r="K35" s="2042"/>
      <c r="L35" s="2027">
        <f t="shared" si="53"/>
        <v>4.5000000000000005E-3</v>
      </c>
      <c r="M35" s="2027">
        <f t="shared" si="53"/>
        <v>2E-3</v>
      </c>
      <c r="N35" s="2027">
        <f t="shared" si="53"/>
        <v>3.8E-3</v>
      </c>
      <c r="O35" s="2027"/>
      <c r="P35" s="2027">
        <f t="shared" ref="P35:P42" si="67">M35</f>
        <v>2E-3</v>
      </c>
      <c r="Q35" s="2904"/>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4"/>
      <c r="Y35" s="2027"/>
      <c r="Z35" s="2900">
        <f t="shared" ref="Z35:AD42" si="69">IF(E35=0,0,ROUND(AVERAGE(E35:E43)/100,4))</f>
        <v>4.0000000000000001E-3</v>
      </c>
      <c r="AA35" s="2901">
        <f t="shared" si="69"/>
        <v>2.5999999999999999E-3</v>
      </c>
      <c r="AB35" s="2027">
        <f t="shared" si="69"/>
        <v>7.4000000000000003E-3</v>
      </c>
      <c r="AC35" s="2902"/>
      <c r="AD35" s="2027">
        <f t="shared" si="69"/>
        <v>2.5999999999999999E-3</v>
      </c>
    </row>
    <row r="36" spans="1:30" s="2044" customFormat="1" ht="13.2">
      <c r="A36" s="2903" t="s">
        <v>3363</v>
      </c>
      <c r="B36" s="2030">
        <v>2022</v>
      </c>
      <c r="C36" s="2041">
        <v>3</v>
      </c>
      <c r="D36" s="2006"/>
      <c r="E36" s="2006">
        <v>0.3</v>
      </c>
      <c r="F36" s="2006">
        <v>0.28999999999999998</v>
      </c>
      <c r="G36" s="2006">
        <v>0.83</v>
      </c>
      <c r="H36" s="2915"/>
      <c r="I36" s="2007">
        <f t="shared" si="52"/>
        <v>0.28999999999999998</v>
      </c>
      <c r="J36" s="2904"/>
      <c r="K36" s="2042"/>
      <c r="L36" s="2027">
        <f t="shared" si="53"/>
        <v>3.0000000000000001E-3</v>
      </c>
      <c r="M36" s="2027">
        <f t="shared" si="53"/>
        <v>2.8999999999999998E-3</v>
      </c>
      <c r="N36" s="2027">
        <f t="shared" si="53"/>
        <v>8.3000000000000001E-3</v>
      </c>
      <c r="O36" s="2027"/>
      <c r="P36" s="2027">
        <f t="shared" si="67"/>
        <v>2.8999999999999998E-3</v>
      </c>
      <c r="Q36" s="2904"/>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4"/>
      <c r="Y36" s="2027"/>
      <c r="Z36" s="2900">
        <f t="shared" si="69"/>
        <v>3.8999999999999998E-3</v>
      </c>
      <c r="AA36" s="2901">
        <f t="shared" si="69"/>
        <v>2.7000000000000001E-3</v>
      </c>
      <c r="AB36" s="2027">
        <f t="shared" si="69"/>
        <v>7.9000000000000008E-3</v>
      </c>
      <c r="AC36" s="2902"/>
      <c r="AD36" s="2027">
        <f t="shared" si="69"/>
        <v>2.7000000000000001E-3</v>
      </c>
    </row>
    <row r="37" spans="1:30" s="2044" customFormat="1" ht="13.2">
      <c r="A37" s="2903" t="s">
        <v>3353</v>
      </c>
      <c r="B37" s="2030">
        <v>2022</v>
      </c>
      <c r="C37" s="2041">
        <v>2</v>
      </c>
      <c r="D37" s="2006"/>
      <c r="E37" s="2006">
        <v>-0.11</v>
      </c>
      <c r="F37" s="2006">
        <v>-0.13</v>
      </c>
      <c r="G37" s="2006">
        <v>0.53</v>
      </c>
      <c r="H37" s="2915"/>
      <c r="I37" s="2007">
        <f t="shared" si="52"/>
        <v>-0.13</v>
      </c>
      <c r="J37" s="2904"/>
      <c r="K37" s="2042"/>
      <c r="L37" s="2027">
        <f t="shared" si="53"/>
        <v>-1.1000000000000001E-3</v>
      </c>
      <c r="M37" s="2027">
        <f t="shared" si="53"/>
        <v>-1.2999999999999999E-3</v>
      </c>
      <c r="N37" s="2027">
        <f t="shared" si="53"/>
        <v>5.3E-3</v>
      </c>
      <c r="O37" s="2027"/>
      <c r="P37" s="2027">
        <f t="shared" si="67"/>
        <v>-1.2999999999999999E-3</v>
      </c>
      <c r="Q37" s="2904"/>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4"/>
      <c r="Y37" s="2027"/>
      <c r="Z37" s="2900">
        <f t="shared" si="69"/>
        <v>4.1000000000000003E-3</v>
      </c>
      <c r="AA37" s="2901">
        <f t="shared" si="69"/>
        <v>2.7000000000000001E-3</v>
      </c>
      <c r="AB37" s="2027">
        <f t="shared" si="69"/>
        <v>7.9000000000000008E-3</v>
      </c>
      <c r="AC37" s="2902"/>
      <c r="AD37" s="2027">
        <f t="shared" si="69"/>
        <v>2.7000000000000001E-3</v>
      </c>
    </row>
    <row r="38" spans="1:30" s="2044" customFormat="1" ht="13.2">
      <c r="A38" s="2903" t="s">
        <v>2835</v>
      </c>
      <c r="B38" s="2030">
        <v>2022</v>
      </c>
      <c r="C38" s="2041">
        <v>1</v>
      </c>
      <c r="D38" s="2006"/>
      <c r="E38" s="2006">
        <v>0.6</v>
      </c>
      <c r="F38" s="2006">
        <v>0.45</v>
      </c>
      <c r="G38" s="2006">
        <v>0.53</v>
      </c>
      <c r="H38" s="2915"/>
      <c r="I38" s="2007">
        <f t="shared" si="52"/>
        <v>0.45</v>
      </c>
      <c r="J38" s="2904"/>
      <c r="K38" s="2042"/>
      <c r="L38" s="2027">
        <f t="shared" si="53"/>
        <v>6.0000000000000001E-3</v>
      </c>
      <c r="M38" s="2027">
        <f t="shared" si="53"/>
        <v>4.5000000000000005E-3</v>
      </c>
      <c r="N38" s="2027">
        <f t="shared" si="53"/>
        <v>5.3E-3</v>
      </c>
      <c r="O38" s="2027"/>
      <c r="P38" s="2027">
        <f t="shared" si="67"/>
        <v>4.5000000000000005E-3</v>
      </c>
      <c r="Q38" s="2904"/>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4"/>
      <c r="Y38" s="2027"/>
      <c r="Z38" s="2900">
        <f t="shared" si="69"/>
        <v>5.1000000000000004E-3</v>
      </c>
      <c r="AA38" s="2901">
        <f t="shared" si="69"/>
        <v>3.5000000000000001E-3</v>
      </c>
      <c r="AB38" s="2027">
        <f t="shared" si="69"/>
        <v>8.3999999999999995E-3</v>
      </c>
      <c r="AC38" s="2902"/>
      <c r="AD38" s="2027">
        <f t="shared" si="69"/>
        <v>3.5000000000000001E-3</v>
      </c>
    </row>
    <row r="39" spans="1:30" s="2044" customFormat="1" ht="13.2">
      <c r="A39" s="2903" t="s">
        <v>2836</v>
      </c>
      <c r="B39" s="2030">
        <v>2021</v>
      </c>
      <c r="C39" s="2041">
        <v>4</v>
      </c>
      <c r="D39" s="2006"/>
      <c r="E39" s="2006">
        <v>0.57999999999999996</v>
      </c>
      <c r="F39" s="2006">
        <v>0.08</v>
      </c>
      <c r="G39" s="2006">
        <v>0.68</v>
      </c>
      <c r="H39" s="2915"/>
      <c r="I39" s="2007">
        <f t="shared" si="52"/>
        <v>0.08</v>
      </c>
      <c r="J39" s="2904"/>
      <c r="K39" s="2042"/>
      <c r="L39" s="2027">
        <f t="shared" si="53"/>
        <v>5.7999999999999996E-3</v>
      </c>
      <c r="M39" s="2027">
        <f t="shared" si="53"/>
        <v>8.0000000000000004E-4</v>
      </c>
      <c r="N39" s="2027">
        <f t="shared" si="53"/>
        <v>6.8000000000000005E-3</v>
      </c>
      <c r="O39" s="2027"/>
      <c r="P39" s="2027">
        <f t="shared" si="67"/>
        <v>8.0000000000000004E-4</v>
      </c>
      <c r="Q39" s="2904"/>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4"/>
      <c r="Y39" s="2027"/>
      <c r="Z39" s="2900">
        <f t="shared" si="69"/>
        <v>4.8999999999999998E-3</v>
      </c>
      <c r="AA39" s="2901">
        <f t="shared" si="69"/>
        <v>3.3E-3</v>
      </c>
      <c r="AB39" s="2027">
        <f t="shared" si="69"/>
        <v>9.1999999999999998E-3</v>
      </c>
      <c r="AC39" s="2902"/>
      <c r="AD39" s="2027">
        <f t="shared" si="69"/>
        <v>3.3E-3</v>
      </c>
    </row>
    <row r="40" spans="1:30" s="2044" customFormat="1" ht="13.2">
      <c r="A40" s="2903" t="s">
        <v>2837</v>
      </c>
      <c r="B40" s="2030">
        <v>2021</v>
      </c>
      <c r="C40" s="2041">
        <v>3</v>
      </c>
      <c r="D40" s="2006"/>
      <c r="E40" s="2006">
        <v>0.47</v>
      </c>
      <c r="F40" s="2006">
        <v>0.28000000000000003</v>
      </c>
      <c r="G40" s="2006">
        <v>0.91</v>
      </c>
      <c r="H40" s="2915"/>
      <c r="I40" s="2007">
        <f t="shared" si="52"/>
        <v>0.28000000000000003</v>
      </c>
      <c r="J40" s="2904"/>
      <c r="K40" s="2042"/>
      <c r="L40" s="2027">
        <f t="shared" si="53"/>
        <v>4.6999999999999993E-3</v>
      </c>
      <c r="M40" s="2027">
        <f t="shared" si="53"/>
        <v>2.8000000000000004E-3</v>
      </c>
      <c r="N40" s="2027">
        <f t="shared" si="53"/>
        <v>9.1000000000000004E-3</v>
      </c>
      <c r="O40" s="2027"/>
      <c r="P40" s="2027">
        <f t="shared" si="67"/>
        <v>2.8000000000000004E-3</v>
      </c>
      <c r="Q40" s="2904"/>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4"/>
      <c r="Y40" s="2027"/>
      <c r="Z40" s="2900">
        <f t="shared" si="69"/>
        <v>4.5999999999999999E-3</v>
      </c>
      <c r="AA40" s="2901">
        <f t="shared" si="69"/>
        <v>4.1000000000000003E-3</v>
      </c>
      <c r="AB40" s="2027">
        <f t="shared" si="69"/>
        <v>0.01</v>
      </c>
      <c r="AC40" s="2902"/>
      <c r="AD40" s="2027">
        <f t="shared" si="69"/>
        <v>4.1000000000000003E-3</v>
      </c>
    </row>
    <row r="41" spans="1:30" s="2044" customFormat="1" ht="13.2">
      <c r="A41" s="2903" t="s">
        <v>2838</v>
      </c>
      <c r="B41" s="2030">
        <v>2021</v>
      </c>
      <c r="C41" s="2041">
        <v>2</v>
      </c>
      <c r="D41" s="2006"/>
      <c r="E41" s="2006">
        <v>0.55000000000000004</v>
      </c>
      <c r="F41" s="2006">
        <v>0.46</v>
      </c>
      <c r="G41" s="2006">
        <v>1.1000000000000001</v>
      </c>
      <c r="H41" s="2915"/>
      <c r="I41" s="2007">
        <f t="shared" si="52"/>
        <v>0.46</v>
      </c>
      <c r="J41" s="2904"/>
      <c r="K41" s="2042"/>
      <c r="L41" s="2027">
        <f t="shared" si="53"/>
        <v>5.5000000000000005E-3</v>
      </c>
      <c r="M41" s="2027">
        <f t="shared" si="53"/>
        <v>4.5999999999999999E-3</v>
      </c>
      <c r="N41" s="2027">
        <f t="shared" si="53"/>
        <v>1.1000000000000001E-2</v>
      </c>
      <c r="O41" s="2027"/>
      <c r="P41" s="2027">
        <f t="shared" si="67"/>
        <v>4.5999999999999999E-3</v>
      </c>
      <c r="Q41" s="2904"/>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4"/>
      <c r="Y41" s="2027"/>
      <c r="Z41" s="2900">
        <f t="shared" si="69"/>
        <v>4.4999999999999997E-3</v>
      </c>
      <c r="AA41" s="2901">
        <f t="shared" si="69"/>
        <v>4.7000000000000002E-3</v>
      </c>
      <c r="AB41" s="2027">
        <f t="shared" si="69"/>
        <v>1.04E-2</v>
      </c>
      <c r="AC41" s="2902"/>
      <c r="AD41" s="2027">
        <f t="shared" si="69"/>
        <v>4.7000000000000002E-3</v>
      </c>
    </row>
    <row r="42" spans="1:30" s="2926" customFormat="1" ht="13.8" thickBot="1">
      <c r="A42" s="2916" t="s">
        <v>2824</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5" thickTop="1"/>
    <row r="44" spans="1:30">
      <c r="A44" s="3141"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6"/>
  <sheetViews>
    <sheetView workbookViewId="0">
      <selection activeCell="C13" sqref="C13: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45562</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5.6">
      <c r="B25" s="1199" t="s">
        <v>2309</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3" t="s">
        <v>949</v>
      </c>
      <c r="B1" s="3213"/>
      <c r="C1" s="3213"/>
      <c r="D1" s="3213"/>
    </row>
    <row r="2" spans="1:4" ht="17.399999999999999">
      <c r="A2" s="3214" t="s">
        <v>933</v>
      </c>
      <c r="B2" s="3214"/>
      <c r="C2" s="3214"/>
      <c r="D2" s="3214"/>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4" t="s">
        <v>939</v>
      </c>
      <c r="B6" s="3214"/>
      <c r="C6" s="3214"/>
      <c r="D6" s="321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5"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07" t="str">
        <f>IF(项目基本情况!B8="抵押","3.抵押双方在办理抵押登记手续时，应使用本公司出具的正式《房地产评估报告》，特提醒报告使用者注意。","——")</f>
        <v>——</v>
      </c>
      <c r="B13" s="3212"/>
      <c r="C13" s="3212"/>
      <c r="D13" s="3212"/>
    </row>
    <row r="14" spans="1:4" ht="15.75" customHeight="1">
      <c r="A14" s="3207" t="str">
        <f>IF(项目基本情况!B8="抵押","4.本次评估估价师所知悉的法定优先受偿款情况说明如下：","——")</f>
        <v>——</v>
      </c>
      <c r="B14" s="3212"/>
      <c r="C14" s="3212"/>
      <c r="D14" s="3212"/>
    </row>
    <row r="15" spans="1:4" ht="42" customHeight="1">
      <c r="A15" s="3207" t="str">
        <f>IF(项目基本情况!B8="抵押","（1）"&amp;CONCATENATE(项目基本情况!L20,项目基本情况!L21,项目基本情况!L22),"——")</f>
        <v>——</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IF(项目基本情况!B8="抵押",结果表1号!K120,"——")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1号!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1号!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21" t="s">
        <v>956</v>
      </c>
      <c r="B15" s="3216" t="s">
        <v>109</v>
      </c>
      <c r="C15" s="3217"/>
    </row>
    <row r="16" spans="1:7" ht="14.4">
      <c r="A16" s="3222"/>
      <c r="B16" s="3216" t="s">
        <v>42</v>
      </c>
      <c r="C16" s="3217"/>
    </row>
    <row r="17" spans="1:3" ht="14.4">
      <c r="A17" s="3222"/>
      <c r="B17" s="3219" t="s">
        <v>957</v>
      </c>
      <c r="C17" s="1428" t="s">
        <v>956</v>
      </c>
    </row>
    <row r="18" spans="1:3" ht="14.4">
      <c r="A18" s="3222"/>
      <c r="B18" s="3219"/>
      <c r="C18" s="1428" t="s">
        <v>958</v>
      </c>
    </row>
    <row r="19" spans="1:3" ht="14.4">
      <c r="A19" s="3222"/>
      <c r="B19" s="3219"/>
      <c r="C19" s="1428" t="s">
        <v>959</v>
      </c>
    </row>
    <row r="20" spans="1:3" ht="14.4">
      <c r="A20" s="3223"/>
      <c r="B20" s="3218" t="s">
        <v>960</v>
      </c>
      <c r="C20" s="3217"/>
    </row>
    <row r="21" spans="1:3" ht="14.4">
      <c r="A21" s="1429" t="s">
        <v>961</v>
      </c>
      <c r="B21" s="1430"/>
      <c r="C21" s="1431"/>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8" t="s">
        <v>967</v>
      </c>
    </row>
    <row r="26" spans="1:3" ht="14.4">
      <c r="A26" s="3220"/>
      <c r="B26" s="3219"/>
      <c r="C26" s="1428" t="s">
        <v>968</v>
      </c>
    </row>
    <row r="27" spans="1:3" ht="14.4">
      <c r="A27" s="3220"/>
      <c r="B27" s="3219"/>
      <c r="C27" s="1428" t="s">
        <v>969</v>
      </c>
    </row>
    <row r="28" spans="1:3" ht="14.4">
      <c r="A28" s="3220"/>
      <c r="B28" s="3219"/>
      <c r="C28" s="1428" t="s">
        <v>970</v>
      </c>
    </row>
    <row r="29" spans="1:3" ht="14.4">
      <c r="A29" s="3220"/>
      <c r="B29" s="3219"/>
      <c r="C29" s="1428" t="s">
        <v>971</v>
      </c>
    </row>
    <row r="30" spans="1:3" ht="14.4">
      <c r="A30" s="3220"/>
      <c r="B30" s="3219"/>
      <c r="C30" s="1428" t="s">
        <v>972</v>
      </c>
    </row>
    <row r="31" spans="1:3" ht="14.4">
      <c r="A31" s="3220"/>
      <c r="B31" s="3219"/>
      <c r="C31" s="1428" t="s">
        <v>973</v>
      </c>
    </row>
    <row r="32" spans="1:3" ht="14.4">
      <c r="A32" s="3220"/>
      <c r="B32" s="3219"/>
      <c r="C32" s="1428" t="s">
        <v>974</v>
      </c>
    </row>
    <row r="33" spans="1:3" ht="14.4">
      <c r="A33" s="3220"/>
      <c r="B33" s="3219"/>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45574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9"/>
      <c r="E18" s="3226" t="s">
        <v>2162</v>
      </c>
      <c r="F18" s="3225"/>
      <c r="G18" s="322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中指文成商务中心</vt:lpstr>
      <vt:lpstr>项目基本情况</vt:lpstr>
      <vt:lpstr>数据-基础表</vt:lpstr>
      <vt:lpstr>数据-汇总表</vt:lpstr>
      <vt:lpstr>数据-取费表</vt:lpstr>
      <vt:lpstr>估价对象房地状况</vt:lpstr>
      <vt:lpstr>系统读取表</vt:lpstr>
      <vt:lpstr>成本法</vt:lpstr>
      <vt:lpstr>假设开发法</vt:lpstr>
      <vt:lpstr>收益法</vt:lpstr>
      <vt:lpstr>中指辉煌云上</vt:lpstr>
      <vt:lpstr>信息</vt:lpstr>
      <vt:lpstr>案例</vt:lpstr>
      <vt:lpstr>结果表1号</vt:lpstr>
      <vt:lpstr>比较法-商业1号</vt:lpstr>
      <vt:lpstr>收益法 (元)1号</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结果表2号</vt:lpstr>
      <vt:lpstr>比较法-商业2号</vt:lpstr>
      <vt:lpstr>收益法 (元)2号</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'比较法-商业1号'!Print_Area</vt:lpstr>
      <vt:lpstr>'比较法-商业2号'!Print_Area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结果表1号!Print_Area</vt:lpstr>
      <vt:lpstr>结果表2号!Print_Area</vt:lpstr>
      <vt:lpstr>收益法!Print_Area</vt:lpstr>
      <vt:lpstr>'收益法 (元)1号'!Print_Area</vt:lpstr>
      <vt:lpstr>'收益法 (元)2号'!Print_Area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'比较法-商业2号'!商业层高</vt:lpstr>
      <vt:lpstr>商业层高</vt:lpstr>
      <vt:lpstr>'比较法-商业2号'!商业成新度</vt:lpstr>
      <vt:lpstr>商业成新度</vt:lpstr>
      <vt:lpstr>商业繁华度</vt:lpstr>
      <vt:lpstr>'比较法-商业2号'!商业公共部分装修</vt:lpstr>
      <vt:lpstr>商业公共部分装修</vt:lpstr>
      <vt:lpstr>'比较法-商业2号'!商业基础设施水平</vt:lpstr>
      <vt:lpstr>商业基础设施水平</vt:lpstr>
      <vt:lpstr>'比较法-商业2号'!商业建筑结构</vt:lpstr>
      <vt:lpstr>商业建筑结构</vt:lpstr>
      <vt:lpstr>'比较法-商业2号'!商业交易情况</vt:lpstr>
      <vt:lpstr>商业交易情况</vt:lpstr>
      <vt:lpstr>商业街名称</vt:lpstr>
      <vt:lpstr>'比较法-商业2号'!商业进深比</vt:lpstr>
      <vt:lpstr>商业进深比</vt:lpstr>
      <vt:lpstr>'比较法-商业2号'!商业类型</vt:lpstr>
      <vt:lpstr>商业类型</vt:lpstr>
      <vt:lpstr>'比较法-商业2号'!商业临街状况</vt:lpstr>
      <vt:lpstr>商业临街状况</vt:lpstr>
      <vt:lpstr>'比较法-商业2号'!商业楼层</vt:lpstr>
      <vt:lpstr>商业楼层</vt:lpstr>
      <vt:lpstr>'比较法-商业2号'!商业内部装修</vt:lpstr>
      <vt:lpstr>商业内部装修</vt:lpstr>
      <vt:lpstr>'比较法-商业2号'!商业人流量</vt:lpstr>
      <vt:lpstr>商业人流量</vt:lpstr>
      <vt:lpstr>'比较法-商业2号'!商业业态</vt:lpstr>
      <vt:lpstr>商业业态</vt:lpstr>
      <vt:lpstr>'比较法-商业2号'!商业用途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2024-10-09T05:40:35Z</dcterms:modified>
</cp:coreProperties>
</file>