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331-红军营暖山生活\P01\最终\"/>
    </mc:Choice>
  </mc:AlternateContent>
  <xr:revisionPtr revIDLastSave="0" documentId="13_ncr:1_{E6A46053-159C-45DB-B5DC-35B099730960}" xr6:coauthVersionLast="47" xr6:coauthVersionMax="47" xr10:uidLastSave="{00000000-0000-0000-0000-000000000000}"/>
  <bookViews>
    <workbookView xWindow="3324" yWindow="720" windowWidth="12972" windowHeight="12204"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商业" sheetId="89" r:id="rId21"/>
    <sheet name="收益法" sheetId="15" r:id="rId22"/>
    <sheet name="成本法 (元)" sheetId="69" state="hidden" r:id="rId23"/>
    <sheet name="收益法 (元)" sheetId="67" state="hidden" r:id="rId24"/>
    <sheet name="结果表地下商" sheetId="87" r:id="rId25"/>
    <sheet name="基准地价修正" sheetId="43" r:id="rId26"/>
    <sheet name="成本法" sheetId="68" r:id="rId27"/>
    <sheet name="假设开发法" sheetId="12" state="hidden" r:id="rId28"/>
    <sheet name="收益法商" sheetId="86" r:id="rId29"/>
    <sheet name="结果表车" sheetId="88" r:id="rId30"/>
    <sheet name="成本法车" sheetId="85" r:id="rId31"/>
    <sheet name="收益法车" sheetId="84"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基准地价修正办" sheetId="80" state="hidden" r:id="rId53"/>
    <sheet name="成本法办" sheetId="81"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19" hidden="1">'比较法-商业'!$A$1:$L$49</definedName>
    <definedName name="_xlnm._FilterDatabase" localSheetId="34" hidden="1">'比较法-住宅'!$A$1:$L$49</definedName>
    <definedName name="_xlnm._FilterDatabase" localSheetId="20" hidden="1">商业!$A$1:$W$60</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19">'比较法-商业'!$A$1:$K$54,'比较法-商业'!$A$57:$M$131</definedName>
    <definedName name="_xlnm.Print_Area" localSheetId="34">'比较法-住宅'!$A$1:$K$54,'比较法-住宅'!$A$57:$M$131</definedName>
    <definedName name="_xlnm.Print_Area" localSheetId="26">成本法!$A$1:$G$57</definedName>
    <definedName name="_xlnm.Print_Area" localSheetId="22">'成本法 (元)'!$A$1:$G$57</definedName>
    <definedName name="_xlnm.Print_Area" localSheetId="53">成本法办!$A$1:$G$57</definedName>
    <definedName name="_xlnm.Print_Area" localSheetId="30">成本法车!$A$1:$G$57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52">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29">结果表车!$A$1:$I$127</definedName>
    <definedName name="_xlnm.Print_Area" localSheetId="24">结果表地下商!$A$1:$I$127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33">'收益法（汇总）'!$A$1:$F$13</definedName>
    <definedName name="_xlnm.Print_Area" localSheetId="31">收益法车!$A$1:$F$43,收益法车!$H$3:$M$29,收益法车!$A$46:$F$71,收益法车!$I$46:$N$65</definedName>
    <definedName name="_xlnm.Print_Area" localSheetId="28">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7" i="33" l="1"/>
  <c r="E127" i="33"/>
  <c r="F127" i="33" s="1"/>
  <c r="I28" i="74"/>
  <c r="G28" i="74"/>
  <c r="C28" i="74"/>
  <c r="B28" i="74"/>
  <c r="C75" i="9"/>
  <c r="E64" i="33"/>
  <c r="D64" i="33"/>
  <c r="G5" i="33" l="1"/>
  <c r="I33" i="33"/>
  <c r="G33" i="33"/>
  <c r="E33" i="33"/>
  <c r="C33" i="33"/>
  <c r="F11" i="83" l="1"/>
  <c r="C16" i="74"/>
  <c r="C15" i="74"/>
  <c r="C14" i="74"/>
  <c r="B14" i="74"/>
  <c r="G47" i="33"/>
  <c r="E47" i="33"/>
  <c r="I36" i="33"/>
  <c r="G36" i="33"/>
  <c r="E36" i="33"/>
  <c r="O20" i="1"/>
  <c r="E7" i="33"/>
  <c r="G7" i="33"/>
  <c r="E5" i="33"/>
  <c r="I5" i="33"/>
  <c r="I7" i="33"/>
  <c r="D14" i="83"/>
  <c r="C14" i="83"/>
  <c r="A126" i="88"/>
  <c r="A120" i="88"/>
  <c r="A118" i="88"/>
  <c r="E111" i="88"/>
  <c r="E109" i="88"/>
  <c r="H109" i="88" s="1"/>
  <c r="E107" i="88"/>
  <c r="A122" i="88" s="1"/>
  <c r="H106" i="88"/>
  <c r="H103" i="88" s="1"/>
  <c r="D120" i="88" s="1"/>
  <c r="H105" i="88"/>
  <c r="H104" i="88"/>
  <c r="D101" i="88"/>
  <c r="C101" i="88"/>
  <c r="D93" i="88"/>
  <c r="E90" i="88"/>
  <c r="D89" i="88"/>
  <c r="K84" i="88"/>
  <c r="I91" i="88" s="1"/>
  <c r="C91" i="88" s="1"/>
  <c r="D78" i="88"/>
  <c r="H77" i="88"/>
  <c r="D77" i="88"/>
  <c r="C76" i="88"/>
  <c r="D68" i="88"/>
  <c r="F59" i="88"/>
  <c r="O55" i="88" s="1"/>
  <c r="E59" i="88"/>
  <c r="N55" i="88" s="1"/>
  <c r="D59" i="88"/>
  <c r="N56" i="88"/>
  <c r="M56" i="88"/>
  <c r="K56" i="88"/>
  <c r="J56" i="88"/>
  <c r="F56" i="88"/>
  <c r="O54" i="88" s="1"/>
  <c r="M55" i="88"/>
  <c r="K55" i="88"/>
  <c r="J55" i="88"/>
  <c r="J57" i="88" s="1"/>
  <c r="J59" i="88" s="1"/>
  <c r="J61" i="88" s="1"/>
  <c r="I55" i="88"/>
  <c r="F55" i="88"/>
  <c r="O53" i="88" s="1"/>
  <c r="N54" i="88"/>
  <c r="F54" i="88"/>
  <c r="N53" i="88"/>
  <c r="F53" i="88"/>
  <c r="F52" i="88"/>
  <c r="K49" i="88"/>
  <c r="F48" i="88"/>
  <c r="O52" i="88" s="1"/>
  <c r="E48" i="88"/>
  <c r="N52" i="88" s="1"/>
  <c r="F33" i="88"/>
  <c r="D27" i="88"/>
  <c r="C25" i="88"/>
  <c r="C24" i="88"/>
  <c r="M19" i="88"/>
  <c r="C118" i="88" s="1"/>
  <c r="L19" i="88"/>
  <c r="M18" i="88"/>
  <c r="B118" i="88" s="1"/>
  <c r="B16" i="74" s="1"/>
  <c r="L18" i="88"/>
  <c r="D17" i="88"/>
  <c r="C17" i="88"/>
  <c r="L4" i="88"/>
  <c r="K4" i="88"/>
  <c r="A2" i="88"/>
  <c r="H1" i="88"/>
  <c r="A126" i="87"/>
  <c r="A120" i="87"/>
  <c r="A118" i="87"/>
  <c r="E111" i="87"/>
  <c r="E109" i="87"/>
  <c r="A124" i="87" s="1"/>
  <c r="E107" i="87"/>
  <c r="A122" i="87" s="1"/>
  <c r="H106" i="87"/>
  <c r="H103" i="87" s="1"/>
  <c r="D120" i="87" s="1"/>
  <c r="H105" i="87"/>
  <c r="H104" i="87"/>
  <c r="D101" i="87"/>
  <c r="C101" i="87"/>
  <c r="D93" i="87"/>
  <c r="E90" i="87"/>
  <c r="D89" i="87"/>
  <c r="K84" i="87"/>
  <c r="I91" i="87" s="1"/>
  <c r="C91" i="87" s="1"/>
  <c r="D78" i="87"/>
  <c r="H77" i="87"/>
  <c r="D77" i="87"/>
  <c r="C76" i="87"/>
  <c r="D68" i="87"/>
  <c r="F59" i="87"/>
  <c r="O55" i="87" s="1"/>
  <c r="E59" i="87"/>
  <c r="N55" i="87" s="1"/>
  <c r="D59" i="87"/>
  <c r="N56" i="87"/>
  <c r="M56" i="87"/>
  <c r="K56" i="87"/>
  <c r="J56" i="87"/>
  <c r="F56" i="87"/>
  <c r="O54" i="87" s="1"/>
  <c r="M55" i="87"/>
  <c r="K55" i="87"/>
  <c r="J55" i="87"/>
  <c r="J57" i="87" s="1"/>
  <c r="J59" i="87" s="1"/>
  <c r="J61" i="87" s="1"/>
  <c r="I55" i="87"/>
  <c r="F55" i="87"/>
  <c r="O53" i="87" s="1"/>
  <c r="N54" i="87"/>
  <c r="F54" i="87"/>
  <c r="N53" i="87"/>
  <c r="F53" i="87"/>
  <c r="F52" i="87"/>
  <c r="K49" i="87"/>
  <c r="F48" i="87"/>
  <c r="O52" i="87" s="1"/>
  <c r="E48" i="87"/>
  <c r="N52" i="87" s="1"/>
  <c r="F33" i="87"/>
  <c r="D27" i="87"/>
  <c r="C25" i="87"/>
  <c r="C24" i="87"/>
  <c r="M19" i="87"/>
  <c r="C118" i="87" s="1"/>
  <c r="L19" i="87"/>
  <c r="M18" i="87"/>
  <c r="B118" i="87" s="1"/>
  <c r="B15" i="74" s="1"/>
  <c r="L18" i="87"/>
  <c r="D17" i="87"/>
  <c r="C17" i="87"/>
  <c r="L4" i="87"/>
  <c r="K4" i="87"/>
  <c r="A2" i="87"/>
  <c r="H1" i="87"/>
  <c r="Q72" i="86"/>
  <c r="Q59" i="86"/>
  <c r="K59" i="86"/>
  <c r="P74" i="86" s="1"/>
  <c r="F59" i="86"/>
  <c r="Q58" i="86"/>
  <c r="Q51" i="86"/>
  <c r="J50" i="86"/>
  <c r="J49" i="86"/>
  <c r="M47" i="86"/>
  <c r="D46" i="86"/>
  <c r="F33" i="86"/>
  <c r="F61" i="86" s="1"/>
  <c r="F32" i="86"/>
  <c r="F60" i="86" s="1"/>
  <c r="F31" i="86"/>
  <c r="F28" i="86"/>
  <c r="F23" i="86"/>
  <c r="D24" i="86" s="1"/>
  <c r="D23" i="86"/>
  <c r="D22" i="86"/>
  <c r="F21" i="86"/>
  <c r="F20" i="86"/>
  <c r="M19" i="86"/>
  <c r="M18" i="86"/>
  <c r="F18" i="86"/>
  <c r="M17" i="86"/>
  <c r="F17" i="86"/>
  <c r="F15" i="86"/>
  <c r="G1" i="86"/>
  <c r="AM7" i="1"/>
  <c r="AL7" i="1"/>
  <c r="AK7" i="1"/>
  <c r="W7" i="1"/>
  <c r="V7" i="1"/>
  <c r="E10" i="83"/>
  <c r="E11" i="83"/>
  <c r="E12" i="83"/>
  <c r="E13" i="83"/>
  <c r="E9" i="83"/>
  <c r="I31" i="83"/>
  <c r="I32" i="83"/>
  <c r="I33" i="83"/>
  <c r="I30" i="83"/>
  <c r="G31" i="83"/>
  <c r="G32" i="83"/>
  <c r="G33" i="83"/>
  <c r="G30" i="83"/>
  <c r="E22" i="83"/>
  <c r="E23" i="83"/>
  <c r="E24" i="83"/>
  <c r="E25" i="83"/>
  <c r="E26" i="83"/>
  <c r="E27" i="83"/>
  <c r="E28" i="83"/>
  <c r="E21" i="83"/>
  <c r="G41" i="85"/>
  <c r="F38" i="85"/>
  <c r="E37" i="85"/>
  <c r="F36" i="85"/>
  <c r="F35" i="85"/>
  <c r="F34" i="85"/>
  <c r="F30" i="85"/>
  <c r="F48" i="85" s="1"/>
  <c r="G22" i="85"/>
  <c r="F21" i="85"/>
  <c r="F40" i="85" s="1"/>
  <c r="F20" i="85"/>
  <c r="F39" i="85" s="1"/>
  <c r="E19" i="85"/>
  <c r="C19" i="85"/>
  <c r="E10" i="85"/>
  <c r="E9" i="85"/>
  <c r="F7" i="85"/>
  <c r="G1" i="85"/>
  <c r="Q72" i="84"/>
  <c r="Q59" i="84"/>
  <c r="K59" i="84"/>
  <c r="P74" i="84" s="1"/>
  <c r="F59" i="84"/>
  <c r="Q58" i="84"/>
  <c r="Q51" i="84"/>
  <c r="J50" i="84"/>
  <c r="J49" i="84"/>
  <c r="M47" i="84"/>
  <c r="D46" i="84"/>
  <c r="F33" i="84"/>
  <c r="F61" i="84" s="1"/>
  <c r="F32" i="84"/>
  <c r="F60" i="84" s="1"/>
  <c r="F31" i="84"/>
  <c r="F28" i="84"/>
  <c r="F23" i="84"/>
  <c r="D24" i="84" s="1"/>
  <c r="D23" i="84"/>
  <c r="D22" i="84"/>
  <c r="F21" i="84"/>
  <c r="F20" i="84"/>
  <c r="M19" i="84"/>
  <c r="M18" i="84"/>
  <c r="F18" i="84"/>
  <c r="M17" i="84"/>
  <c r="F17" i="84"/>
  <c r="F15" i="84"/>
  <c r="G1" i="84"/>
  <c r="E36" i="83"/>
  <c r="C36" i="83"/>
  <c r="D37" i="83" s="1"/>
  <c r="E37" i="83" s="1"/>
  <c r="J13" i="83" s="1"/>
  <c r="M13" i="3"/>
  <c r="G21" i="6" s="1"/>
  <c r="K13" i="3"/>
  <c r="G20" i="6" s="1"/>
  <c r="C76" i="86"/>
  <c r="F40" i="84"/>
  <c r="C76" i="84"/>
  <c r="M9" i="86"/>
  <c r="L47" i="86"/>
  <c r="D9" i="85"/>
  <c r="F40" i="86"/>
  <c r="E2" i="85"/>
  <c r="F8" i="84"/>
  <c r="F6" i="86"/>
  <c r="M24" i="86"/>
  <c r="L47" i="84"/>
  <c r="M24" i="84"/>
  <c r="J15" i="86"/>
  <c r="F8" i="86"/>
  <c r="C18" i="88" l="1"/>
  <c r="D18" i="88" s="1"/>
  <c r="J12" i="83"/>
  <c r="D124" i="88"/>
  <c r="D125" i="88" s="1"/>
  <c r="H110" i="88"/>
  <c r="K120" i="88"/>
  <c r="D121" i="88"/>
  <c r="A124" i="88"/>
  <c r="C88" i="88"/>
  <c r="C18" i="87"/>
  <c r="D18" i="87" s="1"/>
  <c r="D121" i="87"/>
  <c r="K120" i="87"/>
  <c r="C88" i="87"/>
  <c r="H109" i="87"/>
  <c r="Q71" i="86"/>
  <c r="F68" i="86"/>
  <c r="F51" i="86"/>
  <c r="P61" i="86"/>
  <c r="C9" i="85"/>
  <c r="C21" i="85"/>
  <c r="C40" i="85"/>
  <c r="Q71" i="84"/>
  <c r="F51" i="84"/>
  <c r="F68" i="84"/>
  <c r="P61" i="84"/>
  <c r="M6" i="86"/>
  <c r="F9" i="84"/>
  <c r="F42" i="86"/>
  <c r="F38" i="86"/>
  <c r="F27" i="85"/>
  <c r="M6" i="84"/>
  <c r="M27" i="84"/>
  <c r="F37" i="86"/>
  <c r="F6" i="84"/>
  <c r="M9" i="84"/>
  <c r="M28" i="86"/>
  <c r="F26" i="84"/>
  <c r="M26" i="84"/>
  <c r="M8" i="86"/>
  <c r="F37" i="84"/>
  <c r="M22" i="84"/>
  <c r="F16" i="84"/>
  <c r="M8" i="84"/>
  <c r="C36" i="85"/>
  <c r="F16" i="86"/>
  <c r="M26" i="86"/>
  <c r="F26" i="86"/>
  <c r="M23" i="86"/>
  <c r="M23" i="84"/>
  <c r="F38" i="84"/>
  <c r="F36" i="84"/>
  <c r="M27" i="86"/>
  <c r="F36" i="86"/>
  <c r="M22" i="86"/>
  <c r="J15" i="84"/>
  <c r="F42" i="84"/>
  <c r="F9" i="86"/>
  <c r="M28" i="84"/>
  <c r="C89" i="88" l="1"/>
  <c r="C87" i="88" s="1"/>
  <c r="D124" i="87"/>
  <c r="D125" i="87" s="1"/>
  <c r="H110" i="87"/>
  <c r="C89" i="87"/>
  <c r="C87" i="87" s="1"/>
  <c r="F65" i="86"/>
  <c r="F64" i="86"/>
  <c r="F66" i="86"/>
  <c r="C27" i="86"/>
  <c r="F45" i="85"/>
  <c r="C29" i="85"/>
  <c r="D27" i="85" s="1"/>
  <c r="C47" i="85"/>
  <c r="D45" i="85" s="1"/>
  <c r="F66" i="84"/>
  <c r="F64" i="84"/>
  <c r="C27" i="84"/>
  <c r="F65" i="84"/>
  <c r="C94" i="88" l="1"/>
  <c r="C92" i="88"/>
  <c r="C92" i="87"/>
  <c r="C94" i="87"/>
  <c r="U8" i="43" l="1"/>
  <c r="U7" i="43"/>
  <c r="U3" i="43"/>
  <c r="U4" i="43" s="1"/>
  <c r="U5" i="43" s="1"/>
  <c r="U6" i="43" s="1"/>
  <c r="U2" i="43"/>
  <c r="D42" i="43"/>
  <c r="D38" i="43"/>
  <c r="D37" i="43"/>
  <c r="N6" i="1"/>
  <c r="I13" i="3"/>
  <c r="F19" i="6" s="1"/>
  <c r="C15" i="83"/>
  <c r="E14" i="83"/>
  <c r="N8" i="1" l="1"/>
  <c r="C36" i="33"/>
  <c r="N7" i="1"/>
  <c r="J5" i="83"/>
  <c r="D15" i="83" l="1"/>
  <c r="B15" i="83" s="1"/>
  <c r="J49" i="15"/>
  <c r="K84" i="9"/>
  <c r="H13" i="3"/>
  <c r="G13" i="3" s="1"/>
  <c r="H14" i="3"/>
  <c r="G14" i="3" s="1"/>
  <c r="H15" i="3"/>
  <c r="G15" i="3" s="1"/>
  <c r="BB13" i="3"/>
  <c r="BB5" i="3" s="1"/>
  <c r="BC13" i="3"/>
  <c r="BD13" i="3"/>
  <c r="BE13" i="3"/>
  <c r="BF13" i="3"/>
  <c r="BG13" i="3"/>
  <c r="BH13" i="3"/>
  <c r="BI13" i="3"/>
  <c r="BJ13" i="3"/>
  <c r="BK13" i="3"/>
  <c r="BM13" i="3"/>
  <c r="BN13" i="3"/>
  <c r="BO13" i="3"/>
  <c r="BP13" i="3"/>
  <c r="BQ13" i="3"/>
  <c r="BR13" i="3"/>
  <c r="BS13" i="3"/>
  <c r="BT13" i="3"/>
  <c r="BL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Q5" i="3"/>
  <c r="BS5" i="3"/>
  <c r="F28" i="6"/>
  <c r="BR5" i="3"/>
  <c r="BT5" i="3"/>
  <c r="G28" i="6"/>
  <c r="E28" i="6"/>
  <c r="E20" i="6"/>
  <c r="L19" i="6"/>
  <c r="F38" i="81"/>
  <c r="E37" i="81"/>
  <c r="F36" i="81"/>
  <c r="F35" i="81"/>
  <c r="F30" i="81"/>
  <c r="F48" i="81"/>
  <c r="F21" i="81"/>
  <c r="F20" i="81"/>
  <c r="F39" i="81"/>
  <c r="E1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B100" i="80"/>
  <c r="M99" i="80"/>
  <c r="N99" i="80"/>
  <c r="K99" i="80"/>
  <c r="J99" i="80"/>
  <c r="D99" i="80"/>
  <c r="B99" i="80"/>
  <c r="N98" i="80"/>
  <c r="M98" i="80"/>
  <c r="K98" i="80"/>
  <c r="J98" i="80"/>
  <c r="D98" i="80"/>
  <c r="M97" i="80"/>
  <c r="N97" i="80"/>
  <c r="K97" i="80"/>
  <c r="J97" i="80"/>
  <c r="D97" i="80"/>
  <c r="N96" i="80"/>
  <c r="M96" i="80"/>
  <c r="K96" i="80"/>
  <c r="J96" i="80"/>
  <c r="D96" i="80"/>
  <c r="N95" i="80"/>
  <c r="M95" i="80"/>
  <c r="K95" i="80"/>
  <c r="J95" i="80"/>
  <c r="D95" i="80"/>
  <c r="B95" i="80"/>
  <c r="M94" i="80"/>
  <c r="N94" i="80"/>
  <c r="K94" i="80"/>
  <c r="J94" i="80"/>
  <c r="D94" i="80"/>
  <c r="E93" i="80"/>
  <c r="B91" i="80"/>
  <c r="M93" i="80"/>
  <c r="N93" i="80"/>
  <c r="K93" i="80"/>
  <c r="J93" i="80"/>
  <c r="F93" i="80"/>
  <c r="H95" i="80" s="1"/>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s="1"/>
  <c r="D83" i="80"/>
  <c r="E83" i="80"/>
  <c r="B81" i="80"/>
  <c r="B83" i="80"/>
  <c r="M80" i="80"/>
  <c r="N80" i="80"/>
  <c r="K80" i="80"/>
  <c r="J80" i="80"/>
  <c r="D80" i="80"/>
  <c r="N79" i="80"/>
  <c r="M79" i="80"/>
  <c r="K79" i="80"/>
  <c r="J79" i="80"/>
  <c r="D79" i="80"/>
  <c r="N78" i="80"/>
  <c r="M78" i="80"/>
  <c r="K78" i="80"/>
  <c r="J78" i="80"/>
  <c r="D78" i="80"/>
  <c r="M77" i="80"/>
  <c r="N77" i="80"/>
  <c r="K77" i="80"/>
  <c r="J77" i="80"/>
  <c r="D77" i="80"/>
  <c r="B77" i="80"/>
  <c r="N76" i="80"/>
  <c r="M76" i="80"/>
  <c r="K76" i="80"/>
  <c r="J76" i="80"/>
  <c r="D76" i="80"/>
  <c r="B76" i="80"/>
  <c r="N75" i="80"/>
  <c r="M75" i="80"/>
  <c r="K75" i="80"/>
  <c r="J75" i="80"/>
  <c r="D75" i="80"/>
  <c r="B75" i="80"/>
  <c r="M74" i="80"/>
  <c r="N74" i="80"/>
  <c r="K74" i="80"/>
  <c r="J74" i="80"/>
  <c r="D74" i="80"/>
  <c r="B74" i="80"/>
  <c r="M73" i="80"/>
  <c r="N73" i="80"/>
  <c r="K73" i="80"/>
  <c r="J73" i="80"/>
  <c r="D73" i="80"/>
  <c r="N72" i="80"/>
  <c r="M72" i="80"/>
  <c r="K72" i="80"/>
  <c r="J72" i="80"/>
  <c r="F72" i="80"/>
  <c r="H79" i="80" s="1"/>
  <c r="D72" i="80"/>
  <c r="E72" i="80"/>
  <c r="B70" i="80"/>
  <c r="B72" i="80"/>
  <c r="M69" i="80"/>
  <c r="N69" i="80"/>
  <c r="K69" i="80"/>
  <c r="J69" i="80"/>
  <c r="D69" i="80"/>
  <c r="M68" i="80"/>
  <c r="N68" i="80"/>
  <c r="K68" i="80"/>
  <c r="J68" i="80"/>
  <c r="D68" i="80"/>
  <c r="B68" i="80"/>
  <c r="N67" i="80"/>
  <c r="M67" i="80"/>
  <c r="K67" i="80"/>
  <c r="J67" i="80"/>
  <c r="D67" i="80"/>
  <c r="B67" i="80"/>
  <c r="M66" i="80"/>
  <c r="N66" i="80"/>
  <c r="K66" i="80"/>
  <c r="J66" i="80"/>
  <c r="M65" i="80"/>
  <c r="N65" i="80"/>
  <c r="K65" i="80"/>
  <c r="J65" i="80"/>
  <c r="M64" i="80"/>
  <c r="N64" i="80"/>
  <c r="K64" i="80"/>
  <c r="J64" i="80"/>
  <c r="D64" i="80"/>
  <c r="M63" i="80"/>
  <c r="N63" i="80"/>
  <c r="K63" i="80"/>
  <c r="J63" i="80"/>
  <c r="D63" i="80"/>
  <c r="B63" i="80"/>
  <c r="M62" i="80"/>
  <c r="N62" i="80"/>
  <c r="K62" i="80"/>
  <c r="J62" i="80"/>
  <c r="D62" i="80"/>
  <c r="N61" i="80"/>
  <c r="M61" i="80"/>
  <c r="K61" i="80"/>
  <c r="J61" i="80"/>
  <c r="D61" i="80"/>
  <c r="M58" i="80"/>
  <c r="N58" i="80"/>
  <c r="K58" i="80"/>
  <c r="J58" i="80"/>
  <c r="D58" i="80"/>
  <c r="M57" i="80"/>
  <c r="N57" i="80"/>
  <c r="K57" i="80"/>
  <c r="J57" i="80"/>
  <c r="D57" i="80"/>
  <c r="B57" i="80"/>
  <c r="N56" i="80"/>
  <c r="M56" i="80"/>
  <c r="K56" i="80"/>
  <c r="D56" i="80"/>
  <c r="J56" i="80"/>
  <c r="B56" i="80"/>
  <c r="N55" i="80"/>
  <c r="M55" i="80"/>
  <c r="K55" i="80"/>
  <c r="J55" i="80"/>
  <c r="D55" i="80"/>
  <c r="M54" i="80"/>
  <c r="N54" i="80"/>
  <c r="K54" i="80"/>
  <c r="N53" i="80"/>
  <c r="M53" i="80"/>
  <c r="K53" i="80"/>
  <c r="D53" i="80"/>
  <c r="J53" i="80"/>
  <c r="M52" i="80"/>
  <c r="N52" i="80"/>
  <c r="K52" i="80"/>
  <c r="J52" i="80"/>
  <c r="D52" i="80"/>
  <c r="B52" i="80"/>
  <c r="M51" i="80"/>
  <c r="N51" i="80"/>
  <c r="K51" i="80"/>
  <c r="N50" i="80"/>
  <c r="M50" i="80"/>
  <c r="K50" i="80"/>
  <c r="J50" i="80"/>
  <c r="D50" i="80"/>
  <c r="B50" i="80"/>
  <c r="H42" i="80"/>
  <c r="H41" i="80"/>
  <c r="H40" i="80"/>
  <c r="H39" i="80"/>
  <c r="H38" i="80"/>
  <c r="D37" i="80"/>
  <c r="O32" i="80"/>
  <c r="J24" i="80"/>
  <c r="G24" i="80"/>
  <c r="G18" i="80"/>
  <c r="E24" i="80"/>
  <c r="N32" i="80"/>
  <c r="M23" i="80"/>
  <c r="I23" i="80"/>
  <c r="C22"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C9" i="80"/>
  <c r="E8" i="80"/>
  <c r="I2" i="80"/>
  <c r="N5" i="80" s="1"/>
  <c r="G2" i="80"/>
  <c r="N21" i="80" s="1"/>
  <c r="J49" i="67"/>
  <c r="O22" i="1"/>
  <c r="Y6" i="1" s="1"/>
  <c r="B21" i="1"/>
  <c r="B23" i="1" s="1"/>
  <c r="D66" i="80"/>
  <c r="D65" i="80"/>
  <c r="E61" i="80"/>
  <c r="B59" i="80"/>
  <c r="E17" i="80"/>
  <c r="F38" i="80"/>
  <c r="E44" i="80"/>
  <c r="C44" i="80"/>
  <c r="J54" i="80"/>
  <c r="D54" i="80"/>
  <c r="E9" i="80"/>
  <c r="C7" i="80"/>
  <c r="E11" i="80"/>
  <c r="J51" i="80"/>
  <c r="D51" i="80"/>
  <c r="E50" i="80"/>
  <c r="B48" i="80"/>
  <c r="M32" i="80"/>
  <c r="Q32" i="80"/>
  <c r="H37" i="80"/>
  <c r="F50" i="80"/>
  <c r="H50" i="80" s="1"/>
  <c r="P32" i="80"/>
  <c r="C40" i="81"/>
  <c r="C21" i="81"/>
  <c r="F40" i="81"/>
  <c r="C28" i="80"/>
  <c r="D3" i="4"/>
  <c r="A15" i="51" s="1"/>
  <c r="B12" i="72" s="1"/>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R7" i="79"/>
  <c r="AC6" i="79"/>
  <c r="AB6" i="79"/>
  <c r="AA6" i="79"/>
  <c r="AD6" i="79"/>
  <c r="Z6" i="79"/>
  <c r="Y6" i="79"/>
  <c r="O6" i="79"/>
  <c r="N6" i="79"/>
  <c r="M6" i="79"/>
  <c r="P6" i="79"/>
  <c r="L6" i="79"/>
  <c r="K6" i="79"/>
  <c r="I6" i="79"/>
  <c r="AC7" i="79"/>
  <c r="AB7" i="79"/>
  <c r="AA7" i="79"/>
  <c r="AD7" i="79"/>
  <c r="Z7" i="79"/>
  <c r="Y7" i="79"/>
  <c r="O7" i="79"/>
  <c r="N7" i="79"/>
  <c r="M7" i="79"/>
  <c r="P7" i="79"/>
  <c r="L7" i="79"/>
  <c r="K7" i="79"/>
  <c r="I7"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F13" i="1"/>
  <c r="D13" i="1"/>
  <c r="D12" i="1"/>
  <c r="D11" i="1"/>
  <c r="D10" i="1"/>
  <c r="D9" i="1"/>
  <c r="D8" i="1"/>
  <c r="D7" i="1"/>
  <c r="D6" i="1"/>
  <c r="I2" i="43"/>
  <c r="N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10" i="43"/>
  <c r="AC9" i="43"/>
  <c r="AC10" i="43"/>
  <c r="AB9" i="43"/>
  <c r="AB10" i="43"/>
  <c r="AA9" i="43"/>
  <c r="AA10" i="43"/>
  <c r="Z9" i="43"/>
  <c r="Z10" i="43"/>
  <c r="M23"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AR18" i="79"/>
  <c r="AR19" i="79"/>
  <c r="AR20" i="79"/>
  <c r="AR21" i="79"/>
  <c r="AR22" i="79"/>
  <c r="AR23" i="79"/>
  <c r="AR24" i="79"/>
  <c r="U35" i="79"/>
  <c r="AI35" i="79"/>
  <c r="U34" i="79"/>
  <c r="AI34"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E93" i="43"/>
  <c r="B91" i="43"/>
  <c r="F93" i="43"/>
  <c r="H100" i="43" s="1"/>
  <c r="L21" i="43"/>
  <c r="P39" i="79"/>
  <c r="P46" i="79"/>
  <c r="P48" i="79"/>
  <c r="P50" i="79"/>
  <c r="P45" i="79"/>
  <c r="P47" i="79"/>
  <c r="P49" i="79"/>
  <c r="P51" i="79"/>
  <c r="E25" i="78"/>
  <c r="E24" i="78"/>
  <c r="F23" i="78"/>
  <c r="F24" i="78"/>
  <c r="F25" i="78"/>
  <c r="E23" i="78"/>
  <c r="E22" i="78"/>
  <c r="G22" i="78"/>
  <c r="F12" i="78"/>
  <c r="F11" i="78"/>
  <c r="C18"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C76" i="9"/>
  <c r="I107" i="40"/>
  <c r="K6" i="4"/>
  <c r="M56" i="9"/>
  <c r="B22" i="31"/>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L1" i="73"/>
  <c r="B74" i="72"/>
  <c r="K49" i="9"/>
  <c r="E107" i="9"/>
  <c r="A122" i="9"/>
  <c r="A8" i="52"/>
  <c r="B54" i="72"/>
  <c r="E111" i="9"/>
  <c r="A126" i="9"/>
  <c r="A12" i="52"/>
  <c r="B56" i="72"/>
  <c r="E109" i="9"/>
  <c r="A124" i="9"/>
  <c r="A10" i="52"/>
  <c r="B55" i="72"/>
  <c r="B44" i="72"/>
  <c r="B42" i="72"/>
  <c r="B69" i="72"/>
  <c r="B68" i="72"/>
  <c r="B63" i="72"/>
  <c r="B62" i="72"/>
  <c r="B16" i="72"/>
  <c r="B60" i="72"/>
  <c r="B66" i="72"/>
  <c r="B10" i="72"/>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s="1"/>
  <c r="G83" i="33" s="1"/>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AB21" i="33" s="1"/>
  <c r="F21" i="33"/>
  <c r="AA21" i="33" s="1"/>
  <c r="E83" i="21"/>
  <c r="F83" i="21"/>
  <c r="H1" i="69"/>
  <c r="AC25" i="40"/>
  <c r="U25" i="40"/>
  <c r="U29" i="39"/>
  <c r="W29" i="39"/>
  <c r="W18" i="36"/>
  <c r="S21" i="37"/>
  <c r="U21" i="34"/>
  <c r="AC18" i="35"/>
  <c r="J21" i="37"/>
  <c r="W21" i="37"/>
  <c r="J21" i="34"/>
  <c r="W21" i="34"/>
  <c r="J21" i="33"/>
  <c r="W21" i="33" s="1"/>
  <c r="H21" i="21"/>
  <c r="U21" i="21"/>
  <c r="F38" i="69"/>
  <c r="E37" i="69"/>
  <c r="F36" i="69"/>
  <c r="F35" i="69"/>
  <c r="F21" i="69"/>
  <c r="F20" i="69"/>
  <c r="F39" i="69" s="1"/>
  <c r="E10" i="69"/>
  <c r="E9" i="69"/>
  <c r="AC21" i="37"/>
  <c r="G83" i="21"/>
  <c r="J21" i="21"/>
  <c r="AC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AB8" i="71" s="1"/>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s="1"/>
  <c r="A8" i="1"/>
  <c r="B8" i="1"/>
  <c r="E8" i="1" s="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s="1"/>
  <c r="B13" i="53"/>
  <c r="B29" i="72"/>
  <c r="R35" i="4"/>
  <c r="Q35" i="4"/>
  <c r="P35" i="4"/>
  <c r="O35" i="4"/>
  <c r="N35" i="4"/>
  <c r="M35" i="4"/>
  <c r="L35" i="4"/>
  <c r="K34" i="4"/>
  <c r="T34" i="4"/>
  <c r="G13" i="1"/>
  <c r="H15" i="4"/>
  <c r="G15" i="4"/>
  <c r="F12" i="1"/>
  <c r="F15" i="4"/>
  <c r="G44" i="43" s="1"/>
  <c r="F11" i="1"/>
  <c r="G11" i="1" s="1"/>
  <c r="D15" i="4"/>
  <c r="F7" i="1" s="1"/>
  <c r="C15" i="4"/>
  <c r="F6" i="1"/>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G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S44" i="33" s="1"/>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s="1"/>
  <c r="B88" i="33"/>
  <c r="C23" i="33"/>
  <c r="C19" i="33"/>
  <c r="C17" i="33"/>
  <c r="C15" i="33"/>
  <c r="C15" i="21"/>
  <c r="D125" i="33"/>
  <c r="E125" i="33" s="1"/>
  <c r="F125" i="33" s="1"/>
  <c r="G125" i="33" s="1"/>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c r="H15" i="33" s="1"/>
  <c r="AB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c r="AB9" i="33" s="1"/>
  <c r="H54" i="33"/>
  <c r="P49" i="33"/>
  <c r="P48" i="33"/>
  <c r="V47" i="33"/>
  <c r="T47" i="33"/>
  <c r="R47" i="33"/>
  <c r="P47" i="33"/>
  <c r="Q46" i="33"/>
  <c r="Z46" i="33"/>
  <c r="Q45" i="33"/>
  <c r="Z45" i="33"/>
  <c r="Q44" i="33"/>
  <c r="Z44" i="33" s="1"/>
  <c r="Q43" i="33"/>
  <c r="Z43" i="33"/>
  <c r="Q42" i="33"/>
  <c r="Z42" i="33"/>
  <c r="J42" i="33"/>
  <c r="AC42" i="33" s="1"/>
  <c r="AC41" i="33"/>
  <c r="Q41" i="33"/>
  <c r="Z41" i="33"/>
  <c r="Q40" i="33"/>
  <c r="Z40" i="33"/>
  <c r="J40" i="33"/>
  <c r="W40" i="33" s="1"/>
  <c r="AC40" i="33"/>
  <c r="H40" i="33"/>
  <c r="AB40" i="33" s="1"/>
  <c r="Q39" i="33"/>
  <c r="Z39" i="33"/>
  <c r="J39" i="33"/>
  <c r="Q38" i="33"/>
  <c r="Z38" i="33"/>
  <c r="J38" i="33"/>
  <c r="AC38" i="33"/>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80" s="1"/>
  <c r="C21" i="20"/>
  <c r="B99" i="43"/>
  <c r="C20" i="20"/>
  <c r="B101" i="43" s="1"/>
  <c r="C18" i="20"/>
  <c r="B94" i="80" s="1"/>
  <c r="C17" i="20"/>
  <c r="B61" i="80" s="1"/>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s="1"/>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S41" i="33" s="1"/>
  <c r="AA41" i="33"/>
  <c r="E113" i="33"/>
  <c r="F32" i="33"/>
  <c r="AA32" i="33" s="1"/>
  <c r="F11" i="33"/>
  <c r="AA11" i="33" s="1"/>
  <c r="U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s="1"/>
  <c r="H11" i="33"/>
  <c r="AB11" i="33" s="1"/>
  <c r="F28" i="40"/>
  <c r="AA28" i="40"/>
  <c r="AA29" i="35"/>
  <c r="AA42" i="34"/>
  <c r="S42" i="34"/>
  <c r="AC38" i="34"/>
  <c r="AA38" i="34"/>
  <c r="J37" i="34"/>
  <c r="AC37" i="34"/>
  <c r="J11" i="33"/>
  <c r="W11" i="33" s="1"/>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U44" i="33" s="1"/>
  <c r="J44" i="33"/>
  <c r="W44" i="33" s="1"/>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U43" i="33" s="1"/>
  <c r="H17" i="37"/>
  <c r="U17" i="37"/>
  <c r="AB27" i="37"/>
  <c r="U32" i="33"/>
  <c r="AA36" i="39"/>
  <c r="F39" i="33"/>
  <c r="AA39" i="33"/>
  <c r="E123" i="33"/>
  <c r="F42" i="33"/>
  <c r="AA42" i="33" s="1"/>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S28" i="31"/>
  <c r="S27" i="31"/>
  <c r="S26" i="31"/>
  <c r="U14" i="40"/>
  <c r="W23" i="35"/>
  <c r="U26" i="37"/>
  <c r="W47" i="34"/>
  <c r="AC36" i="34"/>
  <c r="AA13" i="33"/>
  <c r="AC3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G4" i="4"/>
  <c r="I4" i="4"/>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AZ356" i="3"/>
  <c r="AZ392" i="3"/>
  <c r="AZ499" i="3"/>
  <c r="AZ509" i="3"/>
  <c r="G509" i="3"/>
  <c r="BL493" i="3"/>
  <c r="AZ493" i="3"/>
  <c r="U36" i="40"/>
  <c r="F83" i="43"/>
  <c r="H83" i="43" s="1"/>
  <c r="F72" i="43"/>
  <c r="H76" i="43" s="1"/>
  <c r="U17" i="39"/>
  <c r="S14" i="35"/>
  <c r="U43" i="21"/>
  <c r="U35" i="21"/>
  <c r="AC35" i="21"/>
  <c r="AC11" i="39"/>
  <c r="AZ501" i="3"/>
  <c r="W37" i="37"/>
  <c r="W44" i="34"/>
  <c r="AC44" i="34"/>
  <c r="S15" i="37"/>
  <c r="U13" i="37"/>
  <c r="U12" i="40"/>
  <c r="AA12" i="40"/>
  <c r="J37" i="33"/>
  <c r="W37" i="33" s="1"/>
  <c r="AC17" i="34"/>
  <c r="J34" i="33"/>
  <c r="AC34" i="33" s="1"/>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AA10" i="33" s="1"/>
  <c r="F34" i="33"/>
  <c r="S34" i="33" s="1"/>
  <c r="H34" i="33"/>
  <c r="AB34" i="33" s="1"/>
  <c r="F35" i="33"/>
  <c r="AA35" i="33" s="1"/>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s="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s="1"/>
  <c r="S13" i="1"/>
  <c r="AR13" i="1" s="1"/>
  <c r="R13" i="1"/>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AA29" i="33"/>
  <c r="AB29" i="33"/>
  <c r="W38" i="33"/>
  <c r="H41" i="33"/>
  <c r="U41" i="33" s="1"/>
  <c r="F121" i="33"/>
  <c r="G121" i="33"/>
  <c r="H121" i="33"/>
  <c r="I121" i="33"/>
  <c r="J121" i="33"/>
  <c r="K121" i="33"/>
  <c r="L121" i="33"/>
  <c r="M121" i="33"/>
  <c r="J35" i="33"/>
  <c r="W35" i="33" s="1"/>
  <c r="AA37" i="33"/>
  <c r="S39" i="33"/>
  <c r="F101" i="33"/>
  <c r="G101" i="33"/>
  <c r="H101" i="33"/>
  <c r="I101" i="33"/>
  <c r="J101" i="33"/>
  <c r="K101" i="33"/>
  <c r="L101" i="33"/>
  <c r="M101" i="33"/>
  <c r="J32" i="33"/>
  <c r="W32" i="33" s="1"/>
  <c r="S46" i="33"/>
  <c r="H25" i="33"/>
  <c r="AB25" i="33" s="1"/>
  <c r="F25" i="33"/>
  <c r="AA25" i="33" s="1"/>
  <c r="H23" i="33"/>
  <c r="AB23" i="33" s="1"/>
  <c r="F19" i="33"/>
  <c r="AA19" i="33" s="1"/>
  <c r="J17" i="33"/>
  <c r="AC17"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U29" i="34"/>
  <c r="E5" i="6"/>
  <c r="D9" i="11" s="1"/>
  <c r="C9" i="11" s="1"/>
  <c r="E32" i="6"/>
  <c r="E19" i="69"/>
  <c r="E19" i="68"/>
  <c r="E19" i="11"/>
  <c r="B19" i="53"/>
  <c r="B37" i="72"/>
  <c r="A4" i="51"/>
  <c r="B6" i="72"/>
  <c r="L20" i="6"/>
  <c r="K11" i="1"/>
  <c r="M11" i="1" s="1"/>
  <c r="O11" i="1"/>
  <c r="B9" i="1"/>
  <c r="E9" i="1"/>
  <c r="K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AB44" i="33"/>
  <c r="S30" i="33"/>
  <c r="AA30" i="33"/>
  <c r="AC14" i="33"/>
  <c r="W14" i="33"/>
  <c r="AC30" i="33"/>
  <c r="W30" i="33"/>
  <c r="S31" i="33"/>
  <c r="AA31" i="33"/>
  <c r="W13" i="33"/>
  <c r="AC13" i="33"/>
  <c r="S11"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65" i="43"/>
  <c r="D23" i="15"/>
  <c r="D22" i="15"/>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J25" i="33"/>
  <c r="W25" i="33" s="1"/>
  <c r="U23" i="33"/>
  <c r="H19" i="33"/>
  <c r="AB19" i="33" s="1"/>
  <c r="H17" i="33"/>
  <c r="U17" i="33" s="1"/>
  <c r="F17" i="33"/>
  <c r="AA17" i="33" s="1"/>
  <c r="W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C23" i="21"/>
  <c r="W23" i="21"/>
  <c r="H109" i="9"/>
  <c r="AD3" i="71"/>
  <c r="D24" i="71"/>
  <c r="U24" i="71"/>
  <c r="S24" i="71"/>
  <c r="T24" i="71"/>
  <c r="AB22" i="71"/>
  <c r="X20" i="71"/>
  <c r="X19" i="71"/>
  <c r="AA20" i="71"/>
  <c r="AA19" i="71"/>
  <c r="X23" i="71"/>
  <c r="Y19" i="71"/>
  <c r="Z19" i="71"/>
  <c r="AB20" i="71"/>
  <c r="AB19" i="71"/>
  <c r="F21" i="71"/>
  <c r="F20" i="71"/>
  <c r="F19" i="71"/>
  <c r="F18" i="71"/>
  <c r="F17" i="71"/>
  <c r="Y20" i="71"/>
  <c r="Z20" i="71"/>
  <c r="X3" i="71"/>
  <c r="C18" i="9"/>
  <c r="D18" i="9" s="1"/>
  <c r="D53" i="43"/>
  <c r="D51" i="43"/>
  <c r="D55" i="43"/>
  <c r="B79" i="43"/>
  <c r="B57" i="43"/>
  <c r="B77" i="43"/>
  <c r="B68" i="43"/>
  <c r="AP6" i="1"/>
  <c r="G1" i="68"/>
  <c r="B41" i="1"/>
  <c r="G22" i="69"/>
  <c r="BD5" i="3"/>
  <c r="BH5" i="3"/>
  <c r="BP5" i="3"/>
  <c r="A118" i="9"/>
  <c r="A2" i="9"/>
  <c r="AZ572" i="3"/>
  <c r="AB23" i="21"/>
  <c r="W9" i="21"/>
  <c r="S13" i="21"/>
  <c r="AB21" i="39"/>
  <c r="AB35" i="37"/>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G29" i="6"/>
  <c r="BM5" i="3"/>
  <c r="AZ313" i="3"/>
  <c r="AZ394" i="3"/>
  <c r="AZ511" i="3"/>
  <c r="AZ536" i="3"/>
  <c r="J25" i="35"/>
  <c r="H25" i="35"/>
  <c r="AC28" i="36"/>
  <c r="W28" i="36"/>
  <c r="S17" i="37"/>
  <c r="S43" i="34"/>
  <c r="AB31" i="37"/>
  <c r="BO5" i="3"/>
  <c r="AZ375" i="3"/>
  <c r="AZ529" i="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J12" i="36"/>
  <c r="F12" i="36"/>
  <c r="H12" i="36"/>
  <c r="AA31" i="35"/>
  <c r="S31" i="35"/>
  <c r="G582" i="3"/>
  <c r="AZ519" i="3"/>
  <c r="BL573" i="3"/>
  <c r="AZ573" i="3"/>
  <c r="B97" i="43"/>
  <c r="J26" i="33"/>
  <c r="AC26" i="33" s="1"/>
  <c r="F26" i="33"/>
  <c r="AA26" i="33" s="1"/>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s="1"/>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s="1"/>
  <c r="O13" i="1"/>
  <c r="P13" i="1"/>
  <c r="AB33" i="71"/>
  <c r="AA30" i="71"/>
  <c r="E35" i="71"/>
  <c r="E36" i="71"/>
  <c r="U36" i="71"/>
  <c r="F31" i="71"/>
  <c r="F32" i="71"/>
  <c r="V32" i="71"/>
  <c r="AB31" i="71"/>
  <c r="AB36" i="71"/>
  <c r="AA36" i="71"/>
  <c r="Y38" i="71"/>
  <c r="Z38" i="71"/>
  <c r="B47" i="71"/>
  <c r="B48" i="71"/>
  <c r="S48" i="71"/>
  <c r="E47" i="71"/>
  <c r="E48" i="71"/>
  <c r="U48" i="71"/>
  <c r="F9" i="1"/>
  <c r="G9" i="1" s="1"/>
  <c r="F10" i="1"/>
  <c r="G10" i="1" s="1"/>
  <c r="F8" i="1"/>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AB13" i="34"/>
  <c r="S41" i="34"/>
  <c r="AA41" i="34"/>
  <c r="AZ495" i="3"/>
  <c r="AZ567" i="3"/>
  <c r="AC14" i="37"/>
  <c r="W14" i="37"/>
  <c r="U28" i="37"/>
  <c r="AB28" i="37"/>
  <c r="W30" i="34"/>
  <c r="AC30" i="34"/>
  <c r="AC29" i="33"/>
  <c r="W29" i="33"/>
  <c r="W46" i="21"/>
  <c r="AC46" i="21"/>
  <c r="D16" i="53"/>
  <c r="B34" i="72"/>
  <c r="BL507" i="3"/>
  <c r="AZ507" i="3"/>
  <c r="K14" i="1"/>
  <c r="M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U8" i="33"/>
  <c r="W8" i="21"/>
  <c r="S8" i="21"/>
  <c r="AA11" i="21"/>
  <c r="AC11" i="21"/>
  <c r="AB11" i="21"/>
  <c r="F53" i="9"/>
  <c r="C5" i="11"/>
  <c r="C4" i="12"/>
  <c r="O6" i="1"/>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P11" i="1"/>
  <c r="O9" i="1"/>
  <c r="P9" i="1"/>
  <c r="O12" i="1"/>
  <c r="P12" i="1"/>
  <c r="O8" i="1"/>
  <c r="P8" i="1"/>
  <c r="I18" i="43"/>
  <c r="C17" i="43"/>
  <c r="T35" i="4"/>
  <c r="A19" i="51"/>
  <c r="B14" i="72"/>
  <c r="H110" i="9"/>
  <c r="D18" i="53" s="1"/>
  <c r="B35" i="72" s="1"/>
  <c r="Y8" i="71"/>
  <c r="Z8" i="71" s="1"/>
  <c r="D17" i="53"/>
  <c r="B36" i="72"/>
  <c r="D124" i="9"/>
  <c r="E44" i="43"/>
  <c r="C44" i="43" s="1"/>
  <c r="AC21" i="39"/>
  <c r="AB23" i="39"/>
  <c r="AB15" i="39"/>
  <c r="AC15" i="39"/>
  <c r="S25" i="39"/>
  <c r="W39" i="39"/>
  <c r="W42" i="39"/>
  <c r="W14" i="39"/>
  <c r="S29" i="39"/>
  <c r="G27" i="1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F48" i="9"/>
  <c r="O52" i="9" s="1"/>
  <c r="F30" i="68"/>
  <c r="F52" i="9"/>
  <c r="F32" i="15"/>
  <c r="F60" i="15"/>
  <c r="F54" i="9"/>
  <c r="F30" i="11"/>
  <c r="M18" i="67"/>
  <c r="M18" i="15"/>
  <c r="F28" i="67"/>
  <c r="F32" i="67"/>
  <c r="F60" i="67"/>
  <c r="F28" i="15"/>
  <c r="F31" i="12"/>
  <c r="F30" i="69"/>
  <c r="D68" i="9"/>
  <c r="P6" i="1"/>
  <c r="G30" i="6"/>
  <c r="C70" i="71"/>
  <c r="D70" i="71"/>
  <c r="D71" i="71"/>
  <c r="C22" i="71"/>
  <c r="D23" i="71"/>
  <c r="AZ368" i="3"/>
  <c r="AZ353" i="3"/>
  <c r="C52" i="71"/>
  <c r="D51" i="71"/>
  <c r="AZ282" i="3"/>
  <c r="AC44" i="39"/>
  <c r="W44" i="39"/>
  <c r="AC24" i="36"/>
  <c r="W24" i="36"/>
  <c r="W25" i="35"/>
  <c r="AC25" i="35"/>
  <c r="W13" i="39"/>
  <c r="AC13" i="39"/>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D83" i="71"/>
  <c r="C82" i="71"/>
  <c r="D82" i="71"/>
  <c r="AZ53" i="3"/>
  <c r="C26" i="71"/>
  <c r="D26" i="71"/>
  <c r="D27" i="71"/>
  <c r="AZ302" i="3"/>
  <c r="AZ284" i="3"/>
  <c r="AZ491" i="3"/>
  <c r="W12" i="35"/>
  <c r="AC12" i="35"/>
  <c r="S24" i="36"/>
  <c r="AA24" i="36"/>
  <c r="S26" i="33"/>
  <c r="AA12" i="36"/>
  <c r="S12" i="36"/>
  <c r="AB39" i="37"/>
  <c r="U39" i="37"/>
  <c r="F29" i="6"/>
  <c r="E29" i="6"/>
  <c r="K15" i="1"/>
  <c r="AA13" i="39"/>
  <c r="S13" i="39"/>
  <c r="C40" i="71"/>
  <c r="D39" i="71"/>
  <c r="B19" i="71"/>
  <c r="B18" i="71"/>
  <c r="B17" i="71"/>
  <c r="B16" i="71"/>
  <c r="S20" i="71"/>
  <c r="AZ74" i="3"/>
  <c r="AZ182" i="3"/>
  <c r="AZ271" i="3"/>
  <c r="AZ130" i="3"/>
  <c r="AZ244" i="3"/>
  <c r="AZ239" i="3"/>
  <c r="AZ397" i="3"/>
  <c r="D67" i="71"/>
  <c r="C66" i="71"/>
  <c r="O67" i="71"/>
  <c r="AB24" i="36"/>
  <c r="U24" i="36"/>
  <c r="W26" i="33"/>
  <c r="W12" i="36"/>
  <c r="AC12" i="36"/>
  <c r="AC39" i="37"/>
  <c r="W39" i="37"/>
  <c r="AB36" i="35"/>
  <c r="U36" i="35"/>
  <c r="AB25" i="35"/>
  <c r="U25" i="35"/>
  <c r="AZ576" i="3"/>
  <c r="U13" i="39"/>
  <c r="AB13" i="39"/>
  <c r="AA26" i="37"/>
  <c r="S26" i="37"/>
  <c r="W40" i="40"/>
  <c r="AC40" i="40"/>
  <c r="AC12" i="21"/>
  <c r="W12" i="21"/>
  <c r="AB12" i="21"/>
  <c r="U12" i="21"/>
  <c r="AA27" i="34"/>
  <c r="S27" i="34"/>
  <c r="AC26" i="37"/>
  <c r="W26" i="37"/>
  <c r="BL5" i="3"/>
  <c r="B15" i="71"/>
  <c r="B14" i="71"/>
  <c r="B13" i="71"/>
  <c r="B12" i="71"/>
  <c r="S16" i="71"/>
  <c r="AA9" i="36"/>
  <c r="S9" i="36"/>
  <c r="AA34" i="35"/>
  <c r="S34" i="35"/>
  <c r="E15" i="71"/>
  <c r="E14" i="71"/>
  <c r="E13" i="71"/>
  <c r="E12" i="71"/>
  <c r="V16" i="71"/>
  <c r="S40" i="40"/>
  <c r="AA40" i="40"/>
  <c r="AC34" i="35"/>
  <c r="W34" i="35"/>
  <c r="E61" i="43"/>
  <c r="B59" i="43"/>
  <c r="C28" i="43"/>
  <c r="AA26" i="35"/>
  <c r="S26" i="35"/>
  <c r="AC26" i="35"/>
  <c r="W26" i="35"/>
  <c r="AB26" i="35"/>
  <c r="U26" i="35"/>
  <c r="E72" i="43"/>
  <c r="B70" i="43"/>
  <c r="C7" i="43"/>
  <c r="D10" i="52"/>
  <c r="D125" i="9"/>
  <c r="D11" i="52"/>
  <c r="B7" i="74"/>
  <c r="F59" i="67"/>
  <c r="M17" i="67"/>
  <c r="M17" i="15"/>
  <c r="F59" i="15"/>
  <c r="AE11" i="1"/>
  <c r="AE9" i="1"/>
  <c r="AE12" i="1"/>
  <c r="AE10" i="1"/>
  <c r="C48" i="11"/>
  <c r="C30" i="11"/>
  <c r="F48" i="68"/>
  <c r="F48" i="69"/>
  <c r="O65" i="71"/>
  <c r="D66" i="71"/>
  <c r="O66" i="71"/>
  <c r="T40" i="71"/>
  <c r="D40" i="71"/>
  <c r="T52" i="71"/>
  <c r="D52" i="71"/>
  <c r="D22" i="71"/>
  <c r="C21" i="71"/>
  <c r="E30" i="6"/>
  <c r="D56" i="71"/>
  <c r="T56" i="71"/>
  <c r="F30" i="6"/>
  <c r="B11" i="71"/>
  <c r="B10" i="71"/>
  <c r="B9" i="71"/>
  <c r="B8" i="71"/>
  <c r="B7" i="71"/>
  <c r="B6" i="71"/>
  <c r="B5" i="71"/>
  <c r="S12" i="71"/>
  <c r="E11" i="71"/>
  <c r="E10" i="71"/>
  <c r="E9" i="71"/>
  <c r="E8" i="71"/>
  <c r="E7" i="71"/>
  <c r="E6" i="71"/>
  <c r="E5" i="71"/>
  <c r="V12" i="71"/>
  <c r="AG11" i="1"/>
  <c r="AG9" i="1"/>
  <c r="AG10" i="1"/>
  <c r="AG8" i="1"/>
  <c r="AG12" i="1"/>
  <c r="AG7" i="1"/>
  <c r="AG6" i="1"/>
  <c r="O14" i="1"/>
  <c r="D21" i="71"/>
  <c r="C20" i="71"/>
  <c r="S11" i="1"/>
  <c r="AQ11" i="1" s="1"/>
  <c r="E11" i="70"/>
  <c r="S9" i="1"/>
  <c r="T9" i="1" s="1"/>
  <c r="S10" i="1"/>
  <c r="AQ10" i="1" s="1"/>
  <c r="E10" i="70"/>
  <c r="S12" i="1"/>
  <c r="AQ12" i="1" s="1"/>
  <c r="P14" i="1"/>
  <c r="R9" i="1"/>
  <c r="D20" i="71"/>
  <c r="U20" i="71"/>
  <c r="T20" i="71"/>
  <c r="C19" i="71"/>
  <c r="R10" i="1"/>
  <c r="E12" i="70"/>
  <c r="E9" i="70"/>
  <c r="R11" i="1"/>
  <c r="R12" i="1"/>
  <c r="C18" i="71"/>
  <c r="D19" i="71"/>
  <c r="C19" i="69"/>
  <c r="C17" i="71"/>
  <c r="D18" i="71"/>
  <c r="C89" i="9"/>
  <c r="C87" i="9" s="1"/>
  <c r="C16" i="71"/>
  <c r="D17" i="71"/>
  <c r="T16" i="71"/>
  <c r="D16" i="71"/>
  <c r="U16" i="71"/>
  <c r="C15" i="71"/>
  <c r="C14" i="71"/>
  <c r="D15" i="71"/>
  <c r="D14" i="71"/>
  <c r="C13" i="71"/>
  <c r="B2" i="21"/>
  <c r="C12" i="71"/>
  <c r="D13" i="71"/>
  <c r="D12" i="71"/>
  <c r="U12" i="71"/>
  <c r="C11" i="71"/>
  <c r="T12" i="71"/>
  <c r="B2" i="36"/>
  <c r="B2" i="35"/>
  <c r="B2" i="37"/>
  <c r="B2" i="34"/>
  <c r="C10" i="71"/>
  <c r="D11" i="71"/>
  <c r="D10" i="71"/>
  <c r="C9" i="71"/>
  <c r="D9" i="71"/>
  <c r="C8" i="71"/>
  <c r="C7" i="71"/>
  <c r="D8" i="71"/>
  <c r="D7" i="71"/>
  <c r="C6" i="71"/>
  <c r="D6" i="71"/>
  <c r="C5" i="71"/>
  <c r="D5" i="71"/>
  <c r="D59" i="9"/>
  <c r="M55" i="9"/>
  <c r="B8" i="76"/>
  <c r="E9" i="76"/>
  <c r="F6" i="73"/>
  <c r="D2" i="35"/>
  <c r="E12" i="76"/>
  <c r="F20" i="31"/>
  <c r="F3" i="73"/>
  <c r="M29" i="84"/>
  <c r="B13" i="76"/>
  <c r="D2" i="33"/>
  <c r="E11" i="76"/>
  <c r="D2" i="34"/>
  <c r="L48" i="86"/>
  <c r="B11" i="76"/>
  <c r="AO9" i="1"/>
  <c r="F5" i="73"/>
  <c r="B12" i="76"/>
  <c r="D5" i="73"/>
  <c r="F7" i="84"/>
  <c r="D6" i="73"/>
  <c r="F4" i="73"/>
  <c r="D2" i="36"/>
  <c r="E2" i="81"/>
  <c r="AO10" i="1"/>
  <c r="D9" i="68"/>
  <c r="E8" i="76"/>
  <c r="E13" i="76"/>
  <c r="E7" i="76"/>
  <c r="D2" i="21"/>
  <c r="F7" i="86"/>
  <c r="F43" i="84"/>
  <c r="D2" i="37"/>
  <c r="D4" i="73"/>
  <c r="AO11" i="1"/>
  <c r="B10" i="76"/>
  <c r="E2" i="69"/>
  <c r="L48" i="84"/>
  <c r="E10" i="76"/>
  <c r="B9" i="76"/>
  <c r="AO13" i="1"/>
  <c r="D7" i="73"/>
  <c r="M29" i="86"/>
  <c r="F7" i="73"/>
  <c r="AO12" i="1"/>
  <c r="E2" i="68"/>
  <c r="D3" i="73"/>
  <c r="F43" i="86"/>
  <c r="B7" i="76"/>
  <c r="L58" i="86" l="1"/>
  <c r="L58" i="84"/>
  <c r="G7" i="1"/>
  <c r="C7" i="78"/>
  <c r="D7" i="78" s="1"/>
  <c r="M20" i="15"/>
  <c r="F34" i="86"/>
  <c r="F62" i="86" s="1"/>
  <c r="F34" i="84"/>
  <c r="F62" i="84" s="1"/>
  <c r="M20" i="86"/>
  <c r="M20" i="84"/>
  <c r="AC44" i="33"/>
  <c r="AA44" i="33"/>
  <c r="S33" i="33"/>
  <c r="U9" i="33"/>
  <c r="U33" i="33"/>
  <c r="AB10" i="33"/>
  <c r="S10" i="33"/>
  <c r="AC10" i="33"/>
  <c r="U11" i="33"/>
  <c r="AC11" i="33"/>
  <c r="J19" i="33"/>
  <c r="AC19" i="33" s="1"/>
  <c r="F81" i="33"/>
  <c r="G81" i="33" s="1"/>
  <c r="J15" i="33"/>
  <c r="AC15" i="33" s="1"/>
  <c r="F77" i="33"/>
  <c r="G77" i="33" s="1"/>
  <c r="J23" i="33"/>
  <c r="AC23" i="33" s="1"/>
  <c r="F85" i="33"/>
  <c r="G85" i="33" s="1"/>
  <c r="F23" i="33"/>
  <c r="S23" i="33" s="1"/>
  <c r="U25" i="33"/>
  <c r="F91" i="33"/>
  <c r="G91" i="33" s="1"/>
  <c r="H91" i="33" s="1"/>
  <c r="I91" i="33" s="1"/>
  <c r="J91" i="33" s="1"/>
  <c r="K91" i="33" s="1"/>
  <c r="L91" i="33" s="1"/>
  <c r="M91" i="33" s="1"/>
  <c r="H27" i="33"/>
  <c r="J27" i="33"/>
  <c r="W27" i="33" s="1"/>
  <c r="S27" i="33"/>
  <c r="J43" i="33"/>
  <c r="W43" i="33" s="1"/>
  <c r="F43" i="33"/>
  <c r="S42" i="33"/>
  <c r="H111" i="33"/>
  <c r="I111" i="33" s="1"/>
  <c r="J111" i="33" s="1"/>
  <c r="K111" i="33" s="1"/>
  <c r="L111" i="33" s="1"/>
  <c r="M111" i="33" s="1"/>
  <c r="J36" i="33"/>
  <c r="F36" i="33"/>
  <c r="H36" i="33"/>
  <c r="U36" i="33" s="1"/>
  <c r="Y8" i="1"/>
  <c r="Y7" i="1"/>
  <c r="AC43" i="33"/>
  <c r="AA34" i="33"/>
  <c r="S38" i="33"/>
  <c r="U42" i="33"/>
  <c r="W42" i="33"/>
  <c r="U37" i="33"/>
  <c r="AC37" i="33"/>
  <c r="S35" i="33"/>
  <c r="W34" i="33"/>
  <c r="U34" i="33"/>
  <c r="S32" i="33"/>
  <c r="S19" i="33"/>
  <c r="S15" i="33"/>
  <c r="AC28" i="33"/>
  <c r="S28" i="33"/>
  <c r="AC35" i="33"/>
  <c r="U35" i="33"/>
  <c r="AC32" i="33"/>
  <c r="S25" i="33"/>
  <c r="AC25" i="33"/>
  <c r="AC21" i="33"/>
  <c r="S21" i="33"/>
  <c r="S17" i="33"/>
  <c r="U19" i="33"/>
  <c r="U15" i="33"/>
  <c r="B75" i="43"/>
  <c r="B65" i="80"/>
  <c r="B54" i="80"/>
  <c r="B58" i="80"/>
  <c r="B69" i="80"/>
  <c r="B69" i="43"/>
  <c r="B79" i="80"/>
  <c r="B101" i="80"/>
  <c r="B58" i="43"/>
  <c r="C21" i="39"/>
  <c r="B62" i="43"/>
  <c r="B94" i="43"/>
  <c r="B62" i="80"/>
  <c r="B51" i="80"/>
  <c r="B73" i="80"/>
  <c r="B61" i="43"/>
  <c r="W9" i="33"/>
  <c r="S9" i="33"/>
  <c r="W8" i="33"/>
  <c r="S8" i="33"/>
  <c r="F71" i="86"/>
  <c r="M7" i="86"/>
  <c r="J6" i="86" s="1"/>
  <c r="F50" i="86"/>
  <c r="C49" i="86" s="1"/>
  <c r="C6" i="86"/>
  <c r="M7" i="1"/>
  <c r="J11" i="83"/>
  <c r="E15" i="83"/>
  <c r="K5" i="4"/>
  <c r="B47" i="48" s="1"/>
  <c r="F71" i="84"/>
  <c r="M7" i="84"/>
  <c r="J6" i="84" s="1"/>
  <c r="F50" i="84"/>
  <c r="C49" i="84" s="1"/>
  <c r="C6" i="84"/>
  <c r="M8" i="1"/>
  <c r="I24" i="43"/>
  <c r="C24" i="43" s="1"/>
  <c r="BA13" i="3"/>
  <c r="AZ13" i="3" s="1"/>
  <c r="D23" i="67"/>
  <c r="D22" i="67"/>
  <c r="G1" i="69"/>
  <c r="B6" i="1"/>
  <c r="E6" i="1" s="1"/>
  <c r="K1" i="12"/>
  <c r="G1" i="15"/>
  <c r="G1" i="67"/>
  <c r="F3" i="35"/>
  <c r="G1" i="81"/>
  <c r="AQ9" i="1"/>
  <c r="AR9" i="1"/>
  <c r="B3" i="36"/>
  <c r="D19" i="12"/>
  <c r="C19" i="12" s="1"/>
  <c r="T13" i="1"/>
  <c r="M11" i="43"/>
  <c r="M6" i="43"/>
  <c r="N11" i="80"/>
  <c r="M10" i="43"/>
  <c r="N3" i="80"/>
  <c r="H86" i="43"/>
  <c r="H90" i="43"/>
  <c r="N8" i="43"/>
  <c r="M4" i="43"/>
  <c r="N1" i="80"/>
  <c r="M4" i="80"/>
  <c r="H77" i="43"/>
  <c r="N6" i="43"/>
  <c r="M2" i="43"/>
  <c r="M2" i="80"/>
  <c r="K21" i="43"/>
  <c r="F39" i="80"/>
  <c r="L21" i="80"/>
  <c r="F41" i="43"/>
  <c r="S4" i="43"/>
  <c r="D21" i="80"/>
  <c r="H84" i="43"/>
  <c r="H85" i="43"/>
  <c r="X7" i="43"/>
  <c r="H116" i="43"/>
  <c r="H21" i="43"/>
  <c r="I21" i="43"/>
  <c r="F40" i="43"/>
  <c r="N21" i="43"/>
  <c r="S5" i="43"/>
  <c r="H51" i="80"/>
  <c r="H84" i="80"/>
  <c r="D21" i="43"/>
  <c r="E21" i="43"/>
  <c r="F38" i="43"/>
  <c r="S6" i="43"/>
  <c r="H73" i="80"/>
  <c r="H72" i="80"/>
  <c r="O21" i="43"/>
  <c r="F42" i="43"/>
  <c r="F37" i="43"/>
  <c r="AA8" i="71"/>
  <c r="X8" i="71"/>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M9" i="80"/>
  <c r="H99" i="43"/>
  <c r="N9" i="43"/>
  <c r="N7" i="43"/>
  <c r="N11" i="43"/>
  <c r="M5" i="43"/>
  <c r="C6" i="43" s="1"/>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61" i="80"/>
  <c r="F37" i="80"/>
  <c r="H96" i="43"/>
  <c r="H98" i="43"/>
  <c r="H58" i="80"/>
  <c r="H90" i="80"/>
  <c r="H77" i="80"/>
  <c r="H21" i="80"/>
  <c r="S2" i="80"/>
  <c r="H93" i="80"/>
  <c r="H101" i="80"/>
  <c r="H75" i="80"/>
  <c r="O21" i="80"/>
  <c r="H85" i="80"/>
  <c r="T11" i="1"/>
  <c r="AR12" i="1"/>
  <c r="B3" i="35"/>
  <c r="AR11" i="1"/>
  <c r="C40" i="68"/>
  <c r="C21" i="68"/>
  <c r="G41" i="81"/>
  <c r="B24" i="1"/>
  <c r="G22" i="81"/>
  <c r="G41" i="11"/>
  <c r="G22" i="68"/>
  <c r="G25" i="12"/>
  <c r="G26" i="12"/>
  <c r="G22" i="11"/>
  <c r="G41" i="68"/>
  <c r="E1" i="73"/>
  <c r="K1" i="73" s="1"/>
  <c r="AR10" i="1"/>
  <c r="T10" i="1"/>
  <c r="O16" i="1"/>
  <c r="AQ13" i="1"/>
  <c r="BC5" i="3"/>
  <c r="E12" i="6" s="1"/>
  <c r="T12" i="1"/>
  <c r="P16" i="1"/>
  <c r="C11" i="12" s="1"/>
  <c r="C12" i="12" s="1"/>
  <c r="C7" i="74"/>
  <c r="AZ5" i="3"/>
  <c r="E3" i="6" s="1"/>
  <c r="D33" i="80"/>
  <c r="D1" i="80" s="1"/>
  <c r="E19" i="6"/>
  <c r="M18" i="9" s="1"/>
  <c r="B118" i="9" s="1"/>
  <c r="H5" i="3"/>
  <c r="L27" i="6"/>
  <c r="E8" i="6"/>
  <c r="G5" i="3"/>
  <c r="B3" i="3" s="1"/>
  <c r="G8" i="1"/>
  <c r="G12" i="1"/>
  <c r="G6" i="1"/>
  <c r="I24" i="80"/>
  <c r="C24" i="80" s="1"/>
  <c r="B2" i="1"/>
  <c r="C5" i="78"/>
  <c r="D5" i="78" s="1"/>
  <c r="C53" i="10"/>
  <c r="B11" i="70"/>
  <c r="B10" i="70"/>
  <c r="B9" i="70"/>
  <c r="B12" i="70"/>
  <c r="B20" i="31"/>
  <c r="B21" i="31" s="1"/>
  <c r="I1" i="73"/>
  <c r="B39" i="1" s="1"/>
  <c r="B13" i="70"/>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35" i="67"/>
  <c r="L47" i="67"/>
  <c r="F13" i="67"/>
  <c r="F37" i="67"/>
  <c r="F8" i="15"/>
  <c r="D10" i="69"/>
  <c r="F36" i="67"/>
  <c r="M21" i="67"/>
  <c r="F16" i="67"/>
  <c r="F7" i="67"/>
  <c r="M23" i="67"/>
  <c r="F26" i="15"/>
  <c r="M23" i="15"/>
  <c r="F9" i="15"/>
  <c r="M8" i="15"/>
  <c r="F40" i="15"/>
  <c r="F6" i="15"/>
  <c r="F27" i="81"/>
  <c r="L47" i="15"/>
  <c r="M8" i="67"/>
  <c r="M28" i="67"/>
  <c r="F43" i="67"/>
  <c r="F38" i="67"/>
  <c r="F36" i="15"/>
  <c r="M26" i="15"/>
  <c r="C16" i="86"/>
  <c r="G1" i="73"/>
  <c r="F13" i="86"/>
  <c r="C36" i="81"/>
  <c r="F13" i="15"/>
  <c r="F41" i="67"/>
  <c r="L48" i="67"/>
  <c r="M22" i="67"/>
  <c r="F26" i="67"/>
  <c r="M24" i="67"/>
  <c r="D9" i="69"/>
  <c r="M22" i="15"/>
  <c r="F9" i="67"/>
  <c r="F8" i="67"/>
  <c r="M6" i="67"/>
  <c r="J15" i="67"/>
  <c r="M28" i="15"/>
  <c r="F6" i="67"/>
  <c r="M26" i="67"/>
  <c r="F40" i="67"/>
  <c r="M29" i="67"/>
  <c r="F27" i="69"/>
  <c r="M9" i="67"/>
  <c r="M6" i="15"/>
  <c r="J15" i="15"/>
  <c r="F37" i="15"/>
  <c r="M24" i="15"/>
  <c r="F42" i="67"/>
  <c r="F16" i="15"/>
  <c r="C76" i="15"/>
  <c r="M9" i="15"/>
  <c r="C36" i="69"/>
  <c r="M27" i="67"/>
  <c r="F13" i="84"/>
  <c r="F42" i="15"/>
  <c r="F38" i="15"/>
  <c r="C76" i="67"/>
  <c r="C34" i="69"/>
  <c r="C16" i="84"/>
  <c r="D9" i="81"/>
  <c r="L48" i="15"/>
  <c r="M27" i="15"/>
  <c r="M47" i="88" l="1"/>
  <c r="M47" i="87"/>
  <c r="J51" i="86"/>
  <c r="J51" i="84"/>
  <c r="J51" i="15"/>
  <c r="Q73" i="84"/>
  <c r="Q60" i="84"/>
  <c r="Q73" i="86"/>
  <c r="Q60" i="86"/>
  <c r="W19" i="33"/>
  <c r="W15" i="33"/>
  <c r="W23" i="33"/>
  <c r="AA23" i="33"/>
  <c r="AB27" i="33"/>
  <c r="U27" i="33"/>
  <c r="AC27" i="33"/>
  <c r="AA43" i="33"/>
  <c r="S43" i="33"/>
  <c r="AB36" i="33"/>
  <c r="S36" i="33"/>
  <c r="AA36" i="33"/>
  <c r="W36" i="33"/>
  <c r="AC36" i="33"/>
  <c r="M11" i="86"/>
  <c r="J10" i="86" s="1"/>
  <c r="J5" i="86" s="1"/>
  <c r="F11" i="86"/>
  <c r="BA5" i="3"/>
  <c r="E14" i="6"/>
  <c r="E63" i="39" s="1"/>
  <c r="M11" i="84"/>
  <c r="J10" i="84" s="1"/>
  <c r="J5" i="84" s="1"/>
  <c r="F11" i="84"/>
  <c r="E13" i="6"/>
  <c r="E58" i="40" s="1"/>
  <c r="C27" i="15"/>
  <c r="F64" i="15"/>
  <c r="F66" i="15"/>
  <c r="F68" i="15"/>
  <c r="Q71" i="15"/>
  <c r="M59" i="15"/>
  <c r="L58" i="15"/>
  <c r="Q73" i="15" s="1"/>
  <c r="L59" i="15"/>
  <c r="Q61" i="15" s="1"/>
  <c r="N59" i="15"/>
  <c r="F65" i="15"/>
  <c r="F51" i="15"/>
  <c r="I54" i="15"/>
  <c r="J57" i="15"/>
  <c r="J55" i="15" s="1"/>
  <c r="J58" i="15" s="1"/>
  <c r="Q50" i="15" s="1"/>
  <c r="J53" i="15"/>
  <c r="F1" i="15" s="1"/>
  <c r="F45" i="81"/>
  <c r="C29" i="81"/>
  <c r="D27" i="81" s="1"/>
  <c r="C47" i="81"/>
  <c r="D45" i="81" s="1"/>
  <c r="C9" i="81"/>
  <c r="Q71" i="67"/>
  <c r="F69" i="67"/>
  <c r="F51" i="67"/>
  <c r="C27" i="67"/>
  <c r="F71" i="67"/>
  <c r="C6" i="67"/>
  <c r="F66" i="67"/>
  <c r="F64" i="67"/>
  <c r="J20" i="67"/>
  <c r="C34" i="67"/>
  <c r="F63" i="67"/>
  <c r="C62" i="67" s="1"/>
  <c r="L58" i="67"/>
  <c r="Q73" i="67" s="1"/>
  <c r="F50" i="67"/>
  <c r="M7" i="67"/>
  <c r="J6" i="67" s="1"/>
  <c r="F68" i="67"/>
  <c r="F65" i="67"/>
  <c r="C9" i="69"/>
  <c r="D19" i="69"/>
  <c r="D37" i="69" s="1"/>
  <c r="C37" i="69" s="1"/>
  <c r="C10" i="69"/>
  <c r="F45" i="69"/>
  <c r="C29" i="69"/>
  <c r="D27" i="69" s="1"/>
  <c r="C47" i="69"/>
  <c r="D45" i="69" s="1"/>
  <c r="C38" i="69"/>
  <c r="C33" i="69"/>
  <c r="C39" i="69" s="1"/>
  <c r="C46" i="69" s="1"/>
  <c r="C45" i="69" s="1"/>
  <c r="C35" i="69"/>
  <c r="E15" i="6"/>
  <c r="E64" i="39" s="1"/>
  <c r="E10" i="6"/>
  <c r="F50" i="43"/>
  <c r="H58" i="43" s="1"/>
  <c r="F61" i="43"/>
  <c r="G21" i="43"/>
  <c r="C20" i="43" s="1"/>
  <c r="C5" i="43" s="1"/>
  <c r="G21" i="80"/>
  <c r="C20" i="80" s="1"/>
  <c r="C5" i="80" s="1"/>
  <c r="H54" i="43"/>
  <c r="H53" i="43"/>
  <c r="H55" i="43"/>
  <c r="H50" i="43"/>
  <c r="H51" i="43"/>
  <c r="H62" i="80"/>
  <c r="H67" i="80"/>
  <c r="H66" i="80"/>
  <c r="H65" i="80"/>
  <c r="H61" i="80"/>
  <c r="H69" i="80"/>
  <c r="H68" i="80"/>
  <c r="H64" i="80"/>
  <c r="H63" i="80"/>
  <c r="F34" i="11"/>
  <c r="F11" i="12"/>
  <c r="C23" i="12" s="1"/>
  <c r="F34" i="68"/>
  <c r="I3" i="6"/>
  <c r="C15" i="12"/>
  <c r="E57" i="40"/>
  <c r="E61" i="39"/>
  <c r="E11" i="6"/>
  <c r="E59" i="40"/>
  <c r="AY6" i="3"/>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D14" i="12"/>
  <c r="D3" i="33"/>
  <c r="D3" i="21"/>
  <c r="B3" i="21" s="1"/>
  <c r="D3" i="34"/>
  <c r="B3" i="34" s="1"/>
  <c r="C17" i="4"/>
  <c r="B4" i="52" s="1"/>
  <c r="B43" i="72" s="1"/>
  <c r="D3" i="37"/>
  <c r="B3" i="37" s="1"/>
  <c r="D37" i="11"/>
  <c r="E6" i="6"/>
  <c r="D19" i="11"/>
  <c r="C19" i="11" s="1"/>
  <c r="F27" i="6"/>
  <c r="F31" i="6" s="1"/>
  <c r="E51" i="40"/>
  <c r="E56" i="39"/>
  <c r="K6" i="1"/>
  <c r="B1" i="74"/>
  <c r="G23" i="80"/>
  <c r="C7" i="37"/>
  <c r="C52" i="37" s="1"/>
  <c r="C7" i="36"/>
  <c r="C46" i="36" s="1"/>
  <c r="C7" i="35"/>
  <c r="C48" i="35" s="1"/>
  <c r="J51" i="67"/>
  <c r="C7" i="33"/>
  <c r="C58" i="33" s="1"/>
  <c r="M47" i="9"/>
  <c r="C42" i="1"/>
  <c r="C32" i="86" s="1"/>
  <c r="C7" i="39"/>
  <c r="C67" i="39" s="1"/>
  <c r="G23" i="43"/>
  <c r="C7" i="34"/>
  <c r="C59" i="34" s="1"/>
  <c r="C7" i="21"/>
  <c r="C58" i="21" s="1"/>
  <c r="C7" i="40"/>
  <c r="C63" i="40" s="1"/>
  <c r="B40" i="1"/>
  <c r="F24" i="86" s="1"/>
  <c r="D11" i="49"/>
  <c r="E4" i="4"/>
  <c r="B5" i="62" s="1"/>
  <c r="B73" i="72" s="1"/>
  <c r="L56" i="15"/>
  <c r="M11" i="15"/>
  <c r="J10" i="15" s="1"/>
  <c r="F11" i="15"/>
  <c r="M11" i="67"/>
  <c r="J10" i="67" s="1"/>
  <c r="F11" i="67"/>
  <c r="C53" i="67" s="1"/>
  <c r="D8" i="49"/>
  <c r="C4" i="4"/>
  <c r="C17" i="67"/>
  <c r="C16" i="67"/>
  <c r="F43" i="15"/>
  <c r="C14" i="67"/>
  <c r="F7" i="15"/>
  <c r="M29" i="15"/>
  <c r="J18" i="67" l="1"/>
  <c r="C33" i="84"/>
  <c r="J57" i="86"/>
  <c r="J55" i="86" s="1"/>
  <c r="J58" i="86" s="1"/>
  <c r="Q50" i="86" s="1"/>
  <c r="J53" i="86"/>
  <c r="M59" i="86"/>
  <c r="L59" i="86"/>
  <c r="N59" i="86"/>
  <c r="I54" i="86"/>
  <c r="L57" i="86"/>
  <c r="L56" i="86"/>
  <c r="L60" i="86"/>
  <c r="C28" i="86"/>
  <c r="C48" i="85"/>
  <c r="C30" i="85"/>
  <c r="C28" i="84"/>
  <c r="C77" i="88"/>
  <c r="C74" i="88" s="1"/>
  <c r="C77" i="87"/>
  <c r="C74" i="87" s="1"/>
  <c r="J18" i="84"/>
  <c r="J18" i="86"/>
  <c r="N59" i="84"/>
  <c r="J57" i="84"/>
  <c r="J55" i="84" s="1"/>
  <c r="J58" i="84" s="1"/>
  <c r="Q50" i="84" s="1"/>
  <c r="J53" i="84"/>
  <c r="M59" i="84"/>
  <c r="I54" i="84"/>
  <c r="L59" i="84"/>
  <c r="L57" i="84"/>
  <c r="L60" i="84"/>
  <c r="L56" i="84"/>
  <c r="C32" i="84"/>
  <c r="C33" i="86"/>
  <c r="C61" i="86"/>
  <c r="C33" i="67"/>
  <c r="J19" i="84"/>
  <c r="J19" i="86"/>
  <c r="C61" i="84"/>
  <c r="C15" i="67"/>
  <c r="C18" i="67"/>
  <c r="C19" i="67"/>
  <c r="C24" i="86"/>
  <c r="C53" i="86"/>
  <c r="C48" i="86" s="1"/>
  <c r="C10" i="86"/>
  <c r="C5" i="86" s="1"/>
  <c r="J24" i="86"/>
  <c r="J26" i="86"/>
  <c r="E16" i="6"/>
  <c r="F24" i="84"/>
  <c r="C24" i="84" s="1"/>
  <c r="F22" i="85"/>
  <c r="D5" i="80"/>
  <c r="C53" i="84"/>
  <c r="C48" i="84" s="1"/>
  <c r="C10" i="84"/>
  <c r="C5" i="84" s="1"/>
  <c r="J24" i="84"/>
  <c r="J26" i="84"/>
  <c r="Q60" i="67"/>
  <c r="E62" i="39"/>
  <c r="E56" i="40"/>
  <c r="E60" i="39"/>
  <c r="Q52" i="15"/>
  <c r="Q60" i="15"/>
  <c r="H57" i="43"/>
  <c r="H52" i="43"/>
  <c r="H56" i="43"/>
  <c r="D5" i="43"/>
  <c r="C8" i="69"/>
  <c r="C49" i="67"/>
  <c r="C61" i="67" s="1"/>
  <c r="C32" i="67"/>
  <c r="C31" i="67" s="1"/>
  <c r="Q74" i="15"/>
  <c r="J19" i="67"/>
  <c r="J17" i="67" s="1"/>
  <c r="J5" i="67"/>
  <c r="J26" i="67" s="1"/>
  <c r="J29" i="67" s="1"/>
  <c r="E27" i="6"/>
  <c r="C37" i="11"/>
  <c r="F71" i="15"/>
  <c r="C6" i="15"/>
  <c r="C10" i="15" s="1"/>
  <c r="F50" i="15"/>
  <c r="C49" i="15" s="1"/>
  <c r="C61" i="15" s="1"/>
  <c r="M7" i="15"/>
  <c r="J6" i="15" s="1"/>
  <c r="G16" i="1"/>
  <c r="F10" i="40" s="1"/>
  <c r="H64" i="43"/>
  <c r="H66" i="43"/>
  <c r="H61" i="43"/>
  <c r="H67" i="43"/>
  <c r="H63" i="43"/>
  <c r="H65" i="43"/>
  <c r="H69" i="43"/>
  <c r="H62" i="43"/>
  <c r="H68" i="43"/>
  <c r="H6" i="3"/>
  <c r="AC6" i="3"/>
  <c r="D10" i="11"/>
  <c r="C10" i="11" s="1"/>
  <c r="D20" i="12"/>
  <c r="C20" i="12" s="1"/>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C20" i="11"/>
  <c r="M6" i="1"/>
  <c r="H16" i="1"/>
  <c r="Q16" i="1"/>
  <c r="K16" i="1"/>
  <c r="B29" i="1" s="1"/>
  <c r="D17" i="12"/>
  <c r="C17" i="12" s="1"/>
  <c r="C14" i="12"/>
  <c r="O23" i="43"/>
  <c r="A1" i="79"/>
  <c r="P29" i="43"/>
  <c r="C23" i="43"/>
  <c r="P26" i="43"/>
  <c r="P25" i="43"/>
  <c r="P27" i="43"/>
  <c r="B70" i="39" s="1"/>
  <c r="P28" i="43"/>
  <c r="B66" i="40" s="1"/>
  <c r="M24" i="43"/>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F7" i="21"/>
  <c r="J7" i="21"/>
  <c r="C48" i="69"/>
  <c r="C48" i="81"/>
  <c r="C30" i="81"/>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M24" i="80"/>
  <c r="C23" i="80"/>
  <c r="P27" i="80"/>
  <c r="P29" i="80"/>
  <c r="P28" i="80"/>
  <c r="P25" i="80"/>
  <c r="P26" i="80"/>
  <c r="D59" i="34"/>
  <c r="E59" i="34" s="1"/>
  <c r="F59" i="34" s="1"/>
  <c r="G59" i="34" s="1"/>
  <c r="H59" i="34" s="1"/>
  <c r="I59" i="34" s="1"/>
  <c r="J59" i="34" s="1"/>
  <c r="K59" i="34" s="1"/>
  <c r="L59" i="34" s="1"/>
  <c r="M59" i="34" s="1"/>
  <c r="N59" i="34" s="1"/>
  <c r="O59" i="34" s="1"/>
  <c r="H7" i="34"/>
  <c r="F7" i="34"/>
  <c r="D48" i="35"/>
  <c r="E48" i="35" s="1"/>
  <c r="F48" i="35" s="1"/>
  <c r="G48" i="35" s="1"/>
  <c r="H48" i="35" s="1"/>
  <c r="I48" i="35" s="1"/>
  <c r="J48" i="35" s="1"/>
  <c r="K48" i="35" s="1"/>
  <c r="L48" i="35" s="1"/>
  <c r="M48" i="35" s="1"/>
  <c r="N48" i="35" s="1"/>
  <c r="O48" i="35" s="1"/>
  <c r="C10" i="67"/>
  <c r="C5" i="67" s="1"/>
  <c r="C20" i="67"/>
  <c r="C26" i="67" s="1"/>
  <c r="K4" i="4"/>
  <c r="B46" i="48" s="1"/>
  <c r="B4" i="72" s="1"/>
  <c r="B4" i="62"/>
  <c r="B71" i="72" s="1"/>
  <c r="C53" i="15"/>
  <c r="L36" i="80"/>
  <c r="F25" i="12"/>
  <c r="C26" i="12" s="1"/>
  <c r="D25" i="12" s="1"/>
  <c r="F24" i="67"/>
  <c r="C24" i="67" s="1"/>
  <c r="F22" i="69"/>
  <c r="C43" i="69" s="1"/>
  <c r="F24" i="15"/>
  <c r="C24" i="15" s="1"/>
  <c r="F22" i="81"/>
  <c r="F22" i="11"/>
  <c r="L36" i="43"/>
  <c r="F22" i="68"/>
  <c r="C16" i="15"/>
  <c r="C36" i="68"/>
  <c r="Q57" i="84" l="1"/>
  <c r="Q66" i="84"/>
  <c r="Q57" i="86"/>
  <c r="Q66" i="86"/>
  <c r="F1" i="86"/>
  <c r="Q52" i="86"/>
  <c r="Q52" i="84"/>
  <c r="F1" i="84"/>
  <c r="Q74" i="86"/>
  <c r="Q61" i="86"/>
  <c r="F7" i="36"/>
  <c r="AA7" i="36" s="1"/>
  <c r="R36" i="36" s="1"/>
  <c r="Q74" i="84"/>
  <c r="Q61" i="84"/>
  <c r="C38" i="86"/>
  <c r="C66" i="86"/>
  <c r="C60" i="86"/>
  <c r="F41" i="85"/>
  <c r="C26" i="85"/>
  <c r="D22" i="85" s="1"/>
  <c r="C24" i="85"/>
  <c r="C44" i="85"/>
  <c r="D41" i="85" s="1"/>
  <c r="C38" i="84"/>
  <c r="C66" i="84"/>
  <c r="C60" i="84"/>
  <c r="C48" i="67"/>
  <c r="C66" i="67" s="1"/>
  <c r="H10" i="39"/>
  <c r="J10" i="40"/>
  <c r="W10" i="40" s="1"/>
  <c r="J24" i="67"/>
  <c r="H10" i="40"/>
  <c r="AB10" i="40" s="1"/>
  <c r="J10" i="39"/>
  <c r="K21" i="6"/>
  <c r="K22" i="6"/>
  <c r="M22" i="6" s="1"/>
  <c r="I22" i="6" s="1"/>
  <c r="S22" i="6" s="1"/>
  <c r="K20" i="6"/>
  <c r="K19" i="6"/>
  <c r="K25" i="6"/>
  <c r="M25" i="6" s="1"/>
  <c r="I25" i="6" s="1"/>
  <c r="S25" i="6" s="1"/>
  <c r="K26" i="6"/>
  <c r="M26" i="6" s="1"/>
  <c r="I26" i="6" s="1"/>
  <c r="S26" i="6" s="1"/>
  <c r="K24" i="6"/>
  <c r="M24" i="6" s="1"/>
  <c r="I24" i="6" s="1"/>
  <c r="S24" i="6" s="1"/>
  <c r="E31" i="6"/>
  <c r="K23" i="6"/>
  <c r="M23" i="6" s="1"/>
  <c r="I23" i="6" s="1"/>
  <c r="S23" i="6" s="1"/>
  <c r="C48" i="15"/>
  <c r="C66" i="15" s="1"/>
  <c r="F10" i="39"/>
  <c r="C5" i="15"/>
  <c r="C38" i="15" s="1"/>
  <c r="C16" i="12"/>
  <c r="S10" i="40"/>
  <c r="AA10" i="40"/>
  <c r="J19" i="15"/>
  <c r="J18" i="15"/>
  <c r="C32" i="15"/>
  <c r="C33" i="15"/>
  <c r="M16" i="1"/>
  <c r="C34" i="11" s="1"/>
  <c r="C38" i="11" s="1"/>
  <c r="J5" i="15"/>
  <c r="E6" i="3"/>
  <c r="C18" i="12"/>
  <c r="D6" i="6"/>
  <c r="D21" i="6"/>
  <c r="D14" i="6"/>
  <c r="D26" i="6"/>
  <c r="D20" i="6"/>
  <c r="D22" i="6"/>
  <c r="D5" i="6"/>
  <c r="D10" i="6"/>
  <c r="D29" i="6"/>
  <c r="D28" i="6"/>
  <c r="D8" i="6"/>
  <c r="D25" i="6"/>
  <c r="C18" i="4"/>
  <c r="H22" i="6"/>
  <c r="D12" i="6"/>
  <c r="D23" i="6"/>
  <c r="D9" i="6"/>
  <c r="E61" i="40"/>
  <c r="D19" i="6"/>
  <c r="M19" i="9" s="1"/>
  <c r="C118" i="9" s="1"/>
  <c r="D11" i="6"/>
  <c r="D13" i="6"/>
  <c r="D24" i="6"/>
  <c r="D15" i="6"/>
  <c r="F28" i="12"/>
  <c r="C29" i="12" s="1"/>
  <c r="D28" i="12" s="1"/>
  <c r="F27" i="11"/>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AC7" i="21"/>
  <c r="V48" i="21" s="1"/>
  <c r="I48" i="21" s="1"/>
  <c r="W7" i="21"/>
  <c r="E67" i="39"/>
  <c r="D69" i="39"/>
  <c r="F7" i="35"/>
  <c r="AA7" i="21"/>
  <c r="R48" i="21" s="1"/>
  <c r="S7" i="21"/>
  <c r="H7" i="37"/>
  <c r="J7" i="33"/>
  <c r="J7" i="36"/>
  <c r="AB7" i="34"/>
  <c r="T49" i="34" s="1"/>
  <c r="G49" i="34" s="1"/>
  <c r="U7" i="34"/>
  <c r="J7" i="35"/>
  <c r="J7" i="34"/>
  <c r="Q52" i="67"/>
  <c r="F1" i="67"/>
  <c r="U7" i="21"/>
  <c r="AB7" i="21"/>
  <c r="T48" i="21" s="1"/>
  <c r="G48" i="21" s="1"/>
  <c r="J7" i="37"/>
  <c r="H7" i="33"/>
  <c r="D65" i="40"/>
  <c r="E63" i="40"/>
  <c r="H7" i="35"/>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81"/>
  <c r="D22" i="81" s="1"/>
  <c r="C24" i="81"/>
  <c r="C44" i="81"/>
  <c r="D41" i="81" s="1"/>
  <c r="C38" i="67"/>
  <c r="C44" i="68"/>
  <c r="D41" i="68" s="1"/>
  <c r="C26" i="68"/>
  <c r="D22" i="68" s="1"/>
  <c r="F41" i="68"/>
  <c r="C23" i="67"/>
  <c r="C29" i="67" s="1"/>
  <c r="L37" i="43"/>
  <c r="P36" i="43"/>
  <c r="M36" i="43"/>
  <c r="N36" i="43"/>
  <c r="O36" i="43"/>
  <c r="Q36" i="43"/>
  <c r="P36" i="80"/>
  <c r="L37" i="80"/>
  <c r="N36" i="80"/>
  <c r="O36" i="80"/>
  <c r="M36" i="80"/>
  <c r="Q36" i="80"/>
  <c r="C44" i="11"/>
  <c r="D41" i="11" s="1"/>
  <c r="C25" i="11"/>
  <c r="C26" i="11"/>
  <c r="D22" i="11" s="1"/>
  <c r="C24" i="11"/>
  <c r="C23" i="11"/>
  <c r="C26" i="69"/>
  <c r="D22" i="69" s="1"/>
  <c r="C24" i="69"/>
  <c r="F41" i="69"/>
  <c r="C44" i="69"/>
  <c r="D41" i="69" s="1"/>
  <c r="C42" i="69"/>
  <c r="C41" i="69" s="1"/>
  <c r="AE6" i="1"/>
  <c r="AE8" i="1"/>
  <c r="F27" i="68"/>
  <c r="AE7" i="1"/>
  <c r="S7" i="36" l="1"/>
  <c r="C60" i="67"/>
  <c r="C59" i="67" s="1"/>
  <c r="H23" i="6"/>
  <c r="U10" i="40"/>
  <c r="AC10" i="40"/>
  <c r="AB10" i="39"/>
  <c r="U10" i="39"/>
  <c r="M21" i="6"/>
  <c r="I21" i="6" s="1"/>
  <c r="S21" i="6" s="1"/>
  <c r="S8" i="1"/>
  <c r="M20" i="6"/>
  <c r="I20" i="6" s="1"/>
  <c r="S20" i="6" s="1"/>
  <c r="S7" i="1"/>
  <c r="N16" i="1"/>
  <c r="H26" i="6"/>
  <c r="H24" i="6"/>
  <c r="R24" i="6" s="1"/>
  <c r="C60" i="15"/>
  <c r="H25" i="6"/>
  <c r="R25" i="6" s="1"/>
  <c r="R23" i="6"/>
  <c r="W10" i="39"/>
  <c r="AC10" i="39"/>
  <c r="M19" i="6"/>
  <c r="S6" i="1"/>
  <c r="K27" i="6"/>
  <c r="D30" i="6"/>
  <c r="AA10" i="39"/>
  <c r="S10" i="39"/>
  <c r="C21" i="12"/>
  <c r="C22" i="12" s="1"/>
  <c r="C30" i="12" s="1"/>
  <c r="C28" i="12" s="1"/>
  <c r="L16" i="1"/>
  <c r="C35" i="11"/>
  <c r="C33" i="11" s="1"/>
  <c r="J24" i="15"/>
  <c r="J26" i="15"/>
  <c r="D16" i="6"/>
  <c r="R26" i="6"/>
  <c r="C19" i="68"/>
  <c r="D27" i="6"/>
  <c r="B2" i="74"/>
  <c r="D7" i="74" s="1"/>
  <c r="C29" i="11"/>
  <c r="D27" i="11" s="1"/>
  <c r="C47" i="11"/>
  <c r="D45" i="11" s="1"/>
  <c r="C28" i="11"/>
  <c r="C27" i="11" s="1"/>
  <c r="C29" i="68"/>
  <c r="D27" i="68" s="1"/>
  <c r="C47" i="68"/>
  <c r="D45" i="68" s="1"/>
  <c r="F45" i="68"/>
  <c r="C4" i="52"/>
  <c r="B45" i="72" s="1"/>
  <c r="A7" i="51"/>
  <c r="B7" i="72" s="1"/>
  <c r="A10" i="51"/>
  <c r="B9" i="72" s="1"/>
  <c r="R22" i="6"/>
  <c r="C22" i="11"/>
  <c r="E38" i="43"/>
  <c r="G38" i="43"/>
  <c r="I38" i="43" s="1"/>
  <c r="W7" i="35"/>
  <c r="AC7" i="35"/>
  <c r="V38" i="35" s="1"/>
  <c r="I38" i="35" s="1"/>
  <c r="R49" i="21"/>
  <c r="E48" i="2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W7" i="36"/>
  <c r="AC7" i="36"/>
  <c r="V36" i="36" s="1"/>
  <c r="I36" i="36" s="1"/>
  <c r="AC7" i="33"/>
  <c r="V48" i="33" s="1"/>
  <c r="I48" i="33" s="1"/>
  <c r="W7" i="33"/>
  <c r="E36" i="36"/>
  <c r="R37" i="36"/>
  <c r="E38" i="80"/>
  <c r="G38" i="80"/>
  <c r="I38" i="80" s="1"/>
  <c r="E41" i="80"/>
  <c r="G41" i="80"/>
  <c r="I41" i="80" s="1"/>
  <c r="S7" i="37"/>
  <c r="AA7" i="37"/>
  <c r="R42" i="37" s="1"/>
  <c r="G54" i="34"/>
  <c r="H54" i="34" s="1"/>
  <c r="G53" i="34"/>
  <c r="H53" i="34" s="1"/>
  <c r="AB7" i="37"/>
  <c r="T42" i="37" s="1"/>
  <c r="G42" i="37" s="1"/>
  <c r="U7" i="37"/>
  <c r="I53" i="21"/>
  <c r="J53" i="21" s="1"/>
  <c r="I52" i="21"/>
  <c r="J52" i="21" s="1"/>
  <c r="E42" i="80"/>
  <c r="G42" i="80"/>
  <c r="I42" i="80" s="1"/>
  <c r="AC7" i="37"/>
  <c r="V42" i="37" s="1"/>
  <c r="I42" i="37" s="1"/>
  <c r="W7" i="37"/>
  <c r="E42" i="43"/>
  <c r="C6" i="85" s="1"/>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Q49" i="67"/>
  <c r="C13" i="67"/>
  <c r="C36" i="67"/>
  <c r="C57" i="67"/>
  <c r="C64" i="67" s="1"/>
  <c r="J14" i="67"/>
  <c r="M37" i="43"/>
  <c r="O37" i="43"/>
  <c r="Q37" i="43"/>
  <c r="N37" i="43"/>
  <c r="P37" i="43"/>
  <c r="C49" i="69"/>
  <c r="M37" i="80"/>
  <c r="O37" i="80"/>
  <c r="N37" i="80"/>
  <c r="Q37" i="80"/>
  <c r="P37" i="80"/>
  <c r="F41" i="84"/>
  <c r="C17" i="86"/>
  <c r="C34" i="81"/>
  <c r="D10" i="85"/>
  <c r="D10" i="81"/>
  <c r="F41" i="86"/>
  <c r="F41" i="15"/>
  <c r="D10" i="68"/>
  <c r="C17" i="84"/>
  <c r="C17" i="15"/>
  <c r="F69" i="84" l="1"/>
  <c r="J29" i="84"/>
  <c r="F69" i="15"/>
  <c r="J29" i="15"/>
  <c r="F69" i="86"/>
  <c r="J29" i="86"/>
  <c r="E7" i="70"/>
  <c r="C6" i="68"/>
  <c r="C10" i="85"/>
  <c r="C8" i="85" s="1"/>
  <c r="D19" i="85"/>
  <c r="D37" i="85" s="1"/>
  <c r="C37" i="85" s="1"/>
  <c r="F50" i="11"/>
  <c r="F50" i="85"/>
  <c r="E8" i="70"/>
  <c r="C7" i="85"/>
  <c r="H20" i="6"/>
  <c r="R20" i="6" s="1"/>
  <c r="R7" i="1" s="1"/>
  <c r="F50" i="69"/>
  <c r="C51" i="69" s="1"/>
  <c r="H21" i="6"/>
  <c r="R21" i="6" s="1"/>
  <c r="R8" i="1" s="1"/>
  <c r="AQ8" i="1"/>
  <c r="AR8" i="1"/>
  <c r="T8" i="1"/>
  <c r="F50" i="81"/>
  <c r="F50" i="68"/>
  <c r="AR7" i="1"/>
  <c r="AQ7" i="1"/>
  <c r="T7" i="1"/>
  <c r="C10" i="81"/>
  <c r="C8" i="81" s="1"/>
  <c r="D19" i="81"/>
  <c r="D37" i="81" s="1"/>
  <c r="C37" i="81" s="1"/>
  <c r="C10" i="68"/>
  <c r="C8" i="68" s="1"/>
  <c r="D19" i="68"/>
  <c r="D37" i="68" s="1"/>
  <c r="C37" i="68" s="1"/>
  <c r="C38" i="81"/>
  <c r="C35" i="81"/>
  <c r="C33" i="81"/>
  <c r="C39" i="81" s="1"/>
  <c r="C46" i="81" s="1"/>
  <c r="C45" i="81" s="1"/>
  <c r="E6" i="70"/>
  <c r="E2" i="70" s="1"/>
  <c r="AR6" i="1"/>
  <c r="T6" i="1"/>
  <c r="S16" i="1"/>
  <c r="AQ6" i="1"/>
  <c r="D31" i="6"/>
  <c r="I6" i="6" s="1"/>
  <c r="I7" i="6" s="1"/>
  <c r="M27" i="6"/>
  <c r="I19" i="6"/>
  <c r="C42" i="11"/>
  <c r="C39" i="11"/>
  <c r="C43" i="11" s="1"/>
  <c r="C31" i="11"/>
  <c r="C24" i="68"/>
  <c r="C27" i="12"/>
  <c r="C25" i="12" s="1"/>
  <c r="C32" i="12" s="1"/>
  <c r="B2" i="12" s="1"/>
  <c r="B3" i="12" s="1"/>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75" i="67"/>
  <c r="C56" i="67"/>
  <c r="C65" i="67" s="1"/>
  <c r="C58" i="67" s="1"/>
  <c r="C67" i="67" s="1"/>
  <c r="C68" i="67" s="1"/>
  <c r="Q70" i="67"/>
  <c r="C37" i="67"/>
  <c r="C30" i="67" s="1"/>
  <c r="C39" i="67" s="1"/>
  <c r="J22" i="67"/>
  <c r="J13" i="67"/>
  <c r="J23" i="67" s="1"/>
  <c r="M21" i="86"/>
  <c r="C14" i="84"/>
  <c r="C14" i="15"/>
  <c r="F35" i="84"/>
  <c r="C34" i="85"/>
  <c r="C34" i="68"/>
  <c r="F35" i="86"/>
  <c r="M21" i="84"/>
  <c r="C14" i="86"/>
  <c r="C15" i="86" l="1"/>
  <c r="C18" i="86"/>
  <c r="J20" i="86"/>
  <c r="J17" i="86" s="1"/>
  <c r="F63" i="86"/>
  <c r="C62" i="86" s="1"/>
  <c r="C59" i="86" s="1"/>
  <c r="C34" i="86"/>
  <c r="C31" i="86" s="1"/>
  <c r="C5" i="85"/>
  <c r="C23" i="85" s="1"/>
  <c r="C18" i="84"/>
  <c r="C15" i="84"/>
  <c r="C35" i="85"/>
  <c r="C38" i="85"/>
  <c r="C34" i="84"/>
  <c r="C31" i="84" s="1"/>
  <c r="F63" i="84"/>
  <c r="C62" i="84" s="1"/>
  <c r="C59" i="84" s="1"/>
  <c r="J20" i="84"/>
  <c r="J17" i="84" s="1"/>
  <c r="I5" i="6"/>
  <c r="C46" i="11"/>
  <c r="C45" i="11" s="1"/>
  <c r="C42" i="81"/>
  <c r="C41" i="81" s="1"/>
  <c r="C49" i="81" s="1"/>
  <c r="C51" i="81" s="1"/>
  <c r="C18" i="15"/>
  <c r="C15" i="15"/>
  <c r="C35" i="68"/>
  <c r="C38" i="68"/>
  <c r="L18" i="9"/>
  <c r="I27" i="6"/>
  <c r="H19" i="6"/>
  <c r="S19" i="6"/>
  <c r="S27" i="6" s="1"/>
  <c r="C43" i="81"/>
  <c r="T16" i="1"/>
  <c r="C41" i="11"/>
  <c r="C49" i="11" s="1"/>
  <c r="C51" i="11" s="1"/>
  <c r="C52" i="11" s="1"/>
  <c r="B2" i="11" s="1"/>
  <c r="B3" i="11" s="1"/>
  <c r="G3" i="43"/>
  <c r="G3" i="80"/>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0" i="67"/>
  <c r="C45" i="67" s="1"/>
  <c r="C46" i="67" s="1"/>
  <c r="Q69" i="67"/>
  <c r="Q68" i="67" s="1"/>
  <c r="C71" i="67"/>
  <c r="C80" i="67"/>
  <c r="C79" i="67" s="1"/>
  <c r="J16" i="67"/>
  <c r="J25" i="67" s="1"/>
  <c r="L51" i="67"/>
  <c r="C19" i="86" l="1"/>
  <c r="C20" i="86" s="1"/>
  <c r="C26" i="86" s="1"/>
  <c r="B2" i="33"/>
  <c r="B3" i="33"/>
  <c r="C19" i="84"/>
  <c r="C20" i="84" s="1"/>
  <c r="C26" i="84" s="1"/>
  <c r="C20" i="85"/>
  <c r="C25" i="85" s="1"/>
  <c r="C22" i="85" s="1"/>
  <c r="C33" i="85"/>
  <c r="C19" i="15"/>
  <c r="C20" i="15" s="1"/>
  <c r="C23" i="15" s="1"/>
  <c r="C33" i="68"/>
  <c r="H27" i="6"/>
  <c r="R19" i="6"/>
  <c r="L19" i="9"/>
  <c r="Z7" i="80"/>
  <c r="G26" i="80"/>
  <c r="F26" i="80"/>
  <c r="H26" i="80"/>
  <c r="E26" i="80"/>
  <c r="J26" i="80"/>
  <c r="B116" i="80"/>
  <c r="J26" i="43"/>
  <c r="E26" i="43"/>
  <c r="B116" i="43"/>
  <c r="N94" i="46"/>
  <c r="G26" i="43"/>
  <c r="N370" i="46"/>
  <c r="H26" i="43"/>
  <c r="Z7" i="43"/>
  <c r="F26" i="43"/>
  <c r="C56" i="11"/>
  <c r="C57" i="11" s="1"/>
  <c r="C28" i="69"/>
  <c r="C27" i="69" s="1"/>
  <c r="C31" i="69" s="1"/>
  <c r="C52" i="69" s="1"/>
  <c r="H69" i="39"/>
  <c r="I67" i="39"/>
  <c r="I63" i="40"/>
  <c r="H65" i="40"/>
  <c r="Q67" i="67"/>
  <c r="Q65" i="67"/>
  <c r="Q75" i="67" s="1"/>
  <c r="Q56" i="67"/>
  <c r="Q62" i="67" s="1"/>
  <c r="C43" i="67"/>
  <c r="D2" i="67"/>
  <c r="Q47" i="67"/>
  <c r="Q53" i="67" s="1"/>
  <c r="C83" i="67"/>
  <c r="C82" i="67" s="1"/>
  <c r="C39" i="68" l="1"/>
  <c r="C43" i="68" s="1"/>
  <c r="C91" i="9"/>
  <c r="C23" i="86"/>
  <c r="C29" i="86" s="1"/>
  <c r="C28" i="85"/>
  <c r="C27" i="85" s="1"/>
  <c r="C31" i="85" s="1"/>
  <c r="C23" i="84"/>
  <c r="C29" i="84" s="1"/>
  <c r="J59" i="84" s="1"/>
  <c r="J60" i="84" s="1"/>
  <c r="C39" i="85"/>
  <c r="C42" i="85"/>
  <c r="C42" i="68"/>
  <c r="C26" i="15"/>
  <c r="C29" i="15" s="1"/>
  <c r="J59" i="15" s="1"/>
  <c r="J60" i="15" s="1"/>
  <c r="Q48" i="15" s="1"/>
  <c r="D26" i="43"/>
  <c r="C25" i="43" s="1"/>
  <c r="C33" i="43" s="1"/>
  <c r="R27" i="6"/>
  <c r="R6" i="1"/>
  <c r="I119" i="43"/>
  <c r="J119" i="43" s="1"/>
  <c r="K119" i="43" s="1"/>
  <c r="L119" i="43" s="1"/>
  <c r="M119" i="43" s="1"/>
  <c r="I121" i="43"/>
  <c r="J121" i="43" s="1"/>
  <c r="K121" i="43" s="1"/>
  <c r="L121" i="43" s="1"/>
  <c r="M121" i="43" s="1"/>
  <c r="B122" i="43"/>
  <c r="C122" i="43" s="1"/>
  <c r="D120" i="43"/>
  <c r="E120" i="43" s="1"/>
  <c r="F120" i="43" s="1"/>
  <c r="G120" i="43" s="1"/>
  <c r="H120" i="43" s="1"/>
  <c r="D121" i="43"/>
  <c r="E121" i="43" s="1"/>
  <c r="F121" i="43" s="1"/>
  <c r="B119" i="43"/>
  <c r="C119" i="43" s="1"/>
  <c r="B118" i="43"/>
  <c r="I120" i="43"/>
  <c r="J120" i="43" s="1"/>
  <c r="K120" i="43" s="1"/>
  <c r="L120" i="43" s="1"/>
  <c r="M120" i="43" s="1"/>
  <c r="D122" i="43"/>
  <c r="E122" i="43" s="1"/>
  <c r="F122" i="43" s="1"/>
  <c r="G122" i="43" s="1"/>
  <c r="H122" i="43" s="1"/>
  <c r="I118" i="43"/>
  <c r="J118" i="43" s="1"/>
  <c r="K118" i="43" s="1"/>
  <c r="L118" i="43" s="1"/>
  <c r="M118" i="43" s="1"/>
  <c r="B120" i="43"/>
  <c r="C120" i="43" s="1"/>
  <c r="G121" i="43"/>
  <c r="H121" i="43" s="1"/>
  <c r="I122" i="43"/>
  <c r="J122" i="43" s="1"/>
  <c r="K122" i="43" s="1"/>
  <c r="L122" i="43" s="1"/>
  <c r="M122" i="43" s="1"/>
  <c r="D118" i="43"/>
  <c r="E118" i="43" s="1"/>
  <c r="F118" i="43" s="1"/>
  <c r="G118" i="43" s="1"/>
  <c r="H118" i="43" s="1"/>
  <c r="B121" i="43"/>
  <c r="C121" i="43" s="1"/>
  <c r="D119" i="43"/>
  <c r="E119" i="43" s="1"/>
  <c r="F119" i="43" s="1"/>
  <c r="G119" i="43" s="1"/>
  <c r="H119" i="43" s="1"/>
  <c r="D26" i="80"/>
  <c r="C25" i="80" s="1"/>
  <c r="C33" i="80" s="1"/>
  <c r="D118" i="80"/>
  <c r="E118" i="80" s="1"/>
  <c r="F118" i="80" s="1"/>
  <c r="G118" i="80" s="1"/>
  <c r="H118" i="80" s="1"/>
  <c r="D119" i="80"/>
  <c r="E119" i="80" s="1"/>
  <c r="F119" i="80" s="1"/>
  <c r="G119" i="80" s="1"/>
  <c r="H119" i="80" s="1"/>
  <c r="D121" i="80"/>
  <c r="E121" i="80" s="1"/>
  <c r="F121" i="80" s="1"/>
  <c r="I119" i="80"/>
  <c r="J119" i="80" s="1"/>
  <c r="K119" i="80" s="1"/>
  <c r="L119" i="80" s="1"/>
  <c r="M119"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L57" i="15"/>
  <c r="L60" i="15" s="1"/>
  <c r="Q66" i="15" s="1"/>
  <c r="J63" i="40"/>
  <c r="I65" i="40"/>
  <c r="I69" i="39"/>
  <c r="J67" i="39"/>
  <c r="B2" i="69"/>
  <c r="C57" i="69"/>
  <c r="C56" i="69" s="1"/>
  <c r="B2" i="67"/>
  <c r="B3" i="67"/>
  <c r="M21" i="15"/>
  <c r="B3" i="69"/>
  <c r="F35" i="15"/>
  <c r="C41" i="68" l="1"/>
  <c r="C46" i="68"/>
  <c r="C45" i="68" s="1"/>
  <c r="C92" i="9"/>
  <c r="C94" i="9"/>
  <c r="C36" i="86"/>
  <c r="C57" i="86"/>
  <c r="C64" i="86" s="1"/>
  <c r="J59" i="86"/>
  <c r="J60" i="86" s="1"/>
  <c r="Q48" i="86" s="1"/>
  <c r="Q49" i="86"/>
  <c r="C13" i="86"/>
  <c r="C75" i="86" s="1"/>
  <c r="J14" i="86"/>
  <c r="J13" i="86" s="1"/>
  <c r="J23" i="86" s="1"/>
  <c r="C57" i="84"/>
  <c r="C64" i="84" s="1"/>
  <c r="C36" i="84"/>
  <c r="C13" i="84"/>
  <c r="Q70" i="84" s="1"/>
  <c r="Q49" i="84"/>
  <c r="J14" i="84"/>
  <c r="J22" i="84" s="1"/>
  <c r="C46" i="85"/>
  <c r="C45" i="85" s="1"/>
  <c r="C43" i="85"/>
  <c r="C41" i="85" s="1"/>
  <c r="Q48" i="84"/>
  <c r="L46" i="84"/>
  <c r="C49" i="68"/>
  <c r="C51" i="68" s="1"/>
  <c r="L46" i="15"/>
  <c r="C36" i="15"/>
  <c r="C13" i="15"/>
  <c r="C56" i="15" s="1"/>
  <c r="C65" i="15" s="1"/>
  <c r="Q49" i="15"/>
  <c r="J14" i="15"/>
  <c r="J22" i="15" s="1"/>
  <c r="C57" i="15"/>
  <c r="C64" i="15" s="1"/>
  <c r="D116" i="80"/>
  <c r="F63" i="15"/>
  <c r="C62" i="15" s="1"/>
  <c r="C59" i="15" s="1"/>
  <c r="C34" i="15"/>
  <c r="C31" i="15" s="1"/>
  <c r="J20" i="15"/>
  <c r="J17" i="15" s="1"/>
  <c r="R16" i="1"/>
  <c r="C34" i="80"/>
  <c r="E34" i="80" s="1"/>
  <c r="C31" i="80" s="1"/>
  <c r="E33" i="80"/>
  <c r="C30" i="80" s="1"/>
  <c r="B2" i="80" s="1"/>
  <c r="B3" i="80" s="1"/>
  <c r="C6" i="81"/>
  <c r="C7" i="81" s="1"/>
  <c r="C5" i="81" s="1"/>
  <c r="E33" i="43"/>
  <c r="C34" i="43"/>
  <c r="E34" i="43" s="1"/>
  <c r="C31" i="43" s="1"/>
  <c r="C118" i="43"/>
  <c r="D116" i="43" s="1"/>
  <c r="Q57" i="15"/>
  <c r="J69" i="39"/>
  <c r="K67" i="39"/>
  <c r="K63" i="40"/>
  <c r="J65" i="40"/>
  <c r="C56" i="86" l="1"/>
  <c r="C65" i="86" s="1"/>
  <c r="C58" i="86" s="1"/>
  <c r="C67" i="86" s="1"/>
  <c r="C68" i="86" s="1"/>
  <c r="C71" i="86" s="1"/>
  <c r="Q70" i="86"/>
  <c r="C37" i="86"/>
  <c r="C30" i="86" s="1"/>
  <c r="C39" i="86" s="1"/>
  <c r="C40" i="86" s="1"/>
  <c r="J22" i="86"/>
  <c r="J16" i="86" s="1"/>
  <c r="J25" i="86" s="1"/>
  <c r="L46" i="86"/>
  <c r="J13" i="84"/>
  <c r="J23" i="84" s="1"/>
  <c r="J16" i="84" s="1"/>
  <c r="J25" i="84" s="1"/>
  <c r="C37" i="84"/>
  <c r="C30" i="84" s="1"/>
  <c r="C39" i="84" s="1"/>
  <c r="C40" i="84" s="1"/>
  <c r="C56" i="84"/>
  <c r="C65" i="84" s="1"/>
  <c r="C58" i="84" s="1"/>
  <c r="C67" i="84" s="1"/>
  <c r="C68" i="84" s="1"/>
  <c r="C71" i="84" s="1"/>
  <c r="C75" i="84"/>
  <c r="C49" i="85"/>
  <c r="C51" i="85" s="1"/>
  <c r="C52" i="85" s="1"/>
  <c r="B2" i="85" s="1"/>
  <c r="C37" i="15"/>
  <c r="C30" i="15" s="1"/>
  <c r="C39" i="15" s="1"/>
  <c r="Q69" i="15" s="1"/>
  <c r="J13" i="15"/>
  <c r="J23" i="15" s="1"/>
  <c r="J16" i="15" s="1"/>
  <c r="J25" i="15" s="1"/>
  <c r="C75" i="15"/>
  <c r="Q70" i="15"/>
  <c r="C58" i="15"/>
  <c r="C67" i="15" s="1"/>
  <c r="C68" i="15" s="1"/>
  <c r="C71" i="15" s="1"/>
  <c r="C30" i="43"/>
  <c r="C23" i="81"/>
  <c r="C22" i="81" s="1"/>
  <c r="C20" i="81"/>
  <c r="C25" i="81" s="1"/>
  <c r="K65" i="40"/>
  <c r="L63" i="40"/>
  <c r="K69" i="39"/>
  <c r="L67" i="39"/>
  <c r="L51" i="86"/>
  <c r="B3" i="85"/>
  <c r="E6" i="76"/>
  <c r="Q69" i="86" l="1"/>
  <c r="Q68" i="86" s="1"/>
  <c r="Q67" i="86"/>
  <c r="C80" i="86"/>
  <c r="C79" i="86" s="1"/>
  <c r="Q56" i="86"/>
  <c r="Q62" i="86" s="1"/>
  <c r="B2" i="86"/>
  <c r="Q65" i="86"/>
  <c r="Q75" i="86" s="1"/>
  <c r="C83" i="86"/>
  <c r="C82" i="86" s="1"/>
  <c r="C43" i="86"/>
  <c r="Q47" i="86"/>
  <c r="Q53" i="86" s="1"/>
  <c r="C46" i="86"/>
  <c r="C46" i="84"/>
  <c r="Q69" i="84"/>
  <c r="Q68" i="84" s="1"/>
  <c r="C80" i="84"/>
  <c r="C79" i="84" s="1"/>
  <c r="B2" i="84"/>
  <c r="Q56" i="84"/>
  <c r="Q62" i="84" s="1"/>
  <c r="Q65" i="84"/>
  <c r="Q75" i="84" s="1"/>
  <c r="C43" i="84"/>
  <c r="Q47" i="84"/>
  <c r="Q53" i="84" s="1"/>
  <c r="C83" i="84"/>
  <c r="C82" i="84" s="1"/>
  <c r="C57" i="85"/>
  <c r="C56" i="85" s="1"/>
  <c r="Q68" i="15"/>
  <c r="C40" i="15"/>
  <c r="B2" i="15" s="1"/>
  <c r="C80" i="15"/>
  <c r="C79" i="15" s="1"/>
  <c r="E2" i="76"/>
  <c r="B2" i="43"/>
  <c r="C7" i="68" s="1"/>
  <c r="C5" i="68" s="1"/>
  <c r="C28" i="81"/>
  <c r="C27" i="81" s="1"/>
  <c r="C31" i="81" s="1"/>
  <c r="C52" i="81" s="1"/>
  <c r="L69" i="39"/>
  <c r="M67" i="39"/>
  <c r="L65" i="40"/>
  <c r="M63" i="40"/>
  <c r="AO6" i="1"/>
  <c r="L51" i="15"/>
  <c r="D19" i="87"/>
  <c r="D19" i="88"/>
  <c r="B6" i="76"/>
  <c r="L51" i="84"/>
  <c r="AO8" i="1"/>
  <c r="AO7" i="1"/>
  <c r="D19" i="9"/>
  <c r="Q67" i="84" l="1"/>
  <c r="Q67" i="15"/>
  <c r="D102" i="88"/>
  <c r="D21" i="88"/>
  <c r="B3" i="86"/>
  <c r="D102" i="87"/>
  <c r="D21" i="87"/>
  <c r="B7" i="70"/>
  <c r="B8" i="70"/>
  <c r="B3" i="84"/>
  <c r="Q56" i="15"/>
  <c r="Q62" i="15" s="1"/>
  <c r="C43" i="15"/>
  <c r="Q65" i="15"/>
  <c r="Q75" i="15" s="1"/>
  <c r="Q47" i="15"/>
  <c r="Q53" i="15" s="1"/>
  <c r="C83" i="15"/>
  <c r="C82" i="15" s="1"/>
  <c r="C46" i="15"/>
  <c r="B6" i="70"/>
  <c r="D102" i="9"/>
  <c r="D21" i="9"/>
  <c r="B3" i="15"/>
  <c r="B2" i="76"/>
  <c r="B3" i="76" s="1"/>
  <c r="C23" i="68"/>
  <c r="C20" i="68"/>
  <c r="C25" i="68" s="1"/>
  <c r="B2" i="81"/>
  <c r="C57" i="81"/>
  <c r="C56" i="81" s="1"/>
  <c r="B3" i="43"/>
  <c r="M65" i="40"/>
  <c r="N63" i="40"/>
  <c r="N67" i="39"/>
  <c r="M69" i="39"/>
  <c r="D20" i="9"/>
  <c r="D20" i="87"/>
  <c r="D20" i="88"/>
  <c r="B3" i="81"/>
  <c r="B2" i="70" l="1"/>
  <c r="B3" i="70" s="1"/>
  <c r="D103" i="88"/>
  <c r="D103" i="87"/>
  <c r="D103" i="9"/>
  <c r="C28" i="68"/>
  <c r="C27" i="68" s="1"/>
  <c r="C22" i="68"/>
  <c r="O67" i="39"/>
  <c r="O69" i="39" s="1"/>
  <c r="N69" i="39"/>
  <c r="O63" i="40"/>
  <c r="O65" i="40" s="1"/>
  <c r="N65" i="40"/>
  <c r="C31" i="68" l="1"/>
  <c r="C52" i="68" s="1"/>
  <c r="B2" i="68" s="1"/>
  <c r="F7" i="40"/>
  <c r="J7" i="40"/>
  <c r="H7" i="40"/>
  <c r="J7" i="39"/>
  <c r="H7" i="39"/>
  <c r="F7" i="39"/>
  <c r="C20" i="9"/>
  <c r="C20" i="88"/>
  <c r="C19" i="88"/>
  <c r="C19" i="87"/>
  <c r="C19" i="9"/>
  <c r="B3" i="68"/>
  <c r="G20" i="88" l="1"/>
  <c r="C103" i="88"/>
  <c r="D22" i="88"/>
  <c r="C21" i="88"/>
  <c r="C102" i="88"/>
  <c r="G19" i="88"/>
  <c r="D22" i="87"/>
  <c r="C102" i="87"/>
  <c r="G19" i="87"/>
  <c r="C21" i="87"/>
  <c r="G19" i="9"/>
  <c r="D14" i="74" s="1"/>
  <c r="C21" i="9"/>
  <c r="C102" i="9"/>
  <c r="D22" i="9"/>
  <c r="C103" i="9"/>
  <c r="G20" i="9"/>
  <c r="C57" i="68"/>
  <c r="AC7" i="39"/>
  <c r="V47" i="39" s="1"/>
  <c r="I47" i="39" s="1"/>
  <c r="W7" i="39"/>
  <c r="AB7" i="40"/>
  <c r="T42" i="40" s="1"/>
  <c r="G42" i="40" s="1"/>
  <c r="U7" i="40"/>
  <c r="S7" i="39"/>
  <c r="AA7" i="39"/>
  <c r="R47" i="39" s="1"/>
  <c r="W7" i="40"/>
  <c r="AC7" i="40"/>
  <c r="V42" i="40" s="1"/>
  <c r="I42" i="40" s="1"/>
  <c r="U7" i="39"/>
  <c r="AB7" i="39"/>
  <c r="T47" i="39" s="1"/>
  <c r="G47" i="39" s="1"/>
  <c r="S7" i="40"/>
  <c r="AA7" i="40"/>
  <c r="R42" i="40" s="1"/>
  <c r="D35" i="9"/>
  <c r="C20" i="87"/>
  <c r="D35" i="88"/>
  <c r="D35" i="87"/>
  <c r="C103" i="87" l="1"/>
  <c r="G20" i="87"/>
  <c r="C32" i="88"/>
  <c r="G21" i="88"/>
  <c r="C56" i="68"/>
  <c r="C32" i="87"/>
  <c r="G21" i="87"/>
  <c r="G21" i="9"/>
  <c r="C32" i="9"/>
  <c r="C35" i="9" s="1"/>
  <c r="F118" i="9" s="1"/>
  <c r="G14" i="74"/>
  <c r="F14" i="74"/>
  <c r="E14" i="74"/>
  <c r="G47" i="40"/>
  <c r="H47" i="40" s="1"/>
  <c r="G46" i="40"/>
  <c r="H46" i="40" s="1"/>
  <c r="G51" i="39"/>
  <c r="H51" i="39" s="1"/>
  <c r="G52" i="39"/>
  <c r="H52" i="39" s="1"/>
  <c r="R48" i="39"/>
  <c r="E47" i="39"/>
  <c r="I52" i="39" s="1"/>
  <c r="J52" i="39" s="1"/>
  <c r="E42" i="40"/>
  <c r="R43" i="40"/>
  <c r="I46" i="40"/>
  <c r="J46" i="40" s="1"/>
  <c r="I51" i="39"/>
  <c r="J51" i="39" s="1"/>
  <c r="D34" i="87"/>
  <c r="D34" i="9"/>
  <c r="D34" i="88"/>
  <c r="J14" i="74" l="1"/>
  <c r="C35" i="88"/>
  <c r="F118" i="88" s="1"/>
  <c r="H118" i="88"/>
  <c r="D16" i="74" s="1"/>
  <c r="G16" i="74" s="1"/>
  <c r="C35" i="87"/>
  <c r="F118" i="87" s="1"/>
  <c r="H118" i="87"/>
  <c r="D15" i="74" s="1"/>
  <c r="H118" i="9"/>
  <c r="C104" i="9" s="1"/>
  <c r="C34" i="9"/>
  <c r="D118" i="9" s="1"/>
  <c r="D119" i="9" s="1"/>
  <c r="D5" i="52" s="1"/>
  <c r="B49" i="72" s="1"/>
  <c r="G118" i="9"/>
  <c r="G4" i="52" s="1"/>
  <c r="B52" i="72" s="1"/>
  <c r="F119" i="9"/>
  <c r="F5" i="52" s="1"/>
  <c r="B53" i="72" s="1"/>
  <c r="F4" i="52"/>
  <c r="B51" i="72" s="1"/>
  <c r="C43" i="40"/>
  <c r="C42" i="40"/>
  <c r="E47" i="40"/>
  <c r="F47" i="40" s="1"/>
  <c r="E46" i="40"/>
  <c r="F46" i="40" s="1"/>
  <c r="I47" i="40"/>
  <c r="J47" i="40" s="1"/>
  <c r="E51" i="39"/>
  <c r="F51" i="39" s="1"/>
  <c r="E52" i="39"/>
  <c r="F52" i="39" s="1"/>
  <c r="C48" i="39"/>
  <c r="C47" i="39"/>
  <c r="G15" i="74" l="1"/>
  <c r="D29" i="74"/>
  <c r="D45" i="9"/>
  <c r="M48" i="9" s="1"/>
  <c r="M49" i="9" s="1"/>
  <c r="E16" i="74"/>
  <c r="F16" i="74"/>
  <c r="B6" i="74"/>
  <c r="E6" i="74" s="1"/>
  <c r="F15" i="74"/>
  <c r="E15" i="74"/>
  <c r="B5" i="74"/>
  <c r="D5" i="74" s="1"/>
  <c r="C34" i="88"/>
  <c r="D118" i="88" s="1"/>
  <c r="D119" i="88" s="1"/>
  <c r="C34" i="87"/>
  <c r="D118" i="87" s="1"/>
  <c r="D119" i="87" s="1"/>
  <c r="I118" i="88"/>
  <c r="H101" i="88"/>
  <c r="H119" i="88"/>
  <c r="C104" i="88"/>
  <c r="F119" i="88"/>
  <c r="G118" i="88"/>
  <c r="I118" i="87"/>
  <c r="H119" i="87"/>
  <c r="H101" i="87"/>
  <c r="C104" i="87"/>
  <c r="F119" i="87"/>
  <c r="G118" i="87"/>
  <c r="I118" i="9"/>
  <c r="I4" i="52" s="1"/>
  <c r="H4" i="52"/>
  <c r="D6" i="74"/>
  <c r="H101" i="9"/>
  <c r="H119" i="9"/>
  <c r="H5" i="52" s="1"/>
  <c r="D4" i="52"/>
  <c r="B47" i="72" s="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J15" i="74" l="1"/>
  <c r="G29" i="74"/>
  <c r="M48" i="88"/>
  <c r="D45" i="88"/>
  <c r="H107" i="88"/>
  <c r="E118" i="88"/>
  <c r="C105" i="88"/>
  <c r="H102" i="88"/>
  <c r="M48" i="87"/>
  <c r="D45" i="87"/>
  <c r="H107" i="87"/>
  <c r="E118" i="87"/>
  <c r="C105" i="87"/>
  <c r="H102" i="87"/>
  <c r="C105" i="9"/>
  <c r="E118" i="9"/>
  <c r="E4" i="52" s="1"/>
  <c r="B48" i="72" s="1"/>
  <c r="H102" i="9"/>
  <c r="C5" i="74" s="1"/>
  <c r="D5" i="53"/>
  <c r="B20" i="72" s="1"/>
  <c r="H107" i="9"/>
  <c r="C64" i="9"/>
  <c r="C63" i="9" s="1"/>
  <c r="C67" i="9" s="1"/>
  <c r="C68" i="9" s="1"/>
  <c r="D54" i="9" s="1"/>
  <c r="D52" i="9"/>
  <c r="C93" i="9"/>
  <c r="C86" i="9" s="1"/>
  <c r="D53" i="9"/>
  <c r="C78" i="9"/>
  <c r="C73" i="9" s="1"/>
  <c r="D55" i="9"/>
  <c r="M53" i="9" s="1"/>
  <c r="C72" i="9"/>
  <c r="C85" i="9"/>
  <c r="D48" i="9" l="1"/>
  <c r="M52" i="9" s="1"/>
  <c r="D7" i="53"/>
  <c r="B21" i="72" s="1"/>
  <c r="H108" i="88"/>
  <c r="D122" i="88"/>
  <c r="D123" i="88" s="1"/>
  <c r="M49" i="88"/>
  <c r="C93" i="88"/>
  <c r="C86" i="88" s="1"/>
  <c r="C78" i="88"/>
  <c r="C73" i="88" s="1"/>
  <c r="D55" i="88"/>
  <c r="M53" i="88" s="1"/>
  <c r="C72" i="88"/>
  <c r="C64" i="88"/>
  <c r="C63" i="88" s="1"/>
  <c r="C67" i="88" s="1"/>
  <c r="C68" i="88" s="1"/>
  <c r="D54" i="88" s="1"/>
  <c r="D53" i="88"/>
  <c r="D48" i="88" s="1"/>
  <c r="M52" i="88" s="1"/>
  <c r="C85" i="88"/>
  <c r="D52" i="88"/>
  <c r="H108" i="9"/>
  <c r="C6" i="74" s="1"/>
  <c r="H108" i="87"/>
  <c r="D122" i="87"/>
  <c r="D123" i="87" s="1"/>
  <c r="M49" i="87"/>
  <c r="C93" i="87"/>
  <c r="C86" i="87" s="1"/>
  <c r="D55" i="87"/>
  <c r="M53" i="87" s="1"/>
  <c r="C72" i="87"/>
  <c r="C64" i="87"/>
  <c r="C63" i="87" s="1"/>
  <c r="C67" i="87" s="1"/>
  <c r="C68" i="87" s="1"/>
  <c r="D54" i="87" s="1"/>
  <c r="D53" i="87"/>
  <c r="D48" i="87" s="1"/>
  <c r="M52" i="87" s="1"/>
  <c r="C85" i="87"/>
  <c r="C78" i="87"/>
  <c r="C73" i="87" s="1"/>
  <c r="D52" i="87"/>
  <c r="D6" i="53"/>
  <c r="B22" i="72" s="1"/>
  <c r="D122" i="9"/>
  <c r="D8" i="52" s="1"/>
  <c r="L63" i="9"/>
  <c r="M63" i="9" s="1"/>
  <c r="D13" i="53"/>
  <c r="B30" i="72" s="1"/>
  <c r="D15" i="53"/>
  <c r="B31" i="72" s="1"/>
  <c r="C79" i="9"/>
  <c r="C80" i="9" s="1"/>
  <c r="E80" i="9" s="1"/>
  <c r="E81" i="9" s="1"/>
  <c r="C95" i="9"/>
  <c r="C96" i="9" s="1"/>
  <c r="E96" i="9" s="1"/>
  <c r="E97" i="9" s="1"/>
  <c r="C79" i="88" l="1"/>
  <c r="C95" i="88"/>
  <c r="C80" i="88"/>
  <c r="E80" i="88" s="1"/>
  <c r="E81" i="88" s="1"/>
  <c r="L66" i="88"/>
  <c r="M66" i="88" s="1"/>
  <c r="L64" i="88"/>
  <c r="M64" i="88" s="1"/>
  <c r="L63" i="88"/>
  <c r="M63" i="88" s="1"/>
  <c r="L68" i="88"/>
  <c r="M68" i="88" s="1"/>
  <c r="L67" i="88"/>
  <c r="M67" i="88" s="1"/>
  <c r="L65" i="88"/>
  <c r="M65" i="88" s="1"/>
  <c r="C96" i="88"/>
  <c r="E96" i="88" s="1"/>
  <c r="E97" i="88" s="1"/>
  <c r="L66" i="87"/>
  <c r="M66" i="87" s="1"/>
  <c r="L64" i="87"/>
  <c r="M64" i="87" s="1"/>
  <c r="L63" i="87"/>
  <c r="M63" i="87" s="1"/>
  <c r="L68" i="87"/>
  <c r="M68" i="87" s="1"/>
  <c r="L67" i="87"/>
  <c r="M67" i="87" s="1"/>
  <c r="L65" i="87"/>
  <c r="M65" i="87" s="1"/>
  <c r="C79" i="87"/>
  <c r="C95" i="87"/>
  <c r="D123" i="9"/>
  <c r="D9" i="52" s="1"/>
  <c r="L65" i="9"/>
  <c r="M65" i="9" s="1"/>
  <c r="L68" i="9"/>
  <c r="M68" i="9" s="1"/>
  <c r="L64" i="9"/>
  <c r="M64" i="9" s="1"/>
  <c r="L67" i="9"/>
  <c r="M67" i="9" s="1"/>
  <c r="L66" i="9"/>
  <c r="M66" i="9" s="1"/>
  <c r="D14" i="53"/>
  <c r="B32" i="72" s="1"/>
  <c r="C81" i="9"/>
  <c r="C97" i="9"/>
  <c r="D58" i="9" s="1"/>
  <c r="D56" i="9" s="1"/>
  <c r="M54" i="9" s="1"/>
  <c r="N57" i="9" s="1"/>
  <c r="N59" i="9" s="1"/>
  <c r="N60" i="9" l="1"/>
  <c r="I14" i="74"/>
  <c r="C81" i="88"/>
  <c r="C97" i="88"/>
  <c r="D58" i="88" s="1"/>
  <c r="D56" i="88" s="1"/>
  <c r="M54" i="88" s="1"/>
  <c r="N57" i="88" s="1"/>
  <c r="N58" i="88" s="1"/>
  <c r="M69" i="88"/>
  <c r="N69" i="88" s="1"/>
  <c r="M69" i="9"/>
  <c r="N69" i="9" s="1"/>
  <c r="M69" i="87"/>
  <c r="N69" i="87" s="1"/>
  <c r="C96" i="87"/>
  <c r="E96" i="87" s="1"/>
  <c r="E97" i="87" s="1"/>
  <c r="C80" i="87"/>
  <c r="E80" i="87" s="1"/>
  <c r="E81" i="87" s="1"/>
  <c r="P57" i="9"/>
  <c r="H111" i="9"/>
  <c r="J111" i="9" s="1"/>
  <c r="N61" i="9"/>
  <c r="H112" i="9" s="1"/>
  <c r="N58" i="9"/>
  <c r="B8" i="74" l="1"/>
  <c r="I29" i="74"/>
  <c r="E8" i="74"/>
  <c r="D8" i="74"/>
  <c r="N59" i="88"/>
  <c r="N60" i="88" s="1"/>
  <c r="P57" i="88"/>
  <c r="C97" i="87"/>
  <c r="D58" i="87" s="1"/>
  <c r="D56" i="87" s="1"/>
  <c r="M54" i="87" s="1"/>
  <c r="N57" i="87" s="1"/>
  <c r="N59" i="87" s="1"/>
  <c r="C81" i="87"/>
  <c r="D19" i="53"/>
  <c r="B38" i="72" s="1"/>
  <c r="D21" i="53"/>
  <c r="B39" i="72" s="1"/>
  <c r="C8" i="74"/>
  <c r="D126" i="9"/>
  <c r="D127" i="9" s="1"/>
  <c r="D13" i="52" s="1"/>
  <c r="H111" i="88" l="1"/>
  <c r="N61" i="88"/>
  <c r="H112" i="88" s="1"/>
  <c r="N58" i="87"/>
  <c r="P57" i="87"/>
  <c r="J111" i="88"/>
  <c r="D126" i="88"/>
  <c r="D127" i="88" s="1"/>
  <c r="D20" i="53"/>
  <c r="B40" i="72" s="1"/>
  <c r="N61" i="87"/>
  <c r="H112" i="87" s="1"/>
  <c r="H111" i="87"/>
  <c r="N60" i="87"/>
  <c r="D12" i="52"/>
  <c r="D126" i="87" l="1"/>
  <c r="D127" i="87" s="1"/>
  <c r="J111"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A6236BC-107C-44D8-B0C8-6C12E5600C4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994694E-D956-4D15-A341-2E55040F0BB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DE9FE3C-91EE-4A64-B672-11F75B117B1C}">
      <text>
        <r>
          <rPr>
            <sz val="11"/>
            <color indexed="81"/>
            <rFont val="宋体"/>
            <family val="3"/>
            <charset val="134"/>
          </rPr>
          <t>需在下方列示计算过程</t>
        </r>
        <r>
          <rPr>
            <sz val="9"/>
            <color indexed="81"/>
            <rFont val="宋体"/>
            <family val="3"/>
            <charset val="134"/>
          </rPr>
          <t xml:space="preserve">
</t>
        </r>
      </text>
    </comment>
    <comment ref="H75" authorId="2" shapeId="0" xr:uid="{43C0E4E3-C21B-4DA9-96B0-F150B53BA96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A5C0DA-C1A9-4219-80A7-8371B1772E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F1495CB-3DF7-4F4F-84DC-954AD66104E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421BE5A-E946-4F6B-807F-D2AB96CDD57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749DB16-02FF-463E-B58B-BE9078E8D14E}">
      <text>
        <r>
          <rPr>
            <sz val="11"/>
            <color indexed="81"/>
            <rFont val="宋体"/>
            <family val="3"/>
            <charset val="134"/>
          </rPr>
          <t>在建项目均选择“是”</t>
        </r>
      </text>
    </comment>
    <comment ref="F59" authorId="1" shapeId="0" xr:uid="{CA088004-562F-45B8-96E9-818C70A1379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E2B69AD-05E5-43CC-A655-E18EE0170744}">
      <text>
        <r>
          <rPr>
            <sz val="10"/>
            <color indexed="81"/>
            <rFont val="宋体"/>
            <family val="3"/>
            <charset val="134"/>
          </rPr>
          <t xml:space="preserve">在建
</t>
        </r>
      </text>
    </comment>
    <comment ref="N59" authorId="0" shapeId="0" xr:uid="{084015D7-7BFC-4610-A6E5-B8B6D9053932}">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2E16E89-9DD6-44D7-AE6A-DD079C8ED63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25C7379-4998-4AD3-BFAB-53F52990A3D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F163A3D-AA0C-47FF-8A8C-BA62D0BE8308}">
      <text>
        <r>
          <rPr>
            <sz val="11"/>
            <color indexed="81"/>
            <rFont val="宋体"/>
            <family val="3"/>
            <charset val="134"/>
          </rPr>
          <t>需在下方列示计算过程</t>
        </r>
        <r>
          <rPr>
            <sz val="9"/>
            <color indexed="81"/>
            <rFont val="宋体"/>
            <family val="3"/>
            <charset val="134"/>
          </rPr>
          <t xml:space="preserve">
</t>
        </r>
      </text>
    </comment>
    <comment ref="H75" authorId="2" shapeId="0" xr:uid="{D2B30180-E05B-4B39-96D0-CFB40157A1B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7CE33F-B57B-4081-B44E-285890505D1A}">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2BDADD4-B1AB-4EEF-B3BB-046FF7DF69F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221F51-E07D-462F-9841-917869D65F7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7DE0EB-9115-4D7F-9D3D-0922FA30F5E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332CD0-586D-4418-BBF8-3AF184A8AFD1}">
      <text>
        <r>
          <rPr>
            <sz val="11"/>
            <color indexed="81"/>
            <rFont val="宋体"/>
            <family val="3"/>
            <charset val="134"/>
          </rPr>
          <t>在建项目均选择“是”</t>
        </r>
      </text>
    </comment>
    <comment ref="F59" authorId="1" shapeId="0" xr:uid="{64B0A18C-46A6-4DAD-B8F1-DE4D641761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42EAFA0-BF5D-4B8F-AC8C-92BE7C9C66B3}">
      <text>
        <r>
          <rPr>
            <sz val="10"/>
            <color indexed="81"/>
            <rFont val="宋体"/>
            <family val="3"/>
            <charset val="134"/>
          </rPr>
          <t xml:space="preserve">在建
</t>
        </r>
      </text>
    </comment>
    <comment ref="N59" authorId="0" shapeId="0" xr:uid="{AB157506-B36E-450C-B5AC-FEEC5DC66137}">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F9EF750D-BE9B-457F-BA27-5EBD034B128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E5AEF6EB-0F84-4CA3-AD4A-04D784F675A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7534129-61E9-4C33-93E4-8CB11A29822D}">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C2D7A313-E97B-4D0F-9144-375D2066CDF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611EFC81-EEC8-487D-8A5D-23BA07E32A9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23D8D725-15E4-40A8-8251-F87CA39E70B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E66B4222-0098-40FA-8536-2F252E4CC27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sharedStrings.xml><?xml version="1.0" encoding="utf-8"?>
<sst xmlns="http://schemas.openxmlformats.org/spreadsheetml/2006/main" count="10838" uniqueCount="3985">
  <si>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</si>
  <si>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</si>
  <si>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</si>
  <si>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</si>
  <si>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</si>
  <si>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</si>
  <si>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</si>
  <si>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</si>
  <si>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</si>
  <si>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</si>
  <si>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</si>
  <si>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</si>
  <si>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</si>
  <si>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</si>
  <si>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</si>
  <si>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</si>
  <si>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</si>
  <si>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</si>
  <si>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</si>
  <si>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</si>
  <si>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</si>
  <si>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</si>
  <si>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</si>
  <si>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</si>
  <si>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</si>
  <si>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</si>
  <si>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</si>
  <si>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</si>
  <si>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</si>
  <si>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</si>
  <si>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</si>
  <si>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</si>
  <si>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</si>
  <si>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</si>
  <si>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</si>
  <si>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</si>
  <si>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</si>
  <si>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</si>
  <si>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</si>
  <si>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</si>
  <si>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</si>
  <si>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</si>
  <si>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</si>
  <si>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</si>
  <si>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</si>
  <si>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</si>
  <si>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</si>
  <si>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</si>
  <si>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</si>
  <si>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</si>
  <si>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</si>
  <si>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</si>
  <si>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</si>
  <si>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</si>
  <si>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</si>
  <si>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</si>
  <si>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</si>
  <si>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</si>
  <si>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</si>
  <si>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</si>
  <si>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</si>
  <si>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</si>
  <si>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</si>
  <si>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</si>
  <si>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</si>
  <si>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</si>
  <si>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</si>
  <si>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</si>
  <si>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</si>
  <si>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</si>
  <si>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</si>
  <si>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</si>
  <si>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</si>
  <si>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</si>
  <si>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</si>
  <si>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</si>
  <si>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</si>
  <si>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</si>
  <si>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</si>
  <si>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</si>
  <si>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</si>
  <si>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</si>
  <si>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</si>
  <si>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</si>
  <si>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</si>
  <si>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</si>
  <si>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</si>
  <si>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</si>
  <si>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</si>
  <si>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</si>
  <si>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</si>
  <si>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</si>
  <si>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</si>
  <si>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</si>
  <si>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</si>
  <si>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</si>
  <si>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</si>
  <si>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</si>
  <si>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</si>
  <si>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</si>
  <si>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</si>
  <si>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</si>
  <si>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</si>
  <si>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</si>
  <si>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</si>
  <si>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</si>
  <si>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</si>
  <si>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</si>
  <si>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</si>
  <si>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</si>
  <si>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</si>
  <si>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</si>
  <si>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</si>
  <si>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</si>
  <si>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</si>
  <si>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</si>
  <si>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</si>
  <si>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</si>
  <si>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</si>
  <si>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</si>
  <si>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</si>
  <si>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</si>
  <si>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</si>
  <si>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</si>
  <si>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</si>
  <si>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</si>
  <si>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</si>
  <si>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</si>
  <si>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</si>
  <si>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</si>
  <si>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</si>
  <si>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</si>
  <si>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</si>
  <si>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</si>
  <si>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</si>
  <si>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</si>
  <si>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</si>
  <si>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</si>
  <si>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</si>
  <si>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</si>
  <si>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</si>
  <si>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</si>
  <si>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</si>
  <si>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</si>
  <si>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</si>
  <si>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</si>
  <si>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</si>
  <si>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</si>
  <si>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</si>
  <si>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</si>
  <si>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</si>
  <si>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</si>
  <si>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</si>
  <si>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</si>
  <si>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</si>
  <si>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</si>
  <si>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</si>
  <si>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</si>
  <si>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</si>
  <si>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</si>
  <si>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</si>
  <si>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</si>
  <si>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</si>
  <si>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</si>
  <si>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</si>
  <si>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</si>
  <si>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</si>
  <si>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</si>
  <si>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</si>
  <si>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</si>
  <si>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</si>
  <si>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</si>
  <si>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</si>
  <si>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</si>
  <si>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</si>
  <si>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</si>
  <si>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</si>
  <si>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</si>
  <si>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</si>
  <si>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</si>
  <si>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</si>
  <si>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</si>
  <si>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</si>
  <si>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</si>
  <si>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</si>
  <si>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</si>
  <si>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</si>
  <si>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</si>
  <si>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</si>
  <si>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</si>
  <si>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</si>
  <si>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</si>
  <si>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</si>
  <si>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</si>
  <si>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</si>
  <si>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</si>
  <si>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</si>
  <si>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</si>
  <si>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</si>
  <si>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</si>
  <si>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</si>
  <si>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</si>
  <si>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</si>
  <si>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</si>
  <si>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</si>
  <si>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</si>
  <si>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</si>
  <si>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</si>
  <si>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</si>
  <si>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</si>
  <si>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</si>
  <si>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</si>
  <si>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</si>
  <si>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</si>
  <si>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</si>
  <si>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</si>
  <si>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</si>
  <si>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</si>
  <si>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</si>
  <si>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</si>
  <si>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</si>
  <si>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</si>
  <si>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</si>
  <si>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</si>
  <si>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</si>
  <si>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</si>
  <si>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</si>
  <si>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</si>
  <si>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</si>
  <si>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</si>
  <si>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</si>
  <si>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</si>
  <si>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</si>
  <si>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</si>
  <si>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</si>
  <si>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</si>
  <si>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</si>
  <si>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</si>
  <si>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</si>
  <si>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</si>
  <si>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</si>
  <si>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</si>
  <si>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</si>
  <si>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</si>
  <si>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</si>
  <si>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</si>
  <si>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</si>
  <si>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</si>
  <si>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</si>
  <si>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</si>
  <si>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</si>
  <si>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</si>
  <si>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</si>
  <si>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</si>
  <si>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</si>
  <si>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</si>
  <si>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</si>
  <si>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</si>
  <si>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</si>
  <si>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</si>
  <si>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</si>
  <si>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</si>
  <si>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</si>
  <si>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</si>
  <si>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</si>
  <si>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</si>
  <si>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</si>
  <si>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</si>
  <si>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</si>
  <si>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</si>
  <si>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</si>
  <si>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</si>
  <si>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</si>
  <si>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</si>
  <si>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</si>
  <si>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</si>
  <si>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</si>
  <si>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</si>
  <si>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</si>
  <si>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</si>
  <si>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</si>
  <si>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</si>
  <si>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</si>
  <si>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</si>
  <si>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</si>
  <si>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</si>
  <si>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</si>
  <si>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</si>
  <si>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</si>
  <si>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</si>
  <si>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</si>
  <si>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</si>
  <si>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</si>
  <si>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</si>
  <si>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</si>
  <si>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</si>
  <si>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</si>
  <si>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</si>
  <si>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</si>
  <si>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</si>
  <si>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</si>
  <si>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</si>
  <si>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</si>
  <si>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</si>
  <si>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</si>
  <si>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</si>
  <si>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</si>
  <si>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</si>
  <si>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</si>
  <si>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</si>
  <si>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</si>
  <si>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</si>
  <si>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</si>
  <si>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</si>
  <si>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</si>
  <si>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</si>
  <si>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</si>
  <si>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</si>
  <si>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</si>
  <si>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</si>
  <si>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</si>
  <si>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</si>
  <si>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</si>
  <si>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</si>
  <si>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</si>
  <si>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</si>
  <si>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</si>
  <si>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</si>
  <si>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</si>
  <si>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</si>
  <si>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</si>
  <si>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</si>
  <si>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</si>
  <si>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</si>
  <si>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</si>
  <si>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</si>
  <si>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</si>
  <si>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</si>
  <si>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</si>
  <si>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</si>
  <si>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</si>
  <si>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</si>
  <si>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</si>
  <si>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</si>
  <si>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</si>
  <si>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</si>
  <si>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</si>
  <si>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</si>
  <si>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</si>
  <si>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</si>
  <si>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</si>
  <si>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</si>
  <si>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</si>
  <si>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</si>
  <si>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</si>
  <si>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</si>
  <si>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</si>
  <si>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</si>
  <si>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</si>
  <si>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</si>
  <si>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</si>
  <si>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</si>
  <si>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</si>
  <si>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</si>
  <si>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</si>
  <si>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</si>
  <si>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</si>
  <si>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</si>
  <si>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</si>
  <si>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</si>
  <si>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</si>
  <si>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</si>
  <si>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</si>
  <si>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</si>
  <si>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</si>
  <si>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</si>
  <si>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</si>
  <si>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</si>
  <si>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</si>
  <si>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</si>
  <si>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</si>
  <si>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</si>
  <si>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</si>
  <si>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</si>
  <si>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</si>
  <si>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</si>
  <si>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</si>
  <si>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</si>
  <si>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</si>
  <si>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</si>
  <si>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</si>
  <si>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</si>
  <si>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</si>
  <si>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</si>
  <si>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</si>
  <si>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</si>
  <si>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</si>
  <si>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</si>
  <si>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</si>
  <si>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</si>
  <si>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</si>
  <si>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</si>
  <si>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</si>
  <si>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</si>
  <si>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</si>
  <si>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</si>
  <si>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</si>
  <si>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</si>
  <si>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</si>
  <si>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</si>
  <si>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</si>
  <si>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</si>
  <si>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</si>
  <si>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</si>
  <si>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</si>
  <si>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</si>
  <si>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</si>
  <si>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</si>
  <si>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</si>
  <si>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</si>
  <si>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</si>
  <si>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</si>
  <si>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</si>
  <si>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</si>
  <si>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</si>
  <si>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</si>
  <si>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</si>
  <si>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</si>
  <si>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</si>
  <si>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</si>
  <si>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</si>
  <si>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</si>
  <si>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</si>
  <si>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</si>
  <si>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</si>
  <si>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</si>
  <si>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</si>
  <si>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</si>
  <si>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</si>
  <si>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</si>
  <si>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</si>
  <si>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</si>
  <si>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</si>
  <si>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</si>
  <si>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</si>
  <si>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</si>
  <si>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</si>
  <si>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</si>
  <si>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</si>
  <si>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</si>
  <si>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</si>
  <si>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</si>
  <si>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</si>
  <si>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</si>
  <si>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</si>
  <si>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</si>
  <si>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</si>
  <si>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</si>
  <si>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</si>
  <si>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</si>
  <si>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</si>
  <si>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</si>
  <si>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</si>
  <si>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</si>
  <si>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</si>
  <si>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</si>
  <si>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</si>
  <si>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</si>
  <si>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</si>
  <si>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</si>
  <si>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</si>
  <si>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</si>
  <si>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</si>
  <si>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</si>
  <si>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</si>
  <si>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</si>
  <si>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</si>
  <si>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</si>
  <si>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</si>
  <si>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</si>
  <si>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</si>
  <si>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</si>
  <si>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</si>
  <si>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</si>
  <si>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</si>
  <si>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</si>
  <si>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</si>
  <si>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</si>
  <si>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</si>
  <si>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</si>
  <si>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</si>
  <si>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</si>
  <si>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</si>
  <si>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</si>
  <si>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</si>
  <si>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</si>
  <si>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</si>
  <si>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</si>
  <si>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</si>
  <si>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</si>
  <si>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</si>
  <si>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</si>
  <si>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</si>
  <si>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</si>
  <si>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</si>
  <si>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</si>
  <si>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</si>
  <si>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</si>
  <si>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</si>
  <si>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</si>
  <si>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</si>
  <si>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</si>
  <si>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</si>
  <si>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</si>
  <si>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</si>
  <si>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</si>
  <si>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</si>
  <si>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</si>
  <si>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</si>
  <si>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</si>
  <si>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</si>
  <si>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</si>
  <si>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</si>
  <si>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</si>
  <si>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</si>
  <si>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</si>
  <si>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</si>
  <si>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</si>
  <si>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</si>
  <si>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</si>
  <si>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</si>
  <si>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</si>
  <si>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</si>
  <si>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</si>
  <si>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</si>
  <si>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</si>
  <si>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</si>
  <si>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</si>
  <si>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</si>
  <si>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</si>
  <si>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</si>
  <si>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</si>
  <si>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</si>
  <si>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</si>
  <si>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</si>
  <si>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</si>
  <si>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</si>
  <si>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</si>
  <si>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</si>
  <si>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</si>
  <si>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</si>
  <si>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</si>
  <si>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</si>
  <si>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</si>
  <si>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</si>
  <si>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</si>
  <si>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</si>
  <si>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</si>
  <si>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</si>
  <si>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</si>
  <si>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</si>
  <si>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</si>
  <si>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</si>
  <si>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</si>
  <si>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</si>
  <si>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</si>
  <si>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</si>
  <si>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</si>
  <si>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</si>
  <si>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</si>
  <si>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</si>
  <si>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</si>
  <si>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</si>
  <si>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</si>
  <si>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</si>
  <si>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</si>
  <si>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</si>
  <si>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</si>
  <si>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</si>
  <si>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</si>
  <si>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</si>
  <si>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</si>
  <si>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</si>
  <si>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</si>
  <si>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</si>
  <si>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</si>
  <si>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</si>
  <si>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</si>
  <si>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</si>
  <si>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</si>
  <si>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</si>
  <si>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</si>
  <si>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</si>
  <si>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</si>
  <si>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</si>
  <si>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</si>
  <si>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</si>
  <si>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</si>
  <si>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</si>
  <si>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</si>
  <si>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</si>
  <si>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</si>
  <si>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</si>
  <si>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</si>
  <si>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</si>
  <si>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</si>
  <si>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</si>
  <si>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</si>
  <si>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</si>
  <si>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</si>
  <si>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</si>
  <si>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</si>
  <si>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</si>
  <si>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</si>
  <si>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</si>
  <si>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</si>
  <si>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</si>
  <si>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</si>
  <si>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</si>
  <si>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</si>
  <si>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</si>
  <si>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</si>
  <si>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</si>
  <si>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</si>
  <si>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</si>
  <si>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</si>
  <si>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</si>
  <si>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</si>
  <si>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</si>
  <si>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</si>
  <si>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</si>
  <si>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</si>
  <si>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</si>
  <si>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</si>
  <si>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</si>
  <si>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</si>
  <si>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</si>
  <si>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</si>
  <si>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</si>
  <si>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</si>
  <si>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</si>
  <si>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</si>
  <si>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</si>
  <si>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</si>
  <si>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</si>
  <si>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</si>
  <si>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</si>
  <si>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</si>
  <si>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</si>
  <si>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</si>
  <si>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</si>
  <si>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</si>
  <si>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</si>
  <si>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</si>
  <si>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</si>
  <si>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</si>
  <si>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</si>
  <si>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</si>
  <si>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</si>
  <si>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</si>
  <si>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</si>
  <si>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</si>
  <si>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</si>
  <si>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</si>
  <si>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</si>
  <si>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</si>
  <si>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</si>
  <si>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</si>
  <si>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</si>
  <si>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</si>
  <si>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</si>
  <si>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</si>
  <si>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</si>
  <si>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</si>
  <si>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</si>
  <si>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</si>
  <si>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</si>
  <si>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</si>
  <si>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</si>
  <si>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</si>
  <si>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</si>
  <si>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</si>
  <si>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</si>
  <si>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</si>
  <si>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</si>
  <si>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</si>
  <si>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</si>
  <si>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</si>
  <si>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</si>
  <si>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</si>
  <si>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</si>
  <si>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</si>
  <si>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</si>
  <si>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</si>
  <si>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</si>
  <si>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</si>
  <si>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</si>
  <si>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</si>
  <si>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</si>
  <si>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</si>
  <si>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</si>
  <si>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</si>
  <si>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</si>
  <si>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</si>
  <si>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</si>
  <si>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</si>
  <si>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</si>
  <si>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</si>
  <si>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</si>
  <si>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</si>
  <si>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</si>
  <si>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</si>
  <si>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</si>
  <si>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</si>
  <si>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</si>
  <si>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</si>
  <si>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</si>
  <si>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</si>
  <si>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</si>
  <si>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</si>
  <si>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</si>
  <si>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</si>
  <si>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</si>
  <si>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</si>
  <si>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</si>
  <si>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</si>
  <si>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</si>
  <si>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</si>
  <si>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</si>
  <si>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</si>
  <si>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</si>
  <si>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</si>
  <si>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</si>
  <si>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</si>
  <si>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</si>
  <si>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</si>
  <si>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</si>
  <si>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</si>
  <si>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</si>
  <si>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</si>
  <si>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</si>
  <si>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</si>
  <si>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</si>
  <si>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</si>
  <si>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</si>
  <si>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</si>
  <si>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</si>
  <si>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</si>
  <si>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</si>
  <si>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</si>
  <si>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</si>
  <si>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</si>
  <si>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</si>
  <si>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</si>
  <si>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</si>
  <si>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</si>
  <si>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</si>
  <si>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</si>
  <si>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</si>
  <si>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</si>
  <si>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</si>
  <si>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</si>
  <si>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</si>
  <si>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</si>
  <si>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</si>
  <si>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</si>
  <si>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</si>
  <si>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</si>
  <si>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</si>
  <si>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</si>
  <si>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</si>
  <si>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</si>
  <si>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</si>
  <si>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</si>
  <si>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</si>
  <si>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</si>
  <si>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</si>
  <si>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</si>
  <si>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</si>
  <si>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</si>
  <si>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</si>
  <si>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</si>
  <si>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</si>
  <si>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</si>
  <si>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</si>
  <si>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</si>
  <si>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</si>
  <si>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</si>
  <si>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</si>
  <si>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</si>
  <si>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</si>
  <si>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</si>
  <si>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</si>
  <si>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</si>
  <si>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</si>
  <si>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</si>
  <si>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</si>
  <si>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</si>
  <si>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</si>
  <si>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</si>
  <si>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</si>
  <si>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</si>
  <si>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</si>
  <si>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</si>
  <si>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</si>
  <si>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</si>
  <si>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</si>
  <si>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</si>
  <si>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</si>
  <si>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</si>
  <si>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</si>
  <si>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</si>
  <si>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</si>
  <si>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</si>
  <si>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</si>
  <si>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</si>
  <si>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</si>
  <si>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</si>
  <si>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</si>
  <si>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</si>
  <si>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</si>
  <si>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</si>
  <si>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</si>
  <si>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</si>
  <si>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</si>
  <si>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</si>
  <si>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</si>
  <si>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</si>
  <si>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</si>
  <si>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</si>
  <si>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</si>
  <si>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</si>
  <si>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</si>
  <si>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</si>
  <si>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</si>
  <si>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</si>
  <si>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</si>
  <si>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</si>
  <si>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</si>
  <si>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</si>
  <si>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</si>
  <si>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</si>
  <si>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</si>
  <si>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</si>
  <si>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</si>
  <si>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</si>
  <si>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</si>
  <si>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</si>
  <si>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</si>
  <si>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</si>
  <si>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</si>
  <si>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</si>
  <si>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</si>
  <si>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</si>
  <si>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</si>
  <si>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</si>
  <si>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</si>
  <si>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</si>
  <si>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</si>
  <si>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</si>
  <si>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</si>
  <si>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</si>
  <si>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</si>
  <si>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</si>
  <si>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</si>
  <si>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</si>
  <si>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</si>
  <si>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</si>
  <si>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</si>
  <si>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</si>
  <si>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</si>
  <si>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</si>
  <si>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</si>
  <si>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</si>
  <si>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</si>
  <si>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</si>
  <si>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</si>
  <si>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</si>
  <si>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</si>
  <si>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</si>
  <si>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</si>
  <si>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</si>
  <si>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</si>
  <si>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</si>
  <si>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</si>
  <si>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</si>
  <si>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</si>
  <si>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</si>
  <si>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</si>
  <si>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</si>
  <si>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</si>
  <si>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</si>
  <si>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</si>
  <si>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</si>
  <si>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</si>
  <si>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</si>
  <si>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</si>
  <si>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</si>
  <si>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</si>
  <si>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</si>
  <si>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</si>
  <si>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</si>
  <si>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</si>
  <si>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</si>
  <si>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</si>
  <si>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</si>
  <si>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</si>
  <si>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</si>
  <si>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</si>
  <si>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</si>
  <si>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</si>
  <si>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</si>
  <si>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</si>
  <si>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</si>
  <si>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</si>
  <si>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</si>
  <si>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</si>
  <si>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</si>
  <si>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</si>
  <si>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</si>
  <si>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</si>
  <si>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</si>
  <si>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</si>
  <si>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</si>
  <si>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</si>
  <si>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</si>
  <si>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</si>
  <si>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</si>
  <si>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</si>
  <si>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</si>
  <si>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</si>
  <si>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</si>
  <si>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</si>
  <si>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</si>
  <si>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</si>
  <si>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</si>
  <si>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</si>
  <si>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</si>
  <si>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</si>
  <si>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</si>
  <si>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</si>
  <si>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</si>
  <si>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</si>
  <si>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</si>
  <si>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</si>
  <si>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</si>
  <si>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</si>
  <si>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</si>
  <si>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</si>
  <si>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</si>
  <si>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</si>
  <si>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</si>
  <si>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</si>
  <si>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</si>
  <si>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</si>
  <si>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</si>
  <si>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</si>
  <si>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</si>
  <si>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</si>
  <si>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</si>
  <si>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</si>
  <si>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</si>
  <si>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</si>
  <si>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</si>
  <si>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</si>
  <si>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</si>
  <si>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</si>
  <si>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</si>
  <si>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</si>
  <si>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</si>
  <si>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</si>
  <si>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</si>
  <si>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</si>
  <si>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</si>
  <si>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</si>
  <si>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</si>
  <si>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</si>
  <si>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</si>
  <si>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</si>
  <si>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</si>
  <si>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</si>
  <si>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</si>
  <si>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</si>
  <si>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</si>
  <si>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</si>
  <si>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</si>
  <si>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</si>
  <si>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</si>
  <si>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</si>
  <si>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</si>
  <si>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</si>
  <si>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</si>
  <si>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</si>
  <si>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</si>
  <si>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</si>
  <si>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</si>
  <si>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</si>
  <si>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</si>
  <si>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</si>
  <si>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</si>
  <si>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</si>
  <si>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</si>
  <si>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</si>
  <si>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</si>
  <si>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</si>
  <si>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</si>
  <si>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</si>
  <si>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</si>
  <si>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</si>
  <si>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</si>
  <si>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</si>
  <si>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</si>
  <si>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</si>
  <si>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</si>
  <si>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</si>
  <si>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</si>
  <si>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</si>
  <si>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</si>
  <si>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</si>
  <si>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</si>
  <si>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</si>
  <si>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</si>
  <si>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</si>
  <si>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</si>
  <si>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</si>
  <si>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</si>
  <si>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</si>
  <si>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</si>
  <si>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</si>
  <si>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</si>
  <si>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</si>
  <si>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</si>
  <si>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</si>
  <si>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</si>
  <si>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</si>
  <si>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</si>
  <si>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</si>
  <si>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</si>
  <si>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</si>
  <si>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</si>
  <si>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</si>
  <si>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</si>
  <si>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</si>
  <si>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</si>
  <si>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</si>
  <si>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</si>
  <si>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</si>
  <si>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</si>
  <si>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</si>
  <si>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</si>
  <si>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</si>
  <si>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</si>
  <si>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</si>
  <si>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</si>
  <si>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</si>
  <si>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</si>
  <si>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</si>
  <si>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</si>
  <si>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</si>
  <si>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</si>
  <si>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</si>
  <si>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</si>
  <si>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</si>
  <si>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</si>
  <si>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</si>
  <si>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</si>
  <si>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</si>
  <si>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</si>
  <si>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</si>
  <si>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</si>
  <si>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</si>
  <si>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</si>
  <si>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</si>
  <si>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</si>
  <si>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</si>
  <si>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</si>
  <si>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</si>
  <si>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</si>
  <si>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</si>
  <si>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</si>
  <si>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</si>
  <si>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</si>
  <si>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</si>
  <si>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</si>
  <si>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</si>
  <si>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</si>
  <si>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</si>
  <si>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</si>
  <si>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</si>
  <si>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</si>
  <si>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</si>
  <si>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</si>
  <si>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</si>
  <si>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</si>
  <si>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</si>
  <si>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</si>
  <si>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</si>
  <si>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</si>
  <si>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</si>
  <si>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</si>
  <si>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</si>
  <si>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</si>
  <si>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</si>
  <si>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</si>
  <si>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</si>
  <si>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</si>
  <si>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</si>
  <si>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</si>
  <si>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</si>
  <si>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</si>
  <si>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</si>
  <si>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</si>
  <si>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</si>
  <si>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</si>
  <si>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</si>
  <si>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</si>
  <si>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</si>
  <si>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</si>
  <si>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</si>
  <si>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</si>
  <si>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</si>
  <si>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</si>
  <si>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</si>
  <si>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</si>
  <si>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</si>
  <si>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</si>
  <si>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</si>
  <si>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</si>
  <si>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</si>
  <si>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</si>
  <si>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</si>
  <si>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</si>
  <si>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</si>
  <si>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</si>
  <si>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</si>
  <si>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</si>
  <si>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</si>
  <si>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</si>
  <si>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</si>
  <si>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</si>
  <si>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</si>
  <si>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</si>
  <si>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</si>
  <si>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</si>
  <si>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</si>
  <si>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</si>
  <si>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</si>
  <si>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</si>
  <si>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</si>
  <si>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</si>
  <si>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</si>
  <si>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</si>
  <si>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</si>
  <si>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</si>
  <si>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</si>
  <si>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</si>
  <si>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</si>
  <si>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</si>
  <si>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</si>
  <si>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</si>
  <si>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</si>
  <si>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</si>
  <si>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</si>
  <si>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</si>
  <si>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</si>
  <si>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</si>
  <si>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</si>
  <si>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</si>
  <si>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</si>
  <si>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</si>
  <si>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</si>
  <si>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</si>
  <si>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</si>
  <si>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</si>
  <si>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</si>
  <si>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</si>
  <si>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</si>
  <si>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</si>
  <si>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</si>
  <si>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</si>
  <si>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</si>
  <si>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</si>
  <si>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</si>
  <si>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</si>
  <si>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</si>
  <si>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</si>
  <si>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</si>
  <si>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</si>
  <si>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</si>
  <si>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</si>
  <si>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</si>
  <si>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</si>
  <si>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</si>
  <si>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</si>
  <si>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</si>
  <si>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</si>
  <si>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</si>
  <si>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</si>
  <si>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</si>
  <si>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</si>
  <si>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</si>
  <si>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</si>
  <si>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</si>
  <si>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</si>
  <si>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</si>
  <si>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</si>
  <si>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</si>
  <si>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</si>
  <si>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</si>
  <si>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</si>
  <si>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</si>
  <si>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</si>
  <si>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</si>
  <si>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</si>
  <si>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</si>
  <si>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</si>
  <si>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</si>
  <si>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</si>
  <si>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</si>
  <si>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</si>
  <si>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</si>
  <si>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</si>
  <si>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</si>
  <si>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</si>
  <si>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</si>
  <si>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</si>
  <si>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</si>
  <si>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</si>
  <si>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</si>
  <si>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</si>
  <si>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</si>
  <si>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</si>
  <si>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</si>
  <si>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</si>
  <si>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</si>
  <si>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</si>
  <si>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</si>
  <si>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</si>
  <si>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</si>
  <si>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</si>
  <si>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</si>
  <si>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</si>
  <si>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</si>
  <si>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</si>
  <si>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</si>
  <si>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</si>
  <si>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</si>
  <si>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</si>
  <si>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</si>
  <si>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</si>
  <si>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</si>
  <si>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</si>
  <si>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</si>
  <si>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</si>
  <si>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</si>
  <si>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</si>
  <si>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</si>
  <si>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</si>
  <si>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</si>
  <si>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</si>
  <si>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</si>
  <si>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</si>
  <si>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</si>
  <si>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</si>
  <si>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</si>
  <si>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</si>
  <si>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</si>
  <si>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</si>
  <si>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</si>
  <si>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</si>
  <si>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</si>
  <si>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</si>
  <si>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</si>
  <si>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</si>
  <si>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</si>
  <si>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</si>
  <si>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</si>
  <si>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</si>
  <si>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</si>
  <si>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</si>
  <si>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</si>
  <si>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</si>
  <si>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</si>
  <si>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</si>
  <si>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</si>
  <si>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</si>
  <si>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</si>
  <si>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</si>
  <si>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</si>
  <si>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</si>
  <si>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</si>
  <si>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</si>
  <si>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</si>
  <si>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</si>
  <si>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</si>
  <si>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</si>
  <si>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</si>
  <si>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</si>
  <si>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</si>
  <si>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</si>
  <si>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</si>
  <si>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</si>
  <si>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</si>
  <si>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</si>
  <si>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</si>
  <si>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</si>
  <si>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</si>
  <si>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</si>
  <si>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</si>
  <si>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</si>
  <si>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</si>
  <si>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</si>
  <si>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</si>
  <si>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</si>
  <si>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</si>
  <si>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</si>
  <si>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</si>
  <si>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</si>
  <si>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</si>
  <si>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</si>
  <si>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</si>
  <si>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</si>
  <si>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</si>
  <si>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</si>
  <si>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</si>
  <si>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</si>
  <si>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</si>
  <si>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</si>
  <si>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</si>
  <si>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</si>
  <si>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</si>
  <si>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</si>
  <si>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</si>
  <si>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</si>
  <si>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</si>
  <si>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</si>
  <si>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</si>
  <si>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</si>
  <si>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</si>
  <si>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</si>
  <si>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</si>
  <si>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</si>
  <si>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</si>
  <si>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</si>
  <si>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</si>
  <si>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</si>
  <si>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</si>
  <si>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</si>
  <si>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</si>
  <si>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</si>
  <si>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</si>
  <si>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</si>
  <si>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</si>
  <si>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</si>
  <si>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</si>
  <si>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</si>
  <si>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</si>
  <si>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</si>
  <si>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</si>
  <si>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</si>
  <si>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</si>
  <si>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</si>
  <si>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</si>
  <si>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</si>
  <si>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</si>
  <si>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</si>
  <si>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</si>
  <si>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</si>
  <si>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</si>
  <si>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</si>
  <si>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</si>
  <si>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</si>
  <si>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</si>
  <si>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</si>
  <si>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</si>
  <si>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</si>
  <si>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</si>
  <si>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</si>
  <si>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</si>
  <si>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</si>
  <si>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</si>
  <si>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</si>
  <si>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</si>
  <si>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</si>
  <si>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</si>
  <si>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</si>
  <si>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</si>
  <si>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</si>
  <si>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</si>
  <si>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</si>
  <si>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</si>
  <si>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</si>
  <si>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</si>
  <si>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</si>
  <si>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</si>
  <si>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</si>
  <si>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</si>
  <si>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</si>
  <si>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</si>
  <si>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</si>
  <si>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</si>
  <si>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</si>
  <si>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</si>
  <si>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</si>
  <si>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</si>
  <si>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</si>
  <si>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</si>
  <si>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</si>
  <si>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</si>
  <si>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</si>
  <si>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</si>
  <si>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</si>
  <si>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</si>
  <si>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</si>
  <si>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</si>
  <si>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</si>
  <si>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</si>
  <si>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</si>
  <si>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</si>
  <si>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</si>
  <si>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</si>
  <si>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</si>
  <si>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</si>
  <si>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</si>
  <si>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</si>
  <si>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</si>
  <si>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</si>
  <si>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</si>
  <si>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</si>
  <si>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</si>
  <si>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</si>
  <si>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</si>
  <si>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</si>
  <si>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</si>
  <si>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</si>
  <si>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</si>
  <si>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</si>
  <si>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</si>
  <si>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</si>
  <si>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</si>
  <si>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</si>
  <si>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</si>
  <si>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</si>
  <si>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</si>
  <si>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</si>
  <si>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</si>
  <si>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</si>
  <si>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</si>
  <si>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</si>
  <si>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</si>
  <si>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</si>
  <si>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</si>
  <si>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</si>
  <si>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</si>
  <si>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</si>
  <si>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</si>
  <si>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</si>
  <si>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</si>
  <si>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</si>
  <si>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</si>
  <si>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</si>
  <si>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</si>
  <si>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</si>
  <si>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</si>
  <si>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</si>
  <si>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</si>
  <si>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</si>
  <si>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</si>
  <si>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</si>
  <si>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</si>
  <si>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</si>
  <si>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</si>
  <si>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</si>
  <si>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</si>
  <si>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</si>
  <si>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</si>
  <si>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</si>
  <si>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</si>
  <si>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</si>
  <si>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</si>
  <si>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</si>
  <si>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</si>
  <si>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</si>
  <si>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</si>
  <si>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</si>
  <si>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</si>
  <si>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</si>
  <si>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</si>
  <si>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</si>
  <si>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</si>
  <si>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</si>
  <si>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</si>
  <si>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</si>
  <si>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</si>
  <si>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</si>
  <si>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</si>
  <si>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</si>
  <si>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</si>
  <si>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</si>
  <si>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</si>
  <si>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</si>
  <si>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</si>
  <si>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</si>
  <si>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</si>
  <si>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</si>
  <si>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</si>
  <si>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</si>
  <si>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</si>
  <si>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</si>
  <si>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</si>
  <si>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</si>
  <si>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</si>
  <si>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</si>
  <si>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</si>
  <si>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</si>
  <si>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</si>
  <si>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</si>
  <si>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</si>
  <si>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</si>
  <si>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</si>
  <si>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</si>
  <si>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</si>
  <si>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</si>
  <si>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</si>
  <si>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</si>
  <si>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</si>
  <si>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</si>
  <si>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</si>
  <si>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</si>
  <si>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</si>
  <si>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</si>
  <si>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</si>
  <si>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</si>
  <si>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</si>
  <si>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</si>
  <si>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</si>
  <si>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</si>
  <si>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</si>
  <si>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</si>
  <si>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</si>
  <si>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</si>
  <si>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</si>
  <si>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</si>
  <si>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</si>
  <si>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</si>
  <si>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</si>
  <si>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</si>
  <si>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</si>
  <si>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</si>
  <si>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</si>
  <si>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</si>
  <si>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</si>
  <si>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</si>
  <si>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</si>
  <si>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</si>
  <si>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</si>
  <si>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</si>
  <si>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</si>
  <si>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</si>
  <si>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</si>
  <si>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</si>
  <si>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</si>
  <si>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</si>
  <si>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</si>
  <si>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</si>
  <si>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</si>
  <si>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</si>
  <si>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</si>
  <si>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</si>
  <si>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</si>
  <si>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</si>
  <si>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</si>
  <si>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</si>
  <si>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</si>
  <si>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</si>
  <si>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</si>
  <si>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</si>
  <si>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</si>
  <si>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</si>
  <si>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</si>
  <si>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</si>
  <si>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</si>
  <si>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</si>
  <si>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</si>
  <si>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</si>
  <si>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</si>
  <si>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</si>
  <si>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</si>
  <si>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</si>
  <si>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</si>
  <si>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</si>
  <si>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</si>
  <si>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</si>
  <si>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</si>
  <si>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</si>
  <si>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</si>
  <si>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</si>
  <si>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</si>
  <si>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</si>
  <si>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</si>
  <si>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</si>
  <si>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</si>
  <si>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</si>
  <si>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</si>
  <si>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</si>
  <si>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</si>
  <si>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</si>
  <si>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</si>
  <si>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</si>
  <si>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</si>
  <si>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</si>
  <si>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</si>
  <si>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</si>
  <si>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</si>
  <si>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</si>
  <si>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</si>
  <si>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</si>
  <si>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</si>
  <si>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</si>
  <si>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</si>
  <si>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</si>
  <si>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</si>
  <si>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</si>
  <si>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</si>
  <si>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</si>
  <si>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</si>
  <si>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</si>
  <si>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</si>
  <si>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</si>
  <si>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</si>
  <si>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</si>
  <si>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</si>
  <si>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</si>
  <si>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</si>
  <si>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</si>
  <si>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</si>
  <si>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</si>
  <si>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</si>
  <si>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</si>
  <si>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</si>
  <si>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</si>
  <si>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</si>
  <si>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</si>
  <si>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</si>
  <si>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</si>
  <si>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</si>
  <si>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</si>
  <si>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</si>
  <si>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</si>
  <si>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</si>
  <si>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</si>
  <si>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</si>
  <si>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</si>
  <si>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</si>
  <si>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</si>
  <si>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</si>
  <si>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</si>
  <si>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</si>
  <si>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</si>
  <si>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</si>
  <si>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</si>
  <si>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</si>
  <si>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</si>
  <si>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</si>
  <si>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</si>
  <si>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</si>
  <si>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</si>
  <si>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</si>
  <si>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</si>
  <si>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</si>
  <si>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</si>
  <si>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</si>
  <si>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</si>
  <si>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</si>
  <si>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</si>
  <si>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</si>
  <si>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</si>
  <si>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</si>
  <si>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</si>
  <si>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</si>
  <si>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</si>
  <si>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</si>
  <si>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</si>
  <si>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</si>
  <si>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</si>
  <si>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</si>
  <si>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</si>
  <si>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</si>
  <si>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</si>
  <si>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</si>
  <si>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</si>
  <si>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</si>
  <si>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</si>
  <si>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</si>
  <si>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</si>
  <si>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</si>
  <si>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</si>
  <si>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</si>
  <si>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</si>
  <si>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</si>
  <si>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</si>
  <si>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</si>
  <si>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</si>
  <si>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</si>
  <si>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</si>
  <si>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</si>
  <si>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</si>
  <si>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</si>
  <si>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</si>
  <si>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</si>
  <si>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</si>
  <si>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</si>
  <si>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</si>
  <si>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</si>
  <si>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</si>
  <si>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</si>
  <si>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</si>
  <si>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</si>
  <si>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</si>
  <si>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</si>
  <si>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</si>
  <si>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</si>
  <si>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</si>
  <si>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</si>
  <si>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</si>
  <si>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</si>
  <si>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</si>
  <si>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</si>
  <si>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</si>
  <si>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</si>
  <si>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</si>
  <si>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</si>
  <si>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</si>
  <si>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</si>
  <si>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</si>
  <si>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</si>
  <si>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</si>
  <si>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</si>
  <si>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</si>
  <si>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</si>
  <si>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</si>
  <si>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</si>
  <si>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</si>
  <si>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</si>
  <si>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</si>
  <si>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</si>
  <si>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</si>
  <si>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</si>
  <si>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</si>
  <si>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</si>
  <si>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</si>
  <si>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</si>
  <si>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</si>
  <si>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</si>
  <si>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</si>
  <si>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</si>
  <si>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</si>
  <si>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</si>
  <si>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</si>
  <si>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</si>
  <si>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</si>
  <si>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</si>
  <si>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</si>
  <si>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</si>
  <si>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</si>
  <si>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</si>
  <si>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</si>
  <si>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</si>
  <si>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</si>
  <si>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</si>
  <si>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</si>
  <si>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</si>
  <si>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</si>
  <si>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</si>
  <si>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</si>
  <si>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</si>
  <si>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</si>
  <si>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</si>
  <si>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</si>
  <si>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</si>
  <si>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</si>
  <si>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</si>
  <si>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</si>
  <si>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</si>
  <si>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</si>
  <si>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</si>
  <si>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</si>
  <si>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</si>
  <si>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</si>
  <si>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</si>
  <si>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</si>
  <si>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</si>
  <si>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</si>
  <si>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</si>
  <si>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</si>
  <si>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</si>
  <si>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</si>
  <si>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</si>
  <si>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</si>
  <si>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</si>
  <si>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</si>
  <si>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</si>
  <si>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</si>
  <si>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</si>
  <si>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</si>
  <si>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</si>
  <si>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</si>
  <si>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</si>
  <si>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</si>
  <si>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</si>
  <si>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</si>
  <si>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</si>
  <si>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</si>
  <si>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</si>
  <si>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</si>
  <si>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</si>
  <si>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</si>
  <si>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</si>
  <si>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</si>
  <si>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</si>
  <si>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</si>
  <si>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</si>
  <si>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</si>
  <si>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</si>
  <si>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</si>
  <si>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</si>
  <si>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</si>
  <si>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</si>
  <si>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</si>
  <si>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</si>
  <si>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</si>
  <si>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</si>
  <si>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</si>
  <si>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</si>
  <si>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</si>
  <si>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</si>
  <si>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</si>
  <si>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</si>
  <si>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</si>
  <si>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</si>
  <si>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</si>
  <si>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</si>
  <si>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</si>
  <si>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</si>
  <si>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</si>
  <si>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</si>
  <si>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</si>
  <si>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</si>
  <si>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</si>
  <si>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</si>
  <si>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</si>
  <si>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</si>
  <si>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</si>
  <si>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</si>
  <si>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</si>
  <si>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</si>
  <si>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</si>
  <si>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</si>
  <si>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</si>
  <si>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</si>
  <si>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</si>
  <si>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</si>
  <si>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</si>
  <si>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</si>
  <si>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</si>
  <si>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</si>
  <si>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</si>
  <si>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</si>
  <si>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</si>
  <si>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</si>
  <si>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</si>
  <si>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</si>
  <si>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</si>
  <si>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</si>
  <si>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</si>
  <si>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</si>
  <si>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</si>
  <si>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</si>
  <si>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</si>
  <si>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</si>
  <si>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</si>
  <si>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</si>
  <si>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</si>
  <si>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</si>
  <si>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</si>
  <si>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</si>
  <si>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</si>
  <si>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</si>
  <si>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</si>
  <si>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</si>
  <si>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</si>
  <si>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</si>
  <si>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</si>
  <si>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</si>
  <si>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</si>
  <si>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</si>
  <si>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</si>
  <si>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</si>
  <si>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</si>
  <si>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</si>
  <si>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</si>
  <si>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</si>
  <si>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</si>
  <si>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</si>
  <si>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</si>
  <si>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</si>
  <si>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</si>
  <si>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</si>
  <si>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</si>
  <si>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</si>
  <si>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</si>
  <si>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</si>
  <si>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</si>
  <si>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</si>
  <si>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</si>
  <si>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</si>
  <si>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</si>
  <si>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</si>
  <si>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</si>
  <si>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</si>
  <si>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</si>
  <si>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</si>
  <si>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</si>
  <si>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</si>
  <si>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</si>
  <si>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</si>
  <si>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</si>
  <si>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</si>
  <si>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</si>
  <si>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</si>
  <si>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</si>
  <si>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</si>
  <si>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</si>
  <si>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</si>
  <si>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</si>
  <si>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</si>
  <si>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</si>
  <si>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</si>
  <si>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</si>
  <si>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</si>
  <si>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</si>
  <si>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</si>
  <si>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</si>
  <si>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</si>
  <si>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</si>
  <si>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</si>
  <si>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</si>
  <si>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</si>
  <si>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</si>
  <si>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</si>
  <si>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</si>
  <si>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</si>
  <si>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</si>
  <si>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</si>
  <si>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</si>
  <si>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</si>
  <si>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</si>
  <si>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</si>
  <si>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</si>
  <si>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</si>
  <si>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</si>
  <si>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</si>
  <si>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</si>
  <si>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</si>
  <si>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</si>
  <si>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</si>
  <si>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</si>
  <si>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</si>
  <si>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</si>
  <si>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</si>
  <si>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</si>
  <si>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</si>
  <si>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</si>
  <si>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</si>
  <si>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</si>
  <si>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</si>
  <si>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</si>
  <si>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</si>
  <si>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</si>
  <si>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</si>
  <si>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</si>
  <si>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</si>
  <si>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</si>
  <si>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</si>
  <si>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</si>
  <si>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</si>
  <si>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</si>
  <si>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</si>
  <si>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</si>
  <si>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</si>
  <si>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</si>
  <si>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</si>
  <si>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</si>
  <si>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</si>
  <si>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</si>
  <si>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</si>
  <si>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</si>
  <si>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</si>
  <si>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</si>
  <si>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</si>
  <si>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</si>
  <si>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</si>
  <si>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</si>
  <si>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</si>
  <si>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</si>
  <si>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</si>
  <si>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</si>
  <si>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</si>
  <si>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</si>
  <si>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</si>
  <si>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</si>
  <si>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</si>
  <si>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</si>
  <si>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</si>
  <si>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</si>
  <si>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</si>
  <si>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</si>
  <si>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</si>
  <si>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</si>
  <si>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</si>
  <si>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</si>
  <si>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</si>
  <si>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</si>
  <si>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</si>
  <si>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</si>
  <si>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</si>
  <si>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</si>
  <si>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</si>
  <si>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</si>
  <si>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</si>
  <si>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</si>
  <si>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</si>
  <si>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</si>
  <si>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</si>
  <si>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</si>
  <si>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</si>
  <si>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</si>
  <si>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</si>
  <si>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</si>
  <si>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</si>
  <si>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</si>
  <si>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</si>
  <si>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</si>
  <si>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</si>
  <si>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</si>
  <si>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</si>
  <si>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</si>
  <si>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</si>
  <si>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</si>
  <si>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</si>
  <si>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</si>
  <si>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</si>
  <si>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</si>
  <si>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</si>
  <si>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</si>
  <si>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</si>
  <si>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</si>
  <si>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</si>
  <si>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</si>
  <si>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</si>
  <si>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</si>
  <si>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</si>
  <si>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</si>
  <si>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</si>
  <si>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</si>
  <si>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</si>
  <si>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</si>
  <si>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</si>
  <si>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</si>
  <si>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</si>
  <si>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</si>
  <si>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</si>
  <si>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</si>
  <si>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</si>
  <si>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</si>
  <si>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</si>
  <si>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</si>
  <si>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</si>
  <si>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</si>
  <si>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</si>
  <si>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</si>
  <si>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</si>
  <si>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</si>
  <si>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</si>
  <si>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</si>
  <si>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</si>
  <si>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</si>
  <si>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</si>
  <si>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</si>
  <si>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</si>
  <si>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</si>
  <si>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</si>
  <si>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</si>
  <si>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</si>
  <si>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</si>
  <si>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</si>
  <si>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</si>
  <si>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</si>
  <si>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</si>
  <si>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</si>
  <si>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</si>
  <si>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</si>
  <si>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</si>
  <si>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</si>
  <si>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</si>
  <si>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</si>
  <si>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</si>
  <si>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</si>
  <si>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</si>
  <si>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</si>
  <si>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</si>
  <si>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</si>
  <si>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</si>
  <si>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</si>
  <si>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</si>
  <si>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</si>
  <si>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</si>
  <si>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</si>
  <si>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</si>
  <si>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</si>
  <si>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</si>
  <si>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</si>
  <si>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</si>
  <si>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</si>
  <si>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</si>
  <si>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</si>
  <si>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</si>
  <si>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</si>
  <si>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</si>
  <si>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</si>
  <si>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</si>
  <si>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</si>
  <si>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</si>
  <si>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</si>
  <si>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</si>
  <si>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</si>
  <si>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</si>
  <si>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</si>
  <si>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</si>
  <si>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</si>
  <si>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</si>
  <si>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</si>
  <si>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</si>
  <si>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</si>
  <si>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</si>
  <si>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</si>
  <si>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</si>
  <si>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</si>
  <si>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</si>
  <si>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</si>
  <si>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</si>
  <si>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</si>
  <si>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</si>
  <si>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</si>
  <si>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</si>
  <si>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</si>
  <si>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</si>
  <si>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</si>
  <si>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</si>
  <si>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</si>
  <si>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</si>
  <si>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</si>
  <si>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</si>
  <si>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</si>
  <si>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</si>
  <si>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</si>
  <si>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</si>
  <si>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</si>
  <si>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</si>
  <si>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</si>
  <si>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</si>
  <si>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</si>
  <si>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</si>
  <si>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</si>
  <si>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</si>
  <si>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</si>
  <si>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</si>
  <si>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</si>
  <si>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</si>
  <si>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</si>
  <si>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</si>
  <si>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</si>
  <si>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</si>
  <si>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</si>
  <si>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</si>
  <si>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</si>
  <si>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</si>
  <si>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</si>
  <si>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</si>
  <si>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</si>
  <si>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</si>
  <si>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</si>
  <si>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</si>
  <si>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</si>
  <si>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</si>
  <si>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</si>
  <si>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</si>
  <si>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</si>
  <si>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</si>
  <si>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</si>
  <si>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</si>
  <si>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</si>
  <si>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</si>
  <si>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</si>
  <si>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</si>
  <si>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</si>
  <si>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</si>
  <si>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</si>
  <si>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</si>
  <si>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</si>
  <si>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</si>
  <si>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</si>
  <si>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</si>
  <si>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</si>
  <si>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</si>
  <si>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</si>
  <si>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</si>
  <si>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</si>
  <si>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</si>
  <si>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</si>
  <si>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</si>
  <si>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</si>
  <si>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</si>
  <si>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</si>
  <si>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</si>
  <si>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</si>
  <si>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</si>
  <si>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</si>
  <si>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</si>
  <si>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</si>
  <si>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</si>
  <si>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</si>
  <si>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</si>
  <si>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</si>
  <si>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</si>
  <si>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</si>
  <si>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</si>
  <si>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</si>
  <si>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</si>
  <si>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</si>
  <si>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</si>
  <si>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</si>
  <si>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</si>
  <si>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</si>
  <si>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</si>
  <si>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</si>
  <si>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</si>
  <si>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</si>
  <si>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</si>
  <si>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</si>
  <si>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</si>
  <si>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</si>
  <si>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</si>
  <si>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</si>
  <si>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</si>
  <si>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</si>
  <si>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</si>
  <si>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</si>
  <si>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</si>
  <si>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</si>
  <si>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</si>
  <si>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</si>
  <si>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</si>
  <si>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</si>
  <si>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</si>
  <si>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</si>
  <si>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</si>
  <si>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</si>
  <si>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</si>
  <si>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</si>
  <si>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</si>
  <si>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</si>
  <si>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</si>
  <si>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</si>
  <si>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</si>
  <si>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</si>
  <si>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</si>
  <si>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</si>
  <si>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</si>
  <si>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</si>
  <si>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</si>
  <si>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</si>
  <si>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</si>
  <si>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</si>
  <si>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</si>
  <si>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</si>
  <si>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</si>
  <si>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</si>
  <si>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</si>
  <si>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</si>
  <si>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</si>
  <si>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</si>
  <si>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</si>
  <si>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</si>
  <si>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</si>
  <si>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</si>
  <si>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</si>
  <si>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</si>
  <si>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</si>
  <si>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</si>
  <si>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</si>
  <si>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</si>
  <si>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</si>
  <si>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</si>
  <si>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</si>
  <si>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</si>
  <si>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</si>
  <si>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</si>
  <si>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</si>
  <si>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</si>
  <si>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</si>
  <si>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</si>
  <si>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</si>
  <si>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</si>
  <si>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</si>
  <si>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</si>
  <si>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</si>
  <si>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</si>
  <si>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</si>
  <si>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</si>
  <si>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</si>
  <si>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</si>
  <si>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</si>
  <si>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</si>
  <si>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</si>
  <si>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</si>
  <si>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</si>
  <si>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</si>
  <si>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</si>
  <si>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</si>
  <si>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</si>
  <si>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</si>
  <si>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</si>
  <si>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</si>
  <si>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</si>
  <si>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</si>
  <si>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</si>
  <si>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</si>
  <si>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</si>
  <si>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</si>
  <si>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</si>
  <si>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</si>
  <si>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</si>
  <si>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</si>
  <si>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</si>
  <si>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</si>
  <si>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</si>
  <si>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</si>
  <si>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</si>
  <si>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</si>
  <si>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</si>
  <si>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</si>
  <si>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</si>
  <si>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</si>
  <si>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</si>
  <si>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</si>
  <si>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</si>
  <si>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</si>
  <si>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</si>
  <si>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</si>
  <si>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</si>
  <si>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</si>
  <si>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</si>
  <si>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</si>
  <si>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</si>
  <si>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</si>
  <si>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</si>
  <si>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</si>
  <si>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</si>
  <si>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</si>
  <si>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</si>
  <si>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</si>
  <si>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</si>
  <si>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</si>
  <si>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</si>
  <si>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</si>
  <si>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</si>
  <si>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</si>
  <si>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</si>
  <si>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</si>
  <si>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</si>
  <si>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</si>
  <si>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</si>
  <si>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</si>
  <si>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</si>
  <si>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</si>
  <si>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</si>
  <si>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</si>
  <si>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</si>
  <si>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</si>
  <si>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</si>
  <si>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</si>
  <si>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</si>
  <si>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</si>
  <si>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</si>
  <si>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</si>
  <si>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</si>
  <si>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</si>
  <si>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</si>
  <si>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</si>
  <si>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</si>
  <si>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</si>
  <si>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</si>
  <si>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</si>
  <si>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</si>
  <si>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</si>
  <si>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</si>
  <si>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</si>
  <si>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</si>
  <si>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</si>
  <si>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</si>
  <si>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</si>
  <si>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</si>
  <si>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</si>
  <si>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</si>
  <si>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</si>
  <si>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</si>
  <si>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</si>
  <si>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</si>
  <si>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</si>
  <si>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</si>
  <si>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</si>
  <si>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</si>
  <si>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</si>
  <si>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</si>
  <si>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</si>
  <si>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</si>
  <si>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</si>
  <si>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</si>
  <si>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</si>
  <si>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</si>
  <si>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</si>
  <si>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</si>
  <si>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</si>
  <si>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</si>
  <si>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</si>
  <si>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</si>
  <si>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</si>
  <si>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</si>
  <si>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</si>
  <si>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</si>
  <si>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</si>
  <si>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</si>
  <si>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</si>
  <si>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</si>
  <si>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</si>
  <si>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</si>
  <si>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</si>
  <si>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</si>
  <si>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</si>
  <si>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</si>
  <si>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</si>
  <si>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</si>
  <si>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</si>
  <si>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</si>
  <si>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</si>
  <si>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</si>
  <si>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</si>
  <si>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</si>
  <si>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</si>
  <si>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</si>
  <si>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</si>
  <si>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</si>
  <si>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</si>
  <si>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</si>
  <si>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</si>
  <si>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</si>
  <si>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</si>
  <si>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</si>
  <si>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</si>
  <si>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</si>
  <si>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</si>
  <si>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</si>
  <si>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</si>
  <si>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</si>
  <si>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</si>
  <si>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</si>
  <si>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</si>
  <si>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</si>
  <si>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</si>
  <si>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</si>
  <si>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</si>
  <si>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</si>
  <si>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</si>
  <si>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</si>
  <si>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</si>
  <si>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</si>
  <si>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</si>
  <si>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</si>
  <si>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</si>
  <si>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</si>
  <si>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</si>
  <si>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</si>
  <si>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</si>
  <si>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</si>
  <si>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</si>
  <si>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</si>
  <si>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</si>
  <si>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</si>
  <si>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</si>
  <si>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</si>
  <si>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</si>
  <si>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</si>
  <si>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</si>
  <si>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</si>
  <si>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</si>
  <si>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</si>
  <si>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</si>
  <si>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</si>
  <si>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</si>
  <si>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</si>
  <si>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</si>
  <si>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</si>
  <si>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</si>
  <si>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</si>
  <si>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</si>
  <si>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</si>
  <si>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</si>
  <si>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</si>
  <si>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</si>
  <si>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</si>
  <si>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</si>
  <si>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</si>
  <si>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</si>
  <si>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</si>
  <si>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</si>
  <si>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</si>
  <si>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</si>
  <si>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</si>
  <si>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</si>
  <si>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</si>
  <si>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</si>
  <si>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</si>
  <si>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</si>
  <si>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</si>
  <si>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</si>
  <si>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</si>
  <si>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</si>
  <si>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</si>
  <si>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</si>
  <si>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</si>
  <si>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</si>
  <si>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</si>
  <si>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</si>
  <si>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</si>
  <si>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</si>
  <si>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</si>
  <si>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</si>
  <si>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</si>
  <si>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</si>
  <si>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</si>
  <si>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</si>
  <si>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</si>
  <si>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</si>
  <si>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</si>
  <si>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</si>
  <si>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</si>
  <si>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</si>
  <si>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</si>
  <si>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</si>
  <si>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</si>
  <si>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</si>
  <si>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</si>
  <si>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</si>
  <si>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</si>
  <si>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</si>
  <si>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</si>
  <si>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</si>
  <si>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</si>
  <si>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</si>
  <si>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</si>
  <si>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</si>
  <si>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</si>
  <si>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</si>
  <si>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</si>
  <si>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</si>
  <si>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</si>
  <si>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</si>
  <si>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</si>
  <si>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</si>
  <si>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</si>
  <si>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</si>
  <si>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</si>
  <si>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</si>
  <si>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</si>
  <si>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</si>
  <si>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</si>
  <si>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</si>
  <si>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</si>
  <si>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</si>
  <si>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</si>
  <si>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</si>
  <si>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</si>
  <si>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</si>
  <si>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</si>
  <si>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</si>
  <si>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</si>
  <si>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</si>
  <si>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</si>
  <si>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</si>
  <si>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</si>
  <si>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</si>
  <si>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</si>
  <si>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</si>
  <si>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</si>
  <si>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</si>
  <si>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</si>
  <si>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</si>
  <si>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</si>
  <si>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</si>
  <si>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</si>
  <si>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</si>
  <si>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</si>
  <si>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</si>
  <si>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</si>
  <si>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</si>
  <si>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</si>
  <si>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</si>
  <si>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</si>
  <si>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</si>
  <si>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</si>
  <si>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</si>
  <si>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</si>
  <si>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</si>
  <si>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</si>
  <si>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</si>
  <si>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</si>
  <si>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</si>
  <si>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</si>
  <si>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</si>
  <si>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</si>
  <si>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</si>
  <si>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</si>
  <si>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</si>
  <si>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</si>
  <si>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</si>
  <si>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</si>
  <si>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</si>
  <si>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</si>
  <si>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</si>
  <si>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</si>
  <si>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</si>
  <si>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</si>
  <si>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</si>
  <si>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</si>
  <si>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</si>
  <si>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</si>
  <si>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</si>
  <si>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</si>
  <si>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</si>
  <si>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</si>
  <si>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</si>
  <si>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</si>
  <si>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</si>
  <si>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</si>
  <si>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</si>
  <si>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</si>
  <si>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</si>
  <si>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</si>
  <si>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</si>
  <si>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</si>
  <si>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</si>
  <si>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</si>
  <si>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</si>
  <si>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</si>
  <si>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</si>
  <si>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</si>
  <si>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</si>
  <si>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</si>
  <si>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</si>
  <si>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</si>
  <si>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</si>
  <si>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</si>
  <si>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</si>
  <si>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</si>
  <si>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</si>
  <si>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</si>
  <si>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</si>
  <si>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</si>
  <si>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</si>
  <si>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</si>
  <si>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</si>
  <si>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</si>
  <si>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</si>
  <si>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</si>
  <si>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</si>
  <si>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</si>
  <si>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</si>
  <si>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</si>
  <si>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</si>
  <si>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</si>
  <si>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</si>
  <si>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</si>
  <si>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</si>
  <si>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</si>
  <si>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</si>
  <si>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</si>
  <si>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</si>
  <si>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</si>
  <si>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</si>
  <si>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</si>
  <si>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</si>
  <si>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</si>
  <si>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</si>
  <si>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</si>
  <si>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</si>
  <si>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</si>
  <si>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</si>
  <si>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</si>
  <si>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</si>
  <si>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</si>
  <si>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</si>
  <si>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</si>
  <si>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</si>
  <si>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</si>
  <si>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</si>
  <si>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</si>
  <si>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</si>
  <si>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</si>
  <si>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</si>
  <si>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</si>
  <si>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</si>
  <si>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</si>
  <si>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</si>
  <si>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</si>
  <si>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</si>
  <si>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</si>
  <si>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</si>
  <si>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</si>
  <si>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</si>
  <si>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</si>
  <si>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</si>
  <si>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</si>
  <si>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</si>
  <si>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</si>
  <si>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</si>
  <si>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</si>
  <si>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</si>
  <si>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</si>
  <si>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</si>
  <si>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</si>
  <si>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</si>
  <si>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</si>
  <si>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</si>
  <si>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</si>
  <si>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</si>
  <si>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</si>
  <si>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</si>
  <si>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</si>
  <si>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</si>
  <si>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</si>
  <si>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</si>
  <si>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</si>
  <si>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</si>
  <si>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</si>
  <si>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</si>
  <si>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</si>
  <si>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</si>
  <si>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</si>
  <si>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</si>
  <si>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</si>
  <si>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</si>
  <si>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</si>
  <si>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</si>
  <si>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</si>
  <si>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</si>
  <si>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</si>
  <si>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</si>
  <si>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</si>
  <si>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</si>
  <si>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</si>
  <si>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</si>
  <si>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</si>
  <si>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</si>
  <si>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</si>
  <si>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</si>
  <si>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</si>
  <si>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</si>
  <si>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</si>
  <si>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</si>
  <si>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</si>
  <si>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</si>
  <si>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</si>
  <si>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</si>
  <si>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</si>
  <si>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</si>
  <si>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</si>
  <si>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</si>
  <si>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</si>
  <si>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</si>
  <si>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</si>
  <si>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</si>
  <si>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</si>
  <si>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</si>
  <si>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</si>
  <si>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</si>
  <si>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</si>
  <si>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</si>
  <si>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</si>
  <si>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</si>
  <si>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</si>
  <si>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</si>
  <si>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</si>
  <si>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</si>
  <si>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</si>
  <si>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</si>
  <si>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</si>
  <si>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</si>
  <si>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</si>
  <si>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</si>
  <si>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</si>
  <si>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</si>
  <si>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</si>
  <si>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</si>
  <si>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</si>
  <si>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</si>
  <si>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</si>
  <si>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</si>
  <si>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</si>
  <si>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</si>
  <si>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</si>
  <si>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</si>
  <si>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</si>
  <si>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</si>
  <si>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</si>
  <si>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</si>
  <si>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</si>
  <si>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</si>
  <si>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</si>
  <si>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</si>
  <si>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</si>
  <si>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</si>
  <si>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</si>
  <si>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</si>
  <si>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</si>
  <si>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</si>
  <si>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</si>
  <si>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</si>
  <si>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</si>
  <si>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</si>
  <si>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</si>
  <si>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</si>
  <si>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</si>
  <si>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</si>
  <si>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</si>
  <si>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</si>
  <si>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</si>
  <si>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</si>
  <si>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</si>
  <si>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</si>
  <si>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</si>
  <si>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</si>
  <si>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</si>
  <si>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</si>
  <si>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</si>
  <si>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</si>
  <si>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</si>
  <si>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</si>
  <si>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</si>
  <si>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</si>
  <si>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</si>
  <si>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</si>
  <si>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</si>
  <si>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</si>
  <si>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</si>
  <si>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</si>
  <si>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</si>
  <si>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</si>
  <si>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</si>
  <si>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</si>
  <si>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</si>
  <si>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</si>
  <si>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</si>
  <si>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</si>
  <si>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</si>
  <si>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</si>
  <si>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</si>
  <si>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</si>
  <si>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</si>
  <si>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</si>
  <si>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</si>
  <si>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</si>
  <si>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</si>
  <si>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</si>
  <si>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</si>
  <si>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</si>
  <si>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</si>
  <si>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</si>
  <si>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</si>
  <si>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</si>
  <si>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</si>
  <si>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</si>
  <si>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</si>
  <si>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</si>
  <si>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</si>
  <si>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</si>
  <si>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</si>
  <si>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</si>
  <si>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</si>
  <si>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</si>
  <si>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</si>
  <si>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</si>
  <si>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</si>
  <si>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</si>
  <si>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</si>
  <si>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</si>
  <si>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</si>
  <si>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</si>
  <si>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</si>
  <si>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</si>
  <si>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</si>
  <si>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</si>
  <si>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</si>
  <si>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</si>
  <si>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</si>
  <si>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</si>
  <si>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</si>
  <si>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</si>
  <si>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</si>
  <si>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</si>
  <si>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</si>
  <si>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</si>
  <si>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</si>
  <si>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</si>
  <si>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</si>
  <si>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</si>
  <si>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</si>
  <si>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</si>
  <si>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</si>
  <si>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</si>
  <si>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</si>
  <si>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</si>
  <si>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</si>
  <si>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</si>
  <si>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</si>
  <si>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</si>
  <si>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</si>
  <si>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</si>
  <si>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</si>
  <si>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</si>
  <si>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</si>
  <si>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</si>
  <si>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</si>
  <si>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</si>
  <si>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</si>
  <si>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</si>
  <si>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</si>
  <si>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</si>
  <si>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</si>
  <si>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</si>
  <si>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</si>
  <si>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</si>
  <si>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</si>
  <si>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</si>
  <si>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</si>
  <si>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</si>
  <si>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</si>
  <si>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</si>
  <si>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</si>
  <si>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</si>
  <si>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</si>
  <si>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</si>
  <si>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</si>
  <si>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</si>
  <si>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</si>
  <si>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</si>
  <si>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</si>
  <si>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</si>
  <si>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</si>
  <si>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</si>
  <si>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</si>
  <si>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</si>
  <si>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</si>
  <si>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</si>
  <si>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</si>
  <si>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</si>
  <si>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</si>
  <si>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</si>
  <si>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</si>
  <si>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</si>
  <si>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</si>
  <si>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</si>
  <si>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</si>
  <si>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</si>
  <si>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</si>
  <si>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</si>
  <si>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</si>
  <si>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</si>
  <si>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</si>
  <si>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</si>
  <si>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</si>
  <si>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</si>
  <si>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</si>
  <si>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</si>
  <si>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</si>
  <si>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</si>
  <si>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</si>
  <si>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</si>
  <si>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</si>
  <si>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</si>
  <si>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</si>
  <si>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</si>
  <si>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</si>
  <si>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</si>
  <si>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</si>
  <si>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</si>
  <si>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</si>
  <si>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</si>
  <si>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</si>
  <si>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</si>
  <si>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</si>
  <si>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</si>
  <si>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</si>
  <si>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</si>
  <si>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</si>
  <si>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</si>
  <si>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</si>
  <si>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</si>
  <si>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</si>
  <si>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</si>
  <si>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</si>
  <si>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</si>
  <si>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</si>
  <si>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</si>
  <si>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</si>
  <si>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</si>
  <si>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</si>
  <si>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</si>
  <si>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</si>
  <si>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</si>
  <si>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</si>
  <si>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</si>
  <si>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</si>
  <si>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</si>
  <si>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</si>
  <si>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</si>
  <si>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</si>
  <si>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</si>
  <si>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</si>
  <si>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</si>
  <si>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</si>
  <si>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</si>
  <si>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</si>
  <si>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</si>
  <si>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</si>
  <si>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</si>
  <si>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</si>
  <si>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</si>
  <si>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</si>
  <si>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</si>
  <si>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</si>
  <si>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</si>
  <si>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</si>
  <si>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</si>
  <si>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</si>
  <si>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</si>
  <si>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</si>
  <si>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</si>
  <si>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</si>
  <si>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</si>
  <si>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</si>
  <si>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</si>
  <si>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</si>
  <si>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</si>
  <si>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</si>
  <si>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</si>
  <si>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</si>
  <si>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</si>
  <si>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</si>
  <si>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</si>
  <si>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</si>
  <si>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</si>
  <si>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</si>
  <si>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</si>
  <si>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</si>
  <si>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</si>
  <si>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</si>
  <si>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</si>
  <si>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</si>
  <si>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</si>
  <si>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</si>
  <si>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</si>
  <si>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</si>
  <si>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</si>
  <si>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</si>
  <si>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</si>
  <si>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</si>
  <si>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</si>
  <si>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</si>
  <si>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</si>
  <si>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</si>
  <si>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</si>
  <si>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</si>
  <si>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</si>
  <si>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</si>
  <si>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</si>
  <si>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</si>
  <si>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</si>
  <si>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</si>
  <si>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</si>
  <si>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</si>
  <si>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</si>
  <si>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</si>
  <si>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</si>
  <si>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</si>
  <si>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</si>
  <si>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</si>
  <si>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</si>
  <si>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</si>
  <si>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</si>
  <si>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</si>
  <si>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</si>
  <si>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</si>
  <si>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</si>
  <si>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</si>
  <si>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</si>
  <si>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</si>
  <si>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</si>
  <si>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</si>
  <si>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</si>
  <si>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</si>
  <si>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</si>
  <si>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</si>
  <si>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</si>
  <si>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</si>
  <si>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</si>
  <si>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</si>
  <si>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</si>
  <si>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</si>
  <si>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</si>
  <si>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</si>
  <si>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</si>
  <si>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</si>
  <si>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</si>
  <si>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</si>
  <si>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</si>
  <si>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</si>
  <si>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</si>
  <si>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</si>
  <si>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</si>
  <si>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</si>
  <si>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</si>
  <si>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</si>
  <si>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</si>
  <si>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</si>
  <si>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</si>
  <si>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</si>
  <si>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</si>
  <si>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</si>
  <si>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</si>
  <si>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</si>
  <si>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</si>
  <si>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</si>
  <si>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</si>
  <si>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</si>
  <si>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</si>
  <si>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</si>
  <si>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</si>
  <si>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</si>
  <si>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</si>
  <si>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</si>
  <si>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</si>
  <si>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</si>
  <si>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</si>
  <si>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</si>
  <si>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</si>
  <si>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</si>
  <si>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</si>
  <si>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</si>
  <si>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</si>
  <si>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</si>
  <si>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</si>
  <si>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</si>
  <si>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</si>
  <si>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</si>
  <si>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</si>
  <si>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</si>
  <si>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</si>
  <si>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</si>
  <si>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</si>
  <si>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</si>
  <si>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</si>
  <si>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</si>
  <si>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</si>
  <si>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</si>
  <si>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</si>
  <si>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</si>
  <si>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</si>
  <si>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</si>
  <si>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</si>
  <si>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</si>
  <si>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</si>
  <si>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</si>
  <si>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</si>
  <si>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</si>
  <si>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</si>
  <si>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</si>
  <si>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</si>
  <si>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</si>
  <si>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</si>
  <si>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</si>
  <si>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</si>
  <si>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</si>
  <si>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</si>
  <si>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</si>
  <si>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</si>
  <si>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</si>
  <si>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</si>
  <si>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</si>
  <si>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</si>
  <si>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</si>
  <si>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</si>
  <si>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</si>
  <si>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</si>
  <si>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</si>
  <si>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</si>
  <si>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</si>
  <si>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</si>
  <si>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</si>
  <si>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</si>
  <si>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</si>
  <si>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</si>
  <si>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</si>
  <si>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</si>
  <si>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</si>
  <si>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</si>
  <si>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</si>
  <si>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</si>
  <si>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</si>
  <si>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</si>
  <si>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</si>
  <si>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</si>
  <si>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</si>
  <si>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</si>
  <si>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</si>
  <si>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</si>
  <si>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</si>
  <si>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</si>
  <si>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</si>
  <si>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</si>
  <si>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</si>
  <si>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</si>
  <si>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</si>
  <si>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</si>
  <si>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</si>
  <si>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</si>
  <si>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</si>
  <si>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</si>
  <si>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</si>
  <si>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</si>
  <si>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</si>
  <si>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</si>
  <si>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</si>
  <si>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</si>
  <si>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</si>
  <si>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</si>
  <si>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</si>
  <si>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</si>
  <si>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</si>
  <si>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</si>
  <si>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</si>
  <si>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</si>
  <si>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</si>
  <si>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</si>
  <si>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</si>
  <si>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</si>
  <si>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</si>
  <si>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</si>
  <si>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</si>
  <si>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</si>
  <si>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</si>
  <si>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</si>
  <si>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</si>
  <si>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</si>
  <si>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</si>
  <si>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</si>
  <si>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</si>
  <si>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</si>
  <si>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</si>
  <si>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</si>
  <si>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</si>
  <si>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</si>
  <si>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</si>
  <si>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</si>
  <si>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</si>
  <si>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</si>
  <si>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</si>
  <si>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</si>
  <si>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</si>
  <si>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</si>
  <si>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</si>
  <si>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</si>
  <si>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</si>
  <si>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</si>
  <si>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</si>
  <si>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</si>
  <si>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</si>
  <si>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</si>
  <si>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</si>
  <si>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</si>
  <si>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</si>
  <si>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</si>
  <si>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</si>
  <si>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</si>
  <si>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</si>
  <si>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</si>
  <si>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</si>
  <si>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</si>
  <si>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</si>
  <si>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</si>
  <si>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</si>
  <si>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</si>
  <si>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</si>
  <si>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</si>
  <si>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</si>
  <si>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</si>
  <si>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</si>
  <si>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</si>
  <si>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</si>
  <si>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</si>
  <si>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</si>
  <si>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</si>
  <si>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</si>
  <si>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</si>
  <si>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</si>
  <si>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</si>
  <si>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</si>
  <si>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</si>
  <si>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</si>
  <si>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</si>
  <si>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</si>
  <si>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</si>
  <si>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</si>
  <si>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</si>
  <si>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</si>
  <si>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</si>
  <si>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</si>
  <si>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</si>
  <si>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</si>
  <si>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</si>
  <si>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</si>
  <si>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</si>
  <si>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</si>
  <si>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</si>
  <si>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</si>
  <si>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</si>
  <si>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</si>
  <si>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</si>
  <si>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</si>
  <si>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</si>
  <si>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</si>
  <si>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</si>
  <si>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</si>
  <si>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</si>
  <si>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</si>
  <si>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</si>
  <si>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</si>
  <si>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</si>
  <si>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</si>
  <si>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</si>
  <si>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</si>
  <si>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</si>
  <si>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</si>
  <si>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</si>
  <si>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</si>
  <si>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</si>
  <si>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</si>
  <si>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</si>
  <si>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</si>
  <si>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</si>
  <si>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</si>
  <si>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</si>
  <si>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</si>
  <si>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</si>
  <si>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</si>
  <si>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</si>
  <si>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</si>
  <si>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</si>
  <si>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</si>
  <si>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</si>
  <si>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</si>
  <si>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</si>
  <si>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</si>
  <si>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</si>
  <si>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</si>
  <si>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</si>
  <si>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</si>
  <si>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</si>
  <si>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</si>
  <si>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</si>
  <si>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</si>
  <si>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</si>
  <si>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</si>
  <si>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</si>
  <si>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</si>
  <si>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</si>
  <si>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</si>
  <si>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</si>
  <si>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</si>
  <si>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</si>
  <si>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</si>
  <si>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</si>
  <si>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</si>
  <si>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</si>
  <si>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</si>
  <si>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</si>
  <si>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</si>
  <si>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</si>
  <si>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</si>
  <si>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</si>
  <si>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</si>
  <si>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</si>
  <si>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</si>
  <si>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</si>
  <si>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</si>
  <si>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</si>
  <si>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</si>
  <si>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</si>
  <si>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</si>
  <si>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</si>
  <si>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</si>
  <si>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</si>
  <si>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</si>
  <si>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</si>
  <si>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</si>
  <si>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</si>
  <si>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</si>
  <si>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</si>
  <si>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</si>
  <si>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</si>
  <si>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</si>
  <si>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</si>
  <si>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估价对象所在区域银行、购物场所、学校等公共配套设施齐备，综合评价公共配套设施水平较好</t>
    <phoneticPr fontId="4" type="noConversion"/>
  </si>
  <si>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</si>
  <si>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</si>
  <si>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</si>
  <si>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</si>
  <si>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</si>
  <si>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</si>
  <si>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</si>
  <si>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</si>
  <si>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</si>
  <si>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</si>
  <si>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出让金+开发费</t>
  </si>
  <si>
    <t>企业提供（在右侧录入）</t>
  </si>
  <si>
    <t>情况3</t>
  </si>
  <si>
    <t>正常</t>
  </si>
  <si>
    <t>自行开发建设</t>
  </si>
  <si>
    <t>非个人房产</t>
  </si>
  <si>
    <t>综合</t>
  </si>
  <si>
    <t>不临65条商业街</t>
  </si>
  <si>
    <t>全部缴纳</t>
  </si>
  <si>
    <t>成本法</t>
  </si>
  <si>
    <t>收益法</t>
  </si>
  <si>
    <t>否</t>
  </si>
  <si>
    <t>总价</t>
  </si>
  <si>
    <t>成本比率</t>
  </si>
  <si>
    <t>朝阳区红军营南路36号院</t>
    <phoneticPr fontId="7" type="noConversion"/>
  </si>
  <si>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</si>
  <si>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</si>
  <si>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</si>
  <si>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</si>
  <si>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</si>
  <si>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</si>
  <si>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</si>
  <si>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</si>
  <si>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</si>
  <si>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</si>
  <si>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</si>
  <si>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</si>
  <si>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</si>
  <si>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</si>
  <si>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</si>
  <si>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</si>
  <si>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</si>
  <si>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</si>
  <si>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</si>
  <si>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</si>
  <si>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</si>
  <si>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</si>
  <si>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</si>
  <si>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</si>
  <si>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</si>
  <si>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</si>
  <si>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</si>
  <si>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r>
      <t>B</t>
    </r>
    <r>
      <rPr>
        <sz val="11"/>
        <color theme="1"/>
        <rFont val="宋体"/>
        <family val="3"/>
        <charset val="134"/>
        <scheme val="minor"/>
      </rPr>
      <t>3</t>
    </r>
    <phoneticPr fontId="135" type="noConversion"/>
  </si>
  <si>
    <r>
      <t>B</t>
    </r>
    <r>
      <rPr>
        <sz val="11"/>
        <color theme="1"/>
        <rFont val="宋体"/>
        <family val="3"/>
        <charset val="134"/>
        <scheme val="minor"/>
      </rPr>
      <t>2</t>
    </r>
    <phoneticPr fontId="135" type="noConversion"/>
  </si>
  <si>
    <r>
      <t>B</t>
    </r>
    <r>
      <rPr>
        <sz val="11"/>
        <color theme="1"/>
        <rFont val="宋体"/>
        <family val="3"/>
        <charset val="134"/>
        <scheme val="minor"/>
      </rPr>
      <t>1</t>
    </r>
    <phoneticPr fontId="135" type="noConversion"/>
  </si>
  <si>
    <t>1、 请分别提供地下3层至地上2层各层分层面积
回复：B3层7954.3㎡；B2层7268.6㎡；B1层7335.29㎡；1F层4323.09㎡；2F层4382.18㎡（B3-1F面积加起来26881.28和房本面积相符）
2、 请分别提供地下3层和夹层车位个数
回复：B3层139个，夹层118个，一共257个车位
3、 项目竣工备案资料
回复：已提供工程竣工备案表（见附件1）
4、 地下停车场外包经营合同
回复：已提供合同（见附件2）
5、 关于百润公司（小商户）、鼎运公司（写字楼）、物业公司、乐那迪公司（南三环目）实际控股相关资料
回复：已提供代持股协议（见附件3）
6、 账面土地原值和建筑物原值分别是多少
回复：账面土地原值1.54亿，建筑物原值7.39亿</t>
    <phoneticPr fontId="135" type="noConversion"/>
  </si>
  <si>
    <t>地下</t>
  </si>
  <si>
    <t>楼层修正</t>
  </si>
  <si>
    <t>地上</t>
    <phoneticPr fontId="8" type="noConversion"/>
  </si>
  <si>
    <t>地下商业</t>
  </si>
  <si>
    <t>地下商业</t>
    <phoneticPr fontId="8" type="noConversion"/>
  </si>
  <si>
    <t>地下车库</t>
  </si>
  <si>
    <t>地下车库</t>
    <phoneticPr fontId="8" type="noConversion"/>
  </si>
  <si>
    <t>收益法车</t>
  </si>
  <si>
    <t>收益法车</t>
    <phoneticPr fontId="17" type="noConversion"/>
  </si>
  <si>
    <t>收益法商</t>
  </si>
  <si>
    <t>收益法商</t>
    <phoneticPr fontId="17" type="noConversion"/>
  </si>
  <si>
    <t>A座</t>
    <phoneticPr fontId="135" type="noConversion"/>
  </si>
  <si>
    <t>B座</t>
    <phoneticPr fontId="135" type="noConversion"/>
  </si>
  <si>
    <t>租赁</t>
    <phoneticPr fontId="135" type="noConversion"/>
  </si>
  <si>
    <t>A座3层</t>
    <phoneticPr fontId="135" type="noConversion"/>
  </si>
  <si>
    <t>A座4层</t>
  </si>
  <si>
    <t>A座5层</t>
  </si>
  <si>
    <t>A座6层</t>
  </si>
  <si>
    <t>A座7层</t>
  </si>
  <si>
    <t>B座3层</t>
    <phoneticPr fontId="135" type="noConversion"/>
  </si>
  <si>
    <t>B座4层</t>
  </si>
  <si>
    <t>B座5层</t>
  </si>
  <si>
    <t>车库承包</t>
    <phoneticPr fontId="135" type="noConversion"/>
  </si>
  <si>
    <t>物业及服务费</t>
    <phoneticPr fontId="135" type="noConversion"/>
  </si>
  <si>
    <t>2层</t>
    <phoneticPr fontId="135" type="noConversion"/>
  </si>
  <si>
    <t>1层</t>
    <phoneticPr fontId="135" type="noConversion"/>
  </si>
  <si>
    <t>B1</t>
    <phoneticPr fontId="135" type="noConversion"/>
  </si>
  <si>
    <t>推广费</t>
    <phoneticPr fontId="135" type="noConversion"/>
  </si>
  <si>
    <t>物业费</t>
    <phoneticPr fontId="135" type="noConversion"/>
  </si>
  <si>
    <t>B2</t>
  </si>
  <si>
    <t>合同租赁建筑面积</t>
    <phoneticPr fontId="135" type="noConversion"/>
  </si>
  <si>
    <t>楼层</t>
  </si>
  <si>
    <t>面积（平方米）</t>
  </si>
  <si>
    <t>2号楼1层</t>
  </si>
  <si>
    <t>3号楼1层</t>
  </si>
  <si>
    <t>2号楼2层</t>
  </si>
  <si>
    <t>3号楼2层</t>
  </si>
  <si>
    <t>2号楼3层</t>
  </si>
  <si>
    <t>3号楼3层</t>
  </si>
  <si>
    <t>2号楼4层</t>
  </si>
  <si>
    <t>3号楼4层</t>
  </si>
  <si>
    <t>2号楼5层</t>
  </si>
  <si>
    <t>3号楼5层</t>
  </si>
  <si>
    <t>2号楼6层</t>
  </si>
  <si>
    <t>2号楼7层</t>
  </si>
  <si>
    <t>车库</t>
    <phoneticPr fontId="135" type="noConversion"/>
  </si>
  <si>
    <t>成本法车</t>
  </si>
  <si>
    <t>成本法车</t>
    <phoneticPr fontId="17" type="noConversion"/>
  </si>
  <si>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</si>
  <si>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</si>
  <si>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</si>
  <si>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</si>
  <si>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</si>
  <si>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</si>
  <si>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</si>
  <si>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</si>
  <si>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</si>
  <si>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</si>
  <si>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</si>
  <si>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</si>
  <si>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</si>
  <si>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</si>
  <si>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</si>
  <si>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</si>
  <si>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</si>
  <si>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</si>
  <si>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</si>
  <si>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</si>
  <si>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</si>
  <si>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</si>
  <si>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</si>
  <si>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</si>
  <si>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华远石景山大悦城7#1-14层</t>
    <phoneticPr fontId="4" type="noConversion"/>
  </si>
  <si>
    <t>石景山区京西商务园</t>
    <phoneticPr fontId="4" type="noConversion"/>
  </si>
  <si>
    <t>苹果园</t>
    <phoneticPr fontId="4" type="noConversion"/>
  </si>
  <si>
    <t>华远地产</t>
    <phoneticPr fontId="4" type="noConversion"/>
  </si>
  <si>
    <t>商业、办公</t>
    <phoneticPr fontId="4" type="noConversion"/>
  </si>
  <si>
    <t>外文出版社</t>
    <phoneticPr fontId="4" type="noConversion"/>
  </si>
  <si>
    <t>1-2层，F1：1058.61平方米，F2：1369.31平方米，其余为办公，商业网签价45776元/平方米，办公网签价36342元/平方米；公告4.61亿元，剩余部分为车位（未办网签）</t>
    <phoneticPr fontId="4" type="noConversion"/>
  </si>
  <si>
    <t>2022年</t>
    <phoneticPr fontId="4" type="noConversion"/>
  </si>
  <si>
    <t>网签+公告</t>
    <phoneticPr fontId="4" type="noConversion"/>
  </si>
  <si>
    <t>八里庄苏宁生活广场</t>
    <phoneticPr fontId="4" type="noConversion"/>
  </si>
  <si>
    <t>朝阳区朝阳路慈云寺北里南侧约50米；慈云寺北里118号楼「苏宁生活广场」</t>
    <phoneticPr fontId="4" type="noConversion"/>
  </si>
  <si>
    <t>东四环</t>
    <phoneticPr fontId="4" type="noConversion"/>
  </si>
  <si>
    <t>苏宁</t>
    <phoneticPr fontId="4" type="noConversion"/>
  </si>
  <si>
    <t>办公、商业、地下车库</t>
    <phoneticPr fontId="4" type="noConversion"/>
  </si>
  <si>
    <t>凯德</t>
    <phoneticPr fontId="4" type="noConversion"/>
  </si>
  <si>
    <t>2023-Q1</t>
    <phoneticPr fontId="4"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</si>
  <si>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4" type="noConversion"/>
  </si>
  <si>
    <t>2015年</t>
    <phoneticPr fontId="4" type="noConversion"/>
  </si>
  <si>
    <t>股权交易</t>
    <phoneticPr fontId="4" type="noConversion"/>
  </si>
  <si>
    <t>公告</t>
    <phoneticPr fontId="4" type="noConversion"/>
  </si>
  <si>
    <t>管庄西一里1幢1至3层、2幢1层</t>
    <phoneticPr fontId="4" type="noConversion"/>
  </si>
  <si>
    <t>朝阳区管庄西一里1幢1至3层、2幢1层，北临管庄西里路，东临管庄路</t>
    <phoneticPr fontId="4" type="noConversion"/>
  </si>
  <si>
    <t>管庄</t>
    <phoneticPr fontId="4" type="noConversion"/>
  </si>
  <si>
    <t>北京嘉合荣元酒店管理有限公司</t>
    <phoneticPr fontId="4" type="noConversion"/>
  </si>
  <si>
    <t>北京净润科技有限公司</t>
    <phoneticPr fontId="4" type="noConversion"/>
  </si>
  <si>
    <t>2048年11月23日，2幢门房33.9平方米。依据估价委托人提供的《房屋租赁合同》复印件、影印件，单位建筑面积日租金2.3-6.7元/㎡,租赁期限终止日最早为2024年6月4日（荣通超市），最晚为2030年5月7日（红柚酒店）</t>
    <phoneticPr fontId="4" type="noConversion"/>
  </si>
  <si>
    <t>1988年(约)</t>
    <phoneticPr fontId="4" type="noConversion"/>
  </si>
  <si>
    <t>拍卖</t>
    <phoneticPr fontId="4" type="noConversion"/>
  </si>
  <si>
    <t>西城区莲花池东路1号楼甲1、1号楼部分（1-2、1-4、1-6、1-8）（顺峰）</t>
    <phoneticPr fontId="4" type="noConversion"/>
  </si>
  <si>
    <t>西城区莲花池东路1号楼2幢</t>
    <phoneticPr fontId="4" type="noConversion"/>
  </si>
  <si>
    <t>西客站</t>
    <phoneticPr fontId="4" type="noConversion"/>
  </si>
  <si>
    <t>顺峰饮食酒店管理股份有限公司</t>
    <phoneticPr fontId="4" type="noConversion"/>
  </si>
  <si>
    <t>个人</t>
    <phoneticPr fontId="4" type="noConversion"/>
  </si>
  <si>
    <t>住宿餐饮用地土地终止日期2040-1-24，甲1号楼4436.10平方米（1-7层），1号楼1-2（1层，171.7平方米）、1-4（2层，135.9平方米）、1-6（6层，322.6平方米）、1-8（-1层，191.9平方米）</t>
    <phoneticPr fontId="4" type="noConversion"/>
  </si>
  <si>
    <t>1984、1994</t>
    <phoneticPr fontId="4" type="noConversion"/>
  </si>
  <si>
    <t xml:space="preserve"> 琉璃厂东街22、24号1幢1至2层2幢1至2层3幢1至2层4幢1至2层5幢1层</t>
    <phoneticPr fontId="4" type="noConversion"/>
  </si>
  <si>
    <t>宣武门</t>
    <phoneticPr fontId="4" type="noConversion"/>
  </si>
  <si>
    <t>中国工艺艺术北京发展中心</t>
    <phoneticPr fontId="4" type="noConversion"/>
  </si>
  <si>
    <t>北京状元街控股有限公司</t>
    <phoneticPr fontId="4"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</si>
  <si>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4" type="noConversion"/>
  </si>
  <si>
    <t>1990(约)</t>
    <phoneticPr fontId="4" type="noConversion"/>
  </si>
  <si>
    <t>中国抽纱交流中心</t>
    <phoneticPr fontId="4" type="noConversion"/>
  </si>
  <si>
    <t>朝阳区惠新东街19号（西院）（原北土城宾馆）</t>
    <phoneticPr fontId="4" type="noConversion"/>
  </si>
  <si>
    <t>亚奥</t>
    <phoneticPr fontId="4" type="noConversion"/>
  </si>
  <si>
    <t>中国抽纱品进出口（集团）有限公司</t>
    <phoneticPr fontId="4" type="noConversion"/>
  </si>
  <si>
    <t>办公/商业、地下车位</t>
    <phoneticPr fontId="4" type="noConversion"/>
  </si>
  <si>
    <t>招商局公路网络科技控股股份有限公司</t>
    <phoneticPr fontId="4" type="noConversion"/>
  </si>
  <si>
    <t xml:space="preserve"> 建筑高度：45米、停车位约200个;中心共分为ABC三座,地下3层，地上12层（A座6层，B座12层，C座9层），</t>
    <phoneticPr fontId="4" type="noConversion"/>
  </si>
  <si>
    <t>2020年（约）</t>
    <phoneticPr fontId="4" type="noConversion"/>
  </si>
  <si>
    <t>季报</t>
    <phoneticPr fontId="4" type="noConversion"/>
  </si>
  <si>
    <t>北京远洋未来广场、53个产权车位、人防工程及相关附属设施</t>
    <phoneticPr fontId="4" type="noConversion"/>
  </si>
  <si>
    <t>朝阳区北四环东路73号院1号楼</t>
    <phoneticPr fontId="4" type="noConversion"/>
  </si>
  <si>
    <t>远洋</t>
    <phoneticPr fontId="4" type="noConversion"/>
  </si>
  <si>
    <t>商业、车库</t>
    <phoneticPr fontId="4" type="noConversion"/>
  </si>
  <si>
    <t>居然之家</t>
    <phoneticPr fontId="4" type="noConversion"/>
  </si>
  <si>
    <t>地下车位53个产权车位，另有人防工程16691平方米；土地年期至2047年3月1日；收购价含3.48亿优先收购权，16.04亿主体商业、0.1亿产权车位</t>
    <phoneticPr fontId="4" type="noConversion"/>
  </si>
  <si>
    <t>2013年</t>
    <phoneticPr fontId="4" type="noConversion"/>
  </si>
  <si>
    <t>股权+资产+人防工程使用权</t>
    <phoneticPr fontId="4" type="noConversion"/>
  </si>
  <si>
    <t>乐华大厦（原望京华樾中心二期）B座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</si>
  <si>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</si>
  <si>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</si>
  <si>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</si>
  <si>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</si>
  <si>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</si>
  <si>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</si>
  <si>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</si>
  <si>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</si>
  <si>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锦鸿阁-b座B101、B102、B103、B105、B106、B107、B108、B201、B202、B203、B205号共计11套不动产</t>
    <phoneticPr fontId="4" type="noConversion"/>
  </si>
  <si>
    <t>朝阳区青年沟路8号楼的B座B101、B102、B103、B105、B106、B107、B108、B201、B202、B203、B205号共计11套不动产</t>
    <phoneticPr fontId="4" type="noConversion"/>
  </si>
  <si>
    <t>和平里</t>
    <phoneticPr fontId="4" type="noConversion"/>
  </si>
  <si>
    <t>金政房开</t>
    <phoneticPr fontId="4" type="noConversion"/>
  </si>
  <si>
    <t>贵州博定耀科技有限公司</t>
    <phoneticPr fontId="4" type="noConversion"/>
  </si>
  <si>
    <t>目前存在占用情况，后续可能腾退时间较长；地上1-2层</t>
    <phoneticPr fontId="4" type="noConversion"/>
  </si>
  <si>
    <t>2006年</t>
    <phoneticPr fontId="4" type="noConversion"/>
  </si>
  <si>
    <t>东坝生活广场102</t>
    <phoneticPr fontId="4" type="noConversion"/>
  </si>
  <si>
    <t>朝阳区朝新嘉园东里五区18号楼1-3层102号</t>
    <phoneticPr fontId="4" type="noConversion"/>
  </si>
  <si>
    <t>东坝</t>
    <phoneticPr fontId="4" type="noConversion"/>
  </si>
  <si>
    <t>北京佳之兴商业有限公司</t>
    <phoneticPr fontId="4" type="noConversion"/>
  </si>
  <si>
    <t>房屋所有权人自己分割改建了四层，第四层非证载面积：802平方米（未办理房屋产权证）。</t>
    <phoneticPr fontId="4" type="noConversion"/>
  </si>
  <si>
    <t>首开锦鲤7#楼(工人文化宫)配套楼101及地下-101</t>
    <phoneticPr fontId="4" type="noConversion"/>
  </si>
  <si>
    <t>朝阳区东坝乡驹子房1106-720地块f1住宅混合公建用地</t>
    <phoneticPr fontId="4" type="noConversion"/>
  </si>
  <si>
    <t>北京共泰房地产开发有限公司</t>
    <phoneticPr fontId="4" type="noConversion"/>
  </si>
  <si>
    <t>_</t>
    <phoneticPr fontId="4" type="noConversion"/>
  </si>
  <si>
    <t>地上10层，地下1层</t>
    <phoneticPr fontId="4" type="noConversion"/>
  </si>
  <si>
    <t>网签</t>
    <phoneticPr fontId="4" type="noConversion"/>
  </si>
  <si>
    <t>联宝公寓（7#楼、甲5号楼配套商业及地下车库</t>
    <phoneticPr fontId="4" type="noConversion"/>
  </si>
  <si>
    <t>朝阳区幸福一村西里</t>
    <phoneticPr fontId="4" type="noConversion"/>
  </si>
  <si>
    <t>三里屯</t>
    <phoneticPr fontId="4" type="noConversion"/>
  </si>
  <si>
    <t>首开</t>
    <phoneticPr fontId="4" type="noConversion"/>
  </si>
  <si>
    <t>住宅、商业、地下车库</t>
    <phoneticPr fontId="4" type="noConversion"/>
  </si>
  <si>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phoneticPr fontId="4" type="noConversion"/>
  </si>
  <si>
    <t>1997年</t>
    <phoneticPr fontId="4" type="noConversion"/>
  </si>
  <si>
    <t>上市公告</t>
    <phoneticPr fontId="4" type="noConversion"/>
  </si>
  <si>
    <t>大悦时代广场(悦荣中心)1号楼</t>
    <phoneticPr fontId="4" type="noConversion"/>
  </si>
  <si>
    <t>丰台区槐房西路9号院1号楼</t>
    <phoneticPr fontId="4" type="noConversion"/>
  </si>
  <si>
    <t>新宫</t>
    <phoneticPr fontId="4" type="noConversion"/>
  </si>
  <si>
    <t>中粮</t>
    <phoneticPr fontId="4" type="noConversion"/>
  </si>
  <si>
    <t>酒店、商业餐饮</t>
    <phoneticPr fontId="4" type="noConversion"/>
  </si>
  <si>
    <t>地上11层，其中底商494.07平方米(网签价59999元/平方米，酒店32185元/平方米)；临地铁，临街；商业2057-6-26</t>
    <phoneticPr fontId="4" type="noConversion"/>
  </si>
  <si>
    <t>2021年</t>
    <phoneticPr fontId="4" type="noConversion"/>
  </si>
  <si>
    <t>昆泰嘉华酒店裙房底商12-5</t>
    <phoneticPr fontId="4" type="noConversion"/>
  </si>
  <si>
    <t>朝阳区朝外大街乙12号酒店裙房商铺、餐饮1层05</t>
    <phoneticPr fontId="4" type="noConversion"/>
  </si>
  <si>
    <t>朝外</t>
    <phoneticPr fontId="4" type="noConversion"/>
  </si>
  <si>
    <t>北京清大国源环境科技有限公司</t>
    <phoneticPr fontId="4" type="noConversion"/>
  </si>
  <si>
    <t>现房产有租赁，租期自2018年10月16日至2028年10月15日，租金标准为15.75元/日/㎡，第三年起每两年递增5%。</t>
    <phoneticPr fontId="4" type="noConversion"/>
  </si>
  <si>
    <t>2005年</t>
    <phoneticPr fontId="4" type="noConversion"/>
  </si>
  <si>
    <t>南四环西路188号一区30号楼1层101（KFC总部基地穿梭餐厅）</t>
    <phoneticPr fontId="4" type="noConversion"/>
  </si>
  <si>
    <t>丰台区南四环西路188号一区30号楼1层101</t>
    <phoneticPr fontId="4" type="noConversion"/>
  </si>
  <si>
    <t>总部基地</t>
    <phoneticPr fontId="4" type="noConversion"/>
  </si>
  <si>
    <t>中关村丰台园道丰科技商务园</t>
    <phoneticPr fontId="4" type="noConversion"/>
  </si>
  <si>
    <t>租赁期限为：自2015年4月1日至2035年3月31日止；土地终止日期2054.7.27；钢混结构，层高4米，现状为2层，1层部分及2层存在加建；</t>
    <phoneticPr fontId="4" type="noConversion"/>
  </si>
  <si>
    <t>双井凯德Mall（原家乐福双井店）</t>
    <phoneticPr fontId="4" type="noConversion"/>
  </si>
  <si>
    <t>朝阳区双井街道广渠路31号</t>
    <phoneticPr fontId="4" type="noConversion"/>
  </si>
  <si>
    <t>双井</t>
    <phoneticPr fontId="4" type="noConversion"/>
  </si>
  <si>
    <t xml:space="preserve">凯德中国信托（CLCT） </t>
    <phoneticPr fontId="4" type="noConversion"/>
  </si>
  <si>
    <t>鄂尔多斯企业</t>
    <phoneticPr fontId="4" type="noConversion"/>
  </si>
  <si>
    <t>2023-Q4</t>
    <phoneticPr fontId="4" type="noConversion"/>
  </si>
  <si>
    <t>土地终止日期2042-7-10；2006年购置价4.14亿元；B1-L3</t>
    <phoneticPr fontId="4" type="noConversion"/>
  </si>
  <si>
    <t>2004年（约）</t>
    <phoneticPr fontId="4" type="noConversion"/>
  </si>
  <si>
    <t>大悦时代广场(悦荣中心)7号楼</t>
    <phoneticPr fontId="4" type="noConversion"/>
  </si>
  <si>
    <t>丰台区槐房西路9号院7号楼</t>
    <phoneticPr fontId="4" type="noConversion"/>
  </si>
  <si>
    <t>办公（首层商业）</t>
    <phoneticPr fontId="4" type="noConversion"/>
  </si>
  <si>
    <t>地上1-10层，F1商业298.06平方米；商业2057-6-26；办公2067-6-26；首层层高6米，办公层高4.2米</t>
    <phoneticPr fontId="4" type="noConversion"/>
  </si>
  <si>
    <t>恒兴大厦2层</t>
    <phoneticPr fontId="4" type="noConversion"/>
  </si>
  <si>
    <t>海淀区中关村东路89号2层整层</t>
    <phoneticPr fontId="4" type="noConversion"/>
  </si>
  <si>
    <t>中关村</t>
    <phoneticPr fontId="4" type="noConversion"/>
  </si>
  <si>
    <t>北京中奥启天实业有限公司</t>
    <phoneticPr fontId="4" type="noConversion"/>
  </si>
  <si>
    <t>商业（现状办公）</t>
    <phoneticPr fontId="4" type="noConversion"/>
  </si>
  <si>
    <t>北京航阳商贸实业有限公司</t>
    <phoneticPr fontId="4" type="noConversion"/>
  </si>
  <si>
    <t>商住两用的公寓楼</t>
    <phoneticPr fontId="4" type="noConversion"/>
  </si>
  <si>
    <t>2002年</t>
    <phoneticPr fontId="4" type="noConversion"/>
  </si>
  <si>
    <t>恒兴大厦1层E</t>
    <phoneticPr fontId="4" type="noConversion"/>
  </si>
  <si>
    <t>海淀区中关村东路89号1层E</t>
    <phoneticPr fontId="4" type="noConversion"/>
  </si>
  <si>
    <t>北京坤阳丰伟科技有限公司</t>
    <phoneticPr fontId="4" type="noConversion"/>
  </si>
  <si>
    <t>恒兴大厦1层D</t>
    <phoneticPr fontId="4" type="noConversion"/>
  </si>
  <si>
    <t>海淀区中关村东路89号1层D</t>
    <phoneticPr fontId="4" type="noConversion"/>
  </si>
  <si>
    <t>北京民治则正科技有限公司</t>
    <phoneticPr fontId="4" type="noConversion"/>
  </si>
  <si>
    <t>恒盛华庭（欧洲公馆）5号楼</t>
    <phoneticPr fontId="4" type="noConversion"/>
  </si>
  <si>
    <t>海淀区金沟河路16号院5号楼</t>
    <phoneticPr fontId="4" type="noConversion"/>
  </si>
  <si>
    <t>五棵松</t>
    <phoneticPr fontId="4" type="noConversion"/>
  </si>
  <si>
    <t>永和地产</t>
    <phoneticPr fontId="4" type="noConversion"/>
  </si>
  <si>
    <t>地上:3 地下:1</t>
    <phoneticPr fontId="4" type="noConversion"/>
  </si>
  <si>
    <t>2019年</t>
    <phoneticPr fontId="4" type="noConversion"/>
  </si>
  <si>
    <t>华业国际中心一层、地上16层、20层3套及负一层部分共272处</t>
    <phoneticPr fontId="4" type="noConversion"/>
  </si>
  <si>
    <t>朝阳区东四环中路39号</t>
    <phoneticPr fontId="4" type="noConversion"/>
  </si>
  <si>
    <t>泛CBD</t>
    <phoneticPr fontId="4" type="noConversion"/>
  </si>
  <si>
    <t>高盛华房地产开发公司</t>
    <phoneticPr fontId="4" type="noConversion"/>
  </si>
  <si>
    <t>商业用房、办公用房、车位、便民超市</t>
    <phoneticPr fontId="4" type="noConversion"/>
  </si>
  <si>
    <t>北京铭信嘉和商业运营管理有限公司</t>
    <phoneticPr fontId="4" type="noConversion"/>
  </si>
  <si>
    <t>地上办公16层和20层3套共2318.04平方米，地上1层商业7685.24平方米；地下配套超市、餐厅7904.78平方米,219个车位</t>
    <phoneticPr fontId="4" type="noConversion"/>
  </si>
  <si>
    <t>2011年</t>
    <phoneticPr fontId="4" type="noConversion"/>
  </si>
  <si>
    <t>网签价66462.87万元</t>
    <phoneticPr fontId="4" type="noConversion"/>
  </si>
  <si>
    <t>东四十二条15号</t>
    <phoneticPr fontId="4" type="noConversion"/>
  </si>
  <si>
    <t>东城区东四十二条15号</t>
    <phoneticPr fontId="4" type="noConversion"/>
  </si>
  <si>
    <t>东四</t>
    <phoneticPr fontId="4" type="noConversion"/>
  </si>
  <si>
    <t>北京君道成投资咨询有限公司</t>
    <phoneticPr fontId="4" type="noConversion"/>
  </si>
  <si>
    <t>及增建地下室264.57平方米、采光顶333.87平方米；土地终止日期2045-3-15</t>
    <phoneticPr fontId="4" type="noConversion"/>
  </si>
  <si>
    <t>橡树澜湾限竞房（澜湾2035）丰茂大厦16#楼</t>
    <phoneticPr fontId="4" type="noConversion"/>
  </si>
  <si>
    <t>丰台区张仪村路18号院16号楼</t>
    <phoneticPr fontId="4" type="noConversion"/>
  </si>
  <si>
    <t>小屯</t>
    <phoneticPr fontId="4" type="noConversion"/>
  </si>
  <si>
    <t>电建/华润</t>
    <phoneticPr fontId="4" type="noConversion"/>
  </si>
  <si>
    <t>含103-104、203-204、301、401、501</t>
    <phoneticPr fontId="4" type="noConversion"/>
  </si>
  <si>
    <t>方恒时尚中心1#楼104、-105</t>
    <phoneticPr fontId="4" type="noConversion"/>
  </si>
  <si>
    <t>海淀区北三环西路，大钟寺地铁站西北三百米处</t>
    <phoneticPr fontId="4" type="noConversion"/>
  </si>
  <si>
    <t>北三环</t>
    <phoneticPr fontId="4" type="noConversion"/>
  </si>
  <si>
    <t>方恒集团</t>
    <phoneticPr fontId="4" type="noConversion"/>
  </si>
  <si>
    <t>1#楼104、B1-105</t>
    <phoneticPr fontId="4" type="noConversion"/>
  </si>
  <si>
    <t>新街高和（原为星街坊购物中心）</t>
    <phoneticPr fontId="4" type="noConversion"/>
  </si>
  <si>
    <t>西城区新街口北大街3号</t>
    <phoneticPr fontId="4" type="noConversion"/>
  </si>
  <si>
    <t>新街口</t>
    <phoneticPr fontId="4" type="noConversion"/>
  </si>
  <si>
    <t>高和资本</t>
    <phoneticPr fontId="4" type="noConversion"/>
  </si>
  <si>
    <t>长城人寿</t>
    <phoneticPr fontId="4" type="noConversion"/>
  </si>
  <si>
    <t>2023年Q4</t>
    <phoneticPr fontId="4"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</si>
  <si>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4" type="noConversion"/>
  </si>
  <si>
    <t>2008年</t>
    <phoneticPr fontId="4" type="noConversion"/>
  </si>
  <si>
    <t>公告+新闻+备案表</t>
    <phoneticPr fontId="4" type="noConversion"/>
  </si>
  <si>
    <t>丽金置地中心B座1-3层商业</t>
    <phoneticPr fontId="4" type="noConversion"/>
  </si>
  <si>
    <t>海淀区魏公村地铁站西侧200米</t>
    <phoneticPr fontId="4" type="noConversion"/>
  </si>
  <si>
    <t>金力</t>
    <phoneticPr fontId="4" type="noConversion"/>
  </si>
  <si>
    <t>蚂蚁金服</t>
    <phoneticPr fontId="4" type="noConversion"/>
  </si>
  <si>
    <t>2023-Q2</t>
    <phoneticPr fontId="4" type="noConversion"/>
  </si>
  <si>
    <t>办公、地下车库：2053年10月21日；F1层1413.18平方米，F2层4073.23平方米，F3层4596.53平方米，其他信息不详，仅供参考；2024年4月网签</t>
    <phoneticPr fontId="4" type="noConversion"/>
  </si>
  <si>
    <t>2023年</t>
    <phoneticPr fontId="4" type="noConversion"/>
  </si>
  <si>
    <t>朝阳区辛庄一街9号楼1至2层101及104配套商业，-1层-101、-104及-105戊类库房</t>
    <phoneticPr fontId="4" type="noConversion"/>
  </si>
  <si>
    <t>朝阳区辛庄一街9号楼</t>
    <phoneticPr fontId="4" type="noConversion"/>
  </si>
  <si>
    <t>朝阳公园</t>
    <phoneticPr fontId="4" type="noConversion"/>
  </si>
  <si>
    <t>泛海</t>
    <phoneticPr fontId="4" type="noConversion"/>
  </si>
  <si>
    <t>商业、地下仓储</t>
    <phoneticPr fontId="4" type="noConversion"/>
  </si>
  <si>
    <t>大城县新晨商贸有限公司</t>
    <phoneticPr fontId="4" type="noConversion"/>
  </si>
  <si>
    <t>地上2层、地下1层；毛坯，1层层高约5.3米、2层层高约4.7米;102-103及地下1层102-103为不可分摊的配电室、开闭所；2044年08月30日止</t>
    <phoneticPr fontId="4" type="noConversion"/>
  </si>
  <si>
    <t>2016年</t>
    <phoneticPr fontId="4" type="noConversion"/>
  </si>
  <si>
    <t>朝阳区辛庄一街11号楼1至2层101号</t>
    <phoneticPr fontId="4" type="noConversion"/>
  </si>
  <si>
    <t>大城县永建商贸有限公司</t>
    <phoneticPr fontId="4" type="noConversion"/>
  </si>
  <si>
    <t>精装,该房屋存在租赁，作售楼处使用，租赁期至2025年3月17日，有租金收益。2044年08月30日止</t>
    <phoneticPr fontId="4" type="noConversion"/>
  </si>
  <si>
    <t>中海学府里S1楼1-3层</t>
    <phoneticPr fontId="4" type="noConversion"/>
  </si>
  <si>
    <t>石景山区张仪村路，西四环外的衙门口区域，莲石东路南侧1公里，临近11号线二期鲁谷大街站</t>
    <phoneticPr fontId="4" type="noConversion"/>
  </si>
  <si>
    <t>石景山区</t>
  </si>
  <si>
    <t>衙门口</t>
    <phoneticPr fontId="4" type="noConversion"/>
  </si>
  <si>
    <t>中海</t>
  </si>
  <si>
    <t>地上1-3层，期房</t>
    <phoneticPr fontId="4" type="noConversion"/>
  </si>
  <si>
    <t>2026年</t>
    <phoneticPr fontId="4" type="noConversion"/>
  </si>
  <si>
    <t>网签</t>
  </si>
  <si>
    <t>国兴家园裙楼1-3层部分</t>
    <phoneticPr fontId="4" type="noConversion"/>
  </si>
  <si>
    <t>海淀区首体南路甲20号103、105、106、202、302</t>
    <phoneticPr fontId="4" type="noConversion"/>
  </si>
  <si>
    <t>甘家口</t>
    <phoneticPr fontId="4" type="noConversion"/>
  </si>
  <si>
    <t>北京能源房地产开发有限责任公司</t>
    <phoneticPr fontId="4" type="noConversion"/>
  </si>
  <si>
    <t>资阳空港投资集团有限公司</t>
    <phoneticPr fontId="4" type="noConversion"/>
  </si>
  <si>
    <t>地上1-3层，F1层2471.58平方米，F2层3639.89平方米，F3层3837.67㎡，附属139.35平方米，有租赁（现状租赁给正院、工行）；商业及配套商业为 2039年07月01日</t>
    <phoneticPr fontId="4" type="noConversion"/>
  </si>
  <si>
    <t>2001年</t>
    <phoneticPr fontId="4" type="noConversion"/>
  </si>
  <si>
    <t>绿城沁园（指导价）（沁园中心）12-13#</t>
    <phoneticPr fontId="4" type="noConversion"/>
  </si>
  <si>
    <t>朝阳区豆各庄乡孙家坡村1306-638地块，北距7号线地铁黄厂站约500m，南距京津高速约400m</t>
    <phoneticPr fontId="4" type="noConversion"/>
  </si>
  <si>
    <t>豆各庄</t>
    <phoneticPr fontId="4" type="noConversion"/>
  </si>
  <si>
    <t>绿城/金茂</t>
    <phoneticPr fontId="4" type="noConversion"/>
  </si>
  <si>
    <t>中国平安</t>
    <phoneticPr fontId="4" type="noConversion"/>
  </si>
  <si>
    <t>13#楼地上16层，12#地上22层；其中地上1-2层为商业，建筑面积3865.83平方米</t>
    <phoneticPr fontId="4" type="noConversion"/>
  </si>
  <si>
    <t>玉泉商业中心</t>
    <phoneticPr fontId="4" type="noConversion"/>
  </si>
  <si>
    <t>海淀区玉泉北里一区9号楼</t>
    <phoneticPr fontId="4" type="noConversion"/>
  </si>
  <si>
    <t>田村</t>
    <phoneticPr fontId="4" type="noConversion"/>
  </si>
  <si>
    <t>北京玉泉新城房地产开发有限公司（北京城建/复地集团）</t>
    <phoneticPr fontId="4" type="noConversion"/>
  </si>
  <si>
    <t>商业及地下车库</t>
    <phoneticPr fontId="4"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</si>
  <si>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4" type="noConversion"/>
  </si>
  <si>
    <t>崇文门外大街18-15号1幢（裙房）（国瑞购物中心侧面）</t>
    <phoneticPr fontId="4" type="noConversion"/>
  </si>
  <si>
    <t>东城区崇文门外大街18-15号1幢（裙房）1层101、1层102、2层201、3层301商业房地产、-3层-301、-3层-302、-4层-401车库房地产及-4层-402号附属用房房地产</t>
    <phoneticPr fontId="4" type="noConversion"/>
  </si>
  <si>
    <t>崇文门</t>
    <phoneticPr fontId="4" type="noConversion"/>
  </si>
  <si>
    <t>国瑞</t>
    <phoneticPr fontId="4" type="noConversion"/>
  </si>
  <si>
    <t>宁波雅戈尔服饰有限公司</t>
    <phoneticPr fontId="4"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</si>
  <si>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4" type="noConversion"/>
  </si>
  <si>
    <t>2009年</t>
    <phoneticPr fontId="4" type="noConversion"/>
  </si>
  <si>
    <t>昆仑公寓5层商业及两个车位</t>
    <phoneticPr fontId="4" type="noConversion"/>
  </si>
  <si>
    <t>朝阳区新源南路甲2号(推广名：昆仑公寓)5层052-05商业房地产及不可拆除移动的装饰装修、-4层-04B-4-09车位、-4层-04B-4-36车位整体</t>
    <phoneticPr fontId="4" type="noConversion"/>
  </si>
  <si>
    <t>燕莎</t>
    <phoneticPr fontId="4" type="noConversion"/>
  </si>
  <si>
    <t>北京为雄科技有限公司</t>
    <phoneticPr fontId="4" type="noConversion"/>
  </si>
  <si>
    <t>实际用途为商办公寓</t>
    <phoneticPr fontId="4" type="noConversion"/>
  </si>
  <si>
    <t>2007年</t>
    <phoneticPr fontId="4" type="noConversion"/>
  </si>
  <si>
    <t>世奥国际中心5层601</t>
    <phoneticPr fontId="4" type="noConversion"/>
  </si>
  <si>
    <t>朝阳区芍药居北里101号1幢5层601房</t>
    <phoneticPr fontId="4" type="noConversion"/>
  </si>
  <si>
    <t>芍药居</t>
    <phoneticPr fontId="4" type="noConversion"/>
  </si>
  <si>
    <t>北京宜华时代家具有限公司</t>
    <phoneticPr fontId="4" type="noConversion"/>
  </si>
  <si>
    <t>北京亦蜂亦客科技有限公司</t>
    <phoneticPr fontId="4" type="noConversion"/>
  </si>
  <si>
    <t>5层601与6层704二套不动产套内之间存在上下相通的楼梯应予拆除并浇板隔断，规范施工所需的一切费用约40,000元。上述房地产价值未扣除该费用;至2054年8月30日止；房屋总层数 28(-4)层。</t>
    <phoneticPr fontId="4" type="noConversion"/>
  </si>
  <si>
    <t>新街口西里三区2号2-4、2-7（-1至1层）</t>
    <phoneticPr fontId="4" type="noConversion"/>
  </si>
  <si>
    <t>西城区新街口西里三区2号楼-1至1层2-4、2号楼-1至1层2-7</t>
    <phoneticPr fontId="4" type="noConversion"/>
  </si>
  <si>
    <t>锦程天际（北京）咨询有限公司</t>
    <phoneticPr fontId="4" type="noConversion"/>
  </si>
  <si>
    <t>北京新沅顺兴科技有限公司</t>
    <phoneticPr fontId="4"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</si>
  <si>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4" type="noConversion"/>
  </si>
  <si>
    <t>2003年</t>
    <phoneticPr fontId="4" type="noConversion"/>
  </si>
  <si>
    <t>新景商务楼</t>
    <phoneticPr fontId="4" type="noConversion"/>
  </si>
  <si>
    <t>东城区广渠门内大街125号院1号楼</t>
    <phoneticPr fontId="4" type="noConversion"/>
  </si>
  <si>
    <t>广渠门</t>
    <phoneticPr fontId="4" type="noConversion"/>
  </si>
  <si>
    <t>新世界</t>
    <phoneticPr fontId="4" type="noConversion"/>
  </si>
  <si>
    <t>商业、办公、车库、储藏室</t>
    <phoneticPr fontId="4" type="noConversion"/>
  </si>
  <si>
    <t>长江商学院</t>
    <phoneticPr fontId="4" type="noConversion"/>
  </si>
  <si>
    <t>地上10层、地下3层，地下商业2104.51㎡，地下储藏室113.42平方米，地下车库4452.24平方米；地上1、2层、4层部分为商业（7455.79平方米）</t>
    <phoneticPr fontId="4" type="noConversion"/>
  </si>
  <si>
    <t>网签+报道</t>
    <phoneticPr fontId="4" type="noConversion"/>
  </si>
  <si>
    <t>观巢裙楼101室</t>
    <phoneticPr fontId="4" type="noConversion"/>
  </si>
  <si>
    <t>朝阳区慧忠里122号楼101室</t>
    <phoneticPr fontId="4" type="noConversion"/>
  </si>
  <si>
    <t>亚运村</t>
    <phoneticPr fontId="4" type="noConversion"/>
  </si>
  <si>
    <t>企业</t>
    <phoneticPr fontId="4" type="noConversion"/>
  </si>
  <si>
    <t>北京休休有容商业管理有限公司</t>
    <phoneticPr fontId="4" type="noConversion"/>
  </si>
  <si>
    <t>地上1-3层</t>
    <phoneticPr fontId="4" type="noConversion"/>
  </si>
  <si>
    <t>观巢裙楼102、103、104室</t>
    <phoneticPr fontId="4" type="noConversion"/>
  </si>
  <si>
    <t>朝阳区慧忠里122号楼102、103、104室</t>
    <phoneticPr fontId="4" type="noConversion"/>
  </si>
  <si>
    <t>济南泰银丰六号企业管理合伙企业（有限合伙）</t>
    <phoneticPr fontId="4" type="noConversion"/>
  </si>
  <si>
    <r>
      <t>地上1-3层；</t>
    </r>
    <r>
      <rPr>
        <b/>
        <sz val="10"/>
        <color rgb="FFFF0000"/>
        <rFont val="宋体"/>
        <family val="3"/>
        <charset val="134"/>
      </rPr>
      <t>9-20成交后（5510.3445）悔拍后再次拍卖</t>
    </r>
    <phoneticPr fontId="4" type="noConversion"/>
  </si>
  <si>
    <t>观巢裙楼201室</t>
    <phoneticPr fontId="4" type="noConversion"/>
  </si>
  <si>
    <t>朝阳区慧忠里122号楼201室</t>
    <phoneticPr fontId="4" type="noConversion"/>
  </si>
  <si>
    <t>北京游目骋怀商业管理有限公司</t>
    <phoneticPr fontId="4" type="noConversion"/>
  </si>
  <si>
    <t>观巢裙楼202室</t>
    <phoneticPr fontId="4" type="noConversion"/>
  </si>
  <si>
    <t>朝阳区慧忠里122号楼202室</t>
    <phoneticPr fontId="4" type="noConversion"/>
  </si>
  <si>
    <t>北京精妙绝伦商业管理有限公司</t>
    <phoneticPr fontId="4" type="noConversion"/>
  </si>
  <si>
    <t>观巢裙楼301室</t>
    <phoneticPr fontId="4" type="noConversion"/>
  </si>
  <si>
    <t>朝阳区慧忠里122号楼301室</t>
    <phoneticPr fontId="4" type="noConversion"/>
  </si>
  <si>
    <t>北京嘉利汇成商业管理有限公司</t>
    <phoneticPr fontId="4" type="noConversion"/>
  </si>
  <si>
    <t>都市网景2号楼（现状出租做北岸轻居酒店）</t>
    <phoneticPr fontId="4" type="noConversion"/>
  </si>
  <si>
    <t xml:space="preserve"> 海淀区中关村东路123号2号楼1至3层一层南侧、二至三层房屋及土地使用权</t>
    <phoneticPr fontId="4" type="noConversion"/>
  </si>
  <si>
    <t>北京中佰乐投资有限公
司</t>
    <phoneticPr fontId="4" type="noConversion"/>
  </si>
  <si>
    <t>商业办公</t>
    <phoneticPr fontId="4" type="noConversion"/>
  </si>
  <si>
    <t>北京千辉物业管理有限公司</t>
    <phoneticPr fontId="4" type="noConversion"/>
  </si>
  <si>
    <t>2049年3月29日，净高：一层2.81米，二、三层2.60米；总层数26层，估价对象位于1-3层。</t>
    <phoneticPr fontId="4" type="noConversion"/>
  </si>
  <si>
    <t>2000年</t>
    <phoneticPr fontId="4" type="noConversion"/>
  </si>
  <si>
    <t>润枫水尚配套商业楼</t>
    <phoneticPr fontId="4" type="noConversion"/>
  </si>
  <si>
    <t>朝阳区青年路西里5号院16号楼-2层-201号等9套配套商业用房</t>
    <phoneticPr fontId="4" type="noConversion"/>
  </si>
  <si>
    <t>青年路</t>
    <phoneticPr fontId="4" type="noConversion"/>
  </si>
  <si>
    <t>润丰地产</t>
    <phoneticPr fontId="4" type="noConversion"/>
  </si>
  <si>
    <t>配套商业</t>
    <phoneticPr fontId="4" type="noConversion"/>
  </si>
  <si>
    <t>朔州市宇享工贸有限公司</t>
    <phoneticPr fontId="4" type="noConversion"/>
  </si>
  <si>
    <t>101-104、-101（1432.04㎡）、-201（874.94㎡）、201-203；地上1层2052.5㎡、地上2层2233.14㎡；地下2层地上2层；2044-11-23；有租约</t>
    <phoneticPr fontId="4" type="noConversion"/>
  </si>
  <si>
    <t>西坝河西里甲18号-1至4层房产</t>
    <phoneticPr fontId="4" type="noConversion"/>
  </si>
  <si>
    <t>朝阳区西坝河西里甲18号-1至4层房产；西至七圣路，北至小区道路，东至西坝河西里20#，南至西坝河西里19#</t>
    <phoneticPr fontId="4" type="noConversion"/>
  </si>
  <si>
    <t>三元桥</t>
    <phoneticPr fontId="4" type="noConversion"/>
  </si>
  <si>
    <t>威邦物管</t>
    <phoneticPr fontId="4" type="noConversion"/>
  </si>
  <si>
    <t>商业楼（现状办公）</t>
    <phoneticPr fontId="4" type="noConversion"/>
  </si>
  <si>
    <t>北京中胜鸿壹酒店管理有限公司</t>
    <phoneticPr fontId="4" type="noConversion"/>
  </si>
  <si>
    <t>2039/12/26；地下1层地上4层，混合结构，其中附房71.8平方米</t>
    <phoneticPr fontId="4" type="noConversion"/>
  </si>
  <si>
    <t>望京华樾中心(一期启华大厦)</t>
    <phoneticPr fontId="4" type="noConversion"/>
  </si>
  <si>
    <t>朝阳区创远路26号院1号楼，紧邻望京地铁14号线善各庄站C口</t>
    <phoneticPr fontId="4" type="noConversion"/>
  </si>
  <si>
    <t>办公、商业、车库</t>
    <phoneticPr fontId="4" type="noConversion"/>
  </si>
  <si>
    <t>B3-12层，地下商业1626.48平方米（1.5万/分㎡），地下车位70个合计3246.49平方米（15万/个）；地上办公单价46500元/平方米</t>
    <phoneticPr fontId="4" type="noConversion"/>
  </si>
  <si>
    <t>当代moma部分</t>
    <phoneticPr fontId="4" type="noConversion"/>
  </si>
  <si>
    <t>东城区香河园街1号院北区3号楼、6号楼、7号楼、8号楼、12号楼共计42套房地产</t>
    <phoneticPr fontId="4" type="noConversion"/>
  </si>
  <si>
    <t>东直门</t>
    <phoneticPr fontId="4" type="noConversion"/>
  </si>
  <si>
    <t>当代</t>
    <phoneticPr fontId="4" type="noConversion"/>
  </si>
  <si>
    <t>商业配套</t>
    <phoneticPr fontId="4" type="noConversion"/>
  </si>
  <si>
    <t>北京灏晟企业管理咨询有限公司（世纪金源）</t>
    <phoneticPr fontId="4" type="noConversion"/>
  </si>
  <si>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phoneticPr fontId="4" type="noConversion"/>
  </si>
  <si>
    <t>2008-2010年</t>
    <phoneticPr fontId="4" type="noConversion"/>
  </si>
  <si>
    <t>利锦府小区配套楼</t>
    <phoneticPr fontId="4" type="noConversion"/>
  </si>
  <si>
    <t>朝阳区红松园北里18号院9号9-1、9-2、9-3；11号11-1、11-2共5套非配套商业</t>
    <phoneticPr fontId="4" type="noConversion"/>
  </si>
  <si>
    <t>利锦荣房地产开发</t>
    <phoneticPr fontId="4" type="noConversion"/>
  </si>
  <si>
    <t>非配套商业</t>
    <phoneticPr fontId="4" type="noConversion"/>
  </si>
  <si>
    <t>北京鑫福鸿顺科技有限公司</t>
    <phoneticPr fontId="4" type="noConversion"/>
  </si>
  <si>
    <t>位于1层，2052-1-12；</t>
    <phoneticPr fontId="4" type="noConversion"/>
  </si>
  <si>
    <t>元嘉国际公寓底商</t>
    <phoneticPr fontId="4" type="noConversion"/>
  </si>
  <si>
    <t>东城区东中街40号1号楼1层07号</t>
    <phoneticPr fontId="4" type="noConversion"/>
  </si>
  <si>
    <t>东二环</t>
    <phoneticPr fontId="4" type="noConversion"/>
  </si>
  <si>
    <t>芝麻商贸（保定）有限公司</t>
    <phoneticPr fontId="4" type="noConversion"/>
  </si>
  <si>
    <t>位于1/11,租约（20230715至20290914，租金9元/㎡*天，每3年上浮3%）；终止日期2051年10月21日，</t>
    <phoneticPr fontId="4" type="noConversion"/>
  </si>
  <si>
    <t>冠城大通启辰中心6#楼1-9层</t>
    <phoneticPr fontId="4" type="noConversion"/>
  </si>
  <si>
    <t xml:space="preserve">	海淀区德政路16号院6号楼</t>
    <phoneticPr fontId="4" type="noConversion"/>
  </si>
  <si>
    <t>西北旺</t>
    <phoneticPr fontId="4" type="noConversion"/>
  </si>
  <si>
    <t>冠城大通</t>
    <phoneticPr fontId="4" type="noConversion"/>
  </si>
  <si>
    <t>办公、首层商业</t>
    <phoneticPr fontId="4" type="noConversion"/>
  </si>
  <si>
    <t>1-9层,其中1层商业1015.62平方米</t>
    <phoneticPr fontId="4" type="noConversion"/>
  </si>
  <si>
    <t>约2023年</t>
    <phoneticPr fontId="4" type="noConversion"/>
  </si>
  <si>
    <t>网签数据</t>
    <phoneticPr fontId="4" type="noConversion"/>
  </si>
  <si>
    <t>安慧北里安园8号楼1-5层房产</t>
    <phoneticPr fontId="4" type="noConversion"/>
  </si>
  <si>
    <t>朝阳区安慧北里安园8号楼1-5层房产</t>
    <phoneticPr fontId="4" type="noConversion"/>
  </si>
  <si>
    <t>香河茂顺商贸有限公司</t>
    <phoneticPr fontId="4" type="noConversion"/>
  </si>
  <si>
    <t>北京白菊电器有限公司</t>
    <phoneticPr fontId="4"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</si>
  <si>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4" type="noConversion"/>
  </si>
  <si>
    <r>
      <t>1</t>
    </r>
    <r>
      <rPr>
        <sz val="10"/>
        <rFont val="宋体"/>
        <family val="3"/>
        <charset val="134"/>
      </rPr>
      <t>997年</t>
    </r>
    <phoneticPr fontId="4" type="noConversion"/>
  </si>
  <si>
    <t>北京西站南路80号院6号楼1层101-9、101-10、101-11、101-12四套商业不动产</t>
    <phoneticPr fontId="4" type="noConversion"/>
  </si>
  <si>
    <t>西城区北京西站南路80号院6号楼1层，东邻领域青年社区、南临丽园路、西临北京西站南路辅路、北邻北京西站希尔顿花园酒店</t>
    <phoneticPr fontId="4" type="noConversion"/>
  </si>
  <si>
    <t>北京西站</t>
    <phoneticPr fontId="4" type="noConversion"/>
  </si>
  <si>
    <t>长安责任保险股份有限公司</t>
    <phoneticPr fontId="4" type="noConversion"/>
  </si>
  <si>
    <t>石家庄舜腾科技有限公司</t>
    <phoneticPr fontId="4" type="noConversion"/>
  </si>
  <si>
    <t>标的物现状合并打通使用及部分办公室，已无法分辨原状界限，为企业内部员工宿舍，无租赁；终止日期2044-3-21</t>
    <phoneticPr fontId="4" type="noConversion"/>
  </si>
  <si>
    <t>中海金融中心3号楼2-12层、7#101、104，8幢B1-B2</t>
    <phoneticPr fontId="4" type="noConversion"/>
  </si>
  <si>
    <t>西城区骡马市大街20号院一区，骡马市大街与菜市口大街东南角3号楼2-12层、7#101、104，8幢B1-B2</t>
    <phoneticPr fontId="4" type="noConversion"/>
  </si>
  <si>
    <t>菜市口</t>
    <phoneticPr fontId="4" type="noConversion"/>
  </si>
  <si>
    <t>中海</t>
    <phoneticPr fontId="4" type="noConversion"/>
  </si>
  <si>
    <t>地下商业（B1-B2）4567.65平方米（B1网签价50000元/㎡,B2网签价27000元/㎡），首层商业1194.53平方米（网签价83000元/㎡）；办公29080.98平方米（网签价76900元/㎡）</t>
    <phoneticPr fontId="4" type="noConversion"/>
  </si>
  <si>
    <t>2024年（约）</t>
    <phoneticPr fontId="4" type="noConversion"/>
  </si>
  <si>
    <t>五路居甲16号院（美丽星苑）4号楼部分</t>
    <phoneticPr fontId="4" type="noConversion"/>
  </si>
  <si>
    <t>海淀区五路居甲16号院4号楼1层01、02，2层03号；所属楼宇紧邻五路居南街</t>
    <phoneticPr fontId="4" type="noConversion"/>
  </si>
  <si>
    <t>五路居</t>
    <phoneticPr fontId="4" type="noConversion"/>
  </si>
  <si>
    <t>二建房开</t>
    <phoneticPr fontId="4" type="noConversion"/>
  </si>
  <si>
    <t>综合超市、再生资源回收站、社区菜市场（实际用途为商业）</t>
    <phoneticPr fontId="4" type="noConversion"/>
  </si>
  <si>
    <r>
      <t>173.38+12.93+364.83（F2-03），所属楼宇1-2层;</t>
    </r>
    <r>
      <rPr>
        <b/>
        <sz val="10"/>
        <color rgb="FFFF0000"/>
        <rFont val="宋体"/>
        <family val="3"/>
        <charset val="134"/>
      </rPr>
      <t>划拨用地，有出租</t>
    </r>
    <phoneticPr fontId="4" type="noConversion"/>
  </si>
  <si>
    <t>2012年</t>
    <phoneticPr fontId="4" type="noConversion"/>
  </si>
  <si>
    <t>首程时代中心（立项名首鼎大厦）A区（含A1A2A3号地上地下建筑）)</t>
    <phoneticPr fontId="4" type="noConversion"/>
  </si>
  <si>
    <t>石景山区古城南街东侧（首钢园区东南区）1612-769地块B4综合性商业金融服务业用地</t>
    <phoneticPr fontId="4" type="noConversion"/>
  </si>
  <si>
    <t>首钢南</t>
    <phoneticPr fontId="4" type="noConversion"/>
  </si>
  <si>
    <t>北京璟鑫达房地产开发有限公司（首钢集团与新加坡金鹰集团）</t>
    <phoneticPr fontId="4" type="noConversion"/>
  </si>
  <si>
    <t>商业、办公、地下车库</t>
    <phoneticPr fontId="4" type="noConversion"/>
  </si>
  <si>
    <t>国家开放大学</t>
    <phoneticPr fontId="4"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</si>
  <si>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4" type="noConversion"/>
  </si>
  <si>
    <t>鲲意熙园（1#酒店楼101；2#酒店楼101；3#酒店楼101；4#酒店楼101；5#酒店楼101；S1#商业楼101；S2#商业楼101，-1层-101；S3#商业楼101，-1层-101、-102；地下车库-1层-1001至-1248）</t>
    <phoneticPr fontId="4" type="noConversion"/>
  </si>
  <si>
    <t>朝阳区来广营东路与电子城大街交叉口西南角</t>
    <phoneticPr fontId="4" type="noConversion"/>
  </si>
  <si>
    <t>崔各庄</t>
    <phoneticPr fontId="4" type="noConversion"/>
  </si>
  <si>
    <t>朝阳城开/中建</t>
    <phoneticPr fontId="4" type="noConversion"/>
  </si>
  <si>
    <t>酒店、商业、地下办公、车库</t>
    <phoneticPr fontId="4" type="noConversion"/>
  </si>
  <si>
    <t>1-5酒店楼地上7-25层（80197.22㎡）、S1#101、S2#-101、101、S3#101、-101、-102及248个车位（8154.96平方米，平均12万/个）；地下商业1849.29平方米，地下办公187.24平方米</t>
    <phoneticPr fontId="4" type="noConversion"/>
  </si>
  <si>
    <t>2027年（约）</t>
    <phoneticPr fontId="4" type="noConversion"/>
  </si>
  <si>
    <t>弘燕山水文园底商</t>
    <phoneticPr fontId="4" type="noConversion"/>
  </si>
  <si>
    <t>朝阳区弘燕山水文园4号楼1层商业1等26套不动产</t>
    <phoneticPr fontId="4" type="noConversion"/>
  </si>
  <si>
    <t>十里河</t>
    <phoneticPr fontId="4" type="noConversion"/>
  </si>
  <si>
    <t>山水文园凯亚房地产开发有限公司</t>
    <phoneticPr fontId="4" type="noConversion"/>
  </si>
  <si>
    <t>商业、地下仓储（实际为商业）</t>
    <phoneticPr fontId="4" type="noConversion"/>
  </si>
  <si>
    <t>北京淞晟商业运营管理有限公司</t>
    <phoneticPr fontId="4" type="noConversion"/>
  </si>
  <si>
    <t>4号楼1层商业1-商业7（不含商业4，1434.1㎡），-1层库房1至库房10（1710.76㎡）,5号楼1层商业1至商业8（1966.86㎡），-1层商业9（932.31㎡）、-1层库房（1314.6㎡）；商业2044-8-30，地下车库2054-8-30；有租约</t>
    <phoneticPr fontId="4" type="noConversion"/>
  </si>
  <si>
    <t>玉泉西里二区12号楼-1至1层商业06（大有健身）</t>
    <phoneticPr fontId="4" type="noConversion"/>
  </si>
  <si>
    <t>石景山区玉泉西里二区12号楼-1至1层商业06（现为大有健身）</t>
    <phoneticPr fontId="4" type="noConversion"/>
  </si>
  <si>
    <t>鲁谷</t>
    <phoneticPr fontId="4" type="noConversion"/>
  </si>
  <si>
    <t>有租约</t>
    <phoneticPr fontId="4" type="noConversion"/>
  </si>
  <si>
    <t>商业</t>
    <phoneticPr fontId="31" type="noConversion"/>
  </si>
  <si>
    <t>估价对象位于北苑商圈，周边上品折扣、林奥等购物中心项目，人流量较大，商业繁华度较好</t>
    <phoneticPr fontId="4" type="noConversion"/>
  </si>
  <si>
    <r>
      <rPr>
        <sz val="10"/>
        <color theme="9" tint="-0.249977111117893"/>
        <rFont val="宋体"/>
        <family val="3"/>
        <charset val="134"/>
      </rPr>
      <t>周边有</t>
    </r>
    <r>
      <rPr>
        <sz val="10"/>
        <color theme="9" tint="-0.249977111117893"/>
        <rFont val="Arial"/>
        <family val="2"/>
      </rPr>
      <t>466</t>
    </r>
    <r>
      <rPr>
        <sz val="10"/>
        <color theme="9" tint="-0.249977111117893"/>
        <rFont val="宋体"/>
        <family val="3"/>
        <charset val="134"/>
      </rPr>
      <t>、</t>
    </r>
    <r>
      <rPr>
        <sz val="10"/>
        <color theme="9" tint="-0.249977111117893"/>
        <rFont val="Arial"/>
        <family val="2"/>
      </rPr>
      <t>484</t>
    </r>
    <r>
      <rPr>
        <sz val="10"/>
        <color theme="9" tint="-0.249977111117893"/>
        <rFont val="宋体"/>
        <family val="3"/>
        <charset val="134"/>
      </rPr>
      <t>、</t>
    </r>
    <r>
      <rPr>
        <sz val="10"/>
        <color theme="9" tint="-0.249977111117893"/>
        <rFont val="Arial"/>
        <family val="2"/>
      </rPr>
      <t>593</t>
    </r>
    <r>
      <rPr>
        <sz val="10"/>
        <color theme="9" tint="-0.249977111117893"/>
        <rFont val="宋体"/>
        <family val="3"/>
        <charset val="134"/>
      </rPr>
      <t>路及地铁</t>
    </r>
    <r>
      <rPr>
        <sz val="10"/>
        <color theme="9" tint="-0.249977111117893"/>
        <rFont val="Arial"/>
        <family val="2"/>
      </rPr>
      <t>5</t>
    </r>
    <r>
      <rPr>
        <sz val="10"/>
        <color theme="9" tint="-0.249977111117893"/>
        <rFont val="宋体"/>
        <family val="3"/>
        <charset val="134"/>
      </rPr>
      <t>号，周边道路密集，停车便捷程度，综合评价交通便捷度较好</t>
    </r>
    <phoneticPr fontId="4" type="noConversion"/>
  </si>
  <si>
    <t>区域内有奥森公园等自然及人文环境，综合评价自然及人文环境状况较好。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</si>
  <si>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红军营南路</t>
    </r>
    <phoneticPr fontId="4" type="noConversion"/>
  </si>
  <si>
    <t>一般</t>
  </si>
  <si>
    <t>七通</t>
  </si>
  <si>
    <t>多面临街</t>
  </si>
  <si>
    <t>多面临街</t>
    <phoneticPr fontId="31" type="noConversion"/>
  </si>
  <si>
    <t>双面临街</t>
  </si>
  <si>
    <t>双面临街</t>
    <phoneticPr fontId="31" type="noConversion"/>
  </si>
  <si>
    <t>单面临街</t>
    <phoneticPr fontId="31" type="noConversion"/>
  </si>
  <si>
    <t>购物中心</t>
    <phoneticPr fontId="4" type="noConversion"/>
  </si>
  <si>
    <t>综合体</t>
    <phoneticPr fontId="4" type="noConversion"/>
  </si>
  <si>
    <t>钢混</t>
    <phoneticPr fontId="31" type="noConversion"/>
  </si>
  <si>
    <t>精装</t>
  </si>
  <si>
    <t>精装</t>
    <phoneticPr fontId="31" type="noConversion"/>
  </si>
  <si>
    <t>普装</t>
    <phoneticPr fontId="31" type="noConversion"/>
  </si>
  <si>
    <t>简装</t>
    <phoneticPr fontId="31" type="noConversion"/>
  </si>
  <si>
    <t>毛坯</t>
    <phoneticPr fontId="31" type="noConversion"/>
  </si>
  <si>
    <t>六通</t>
  </si>
  <si>
    <t>五通</t>
  </si>
  <si>
    <t>四通</t>
  </si>
  <si>
    <t>三通</t>
  </si>
  <si>
    <t>大</t>
  </si>
  <si>
    <t>较大</t>
  </si>
  <si>
    <t>较小</t>
  </si>
  <si>
    <t>小</t>
  </si>
  <si>
    <t>较好</t>
    <phoneticPr fontId="31" type="noConversion"/>
  </si>
  <si>
    <t>地上</t>
    <phoneticPr fontId="31" type="noConversion"/>
  </si>
  <si>
    <r>
      <t>14</t>
    </r>
    <r>
      <rPr>
        <sz val="11"/>
        <rFont val="宋体"/>
        <family val="3"/>
        <charset val="134"/>
      </rPr>
      <t>号线</t>
    </r>
    <phoneticPr fontId="31" type="noConversion"/>
  </si>
  <si>
    <r>
      <t>3</t>
    </r>
    <r>
      <rPr>
        <sz val="11"/>
        <rFont val="宋体"/>
        <family val="3"/>
        <charset val="134"/>
      </rPr>
      <t>号线</t>
    </r>
    <phoneticPr fontId="31" type="noConversion"/>
  </si>
  <si>
    <t>综合体</t>
  </si>
  <si>
    <t>标准</t>
  </si>
  <si>
    <t>标准</t>
    <phoneticPr fontId="31" type="noConversion"/>
  </si>
  <si>
    <t>10-20</t>
  </si>
  <si>
    <t>20-30</t>
  </si>
  <si>
    <t>30-40</t>
  </si>
  <si>
    <t>比较法-商业</t>
  </si>
  <si>
    <r>
      <t>4</t>
    </r>
    <r>
      <rPr>
        <sz val="11"/>
        <rFont val="宋体"/>
        <family val="3"/>
        <charset val="134"/>
      </rPr>
      <t>号线</t>
    </r>
    <phoneticPr fontId="31" type="noConversion"/>
  </si>
  <si>
    <t>办公</t>
    <phoneticPr fontId="31" type="noConversion"/>
  </si>
  <si>
    <t>地下占比</t>
    <phoneticPr fontId="31" type="noConversion"/>
  </si>
  <si>
    <t>0-10%</t>
  </si>
  <si>
    <t>10-20%</t>
  </si>
  <si>
    <t>20-30%</t>
  </si>
  <si>
    <t>30-40%</t>
    <phoneticPr fontId="4" type="noConversion"/>
  </si>
  <si>
    <t>商业办公</t>
  </si>
  <si>
    <t>商业办公</t>
    <phoneticPr fontId="31" type="noConversion"/>
  </si>
  <si>
    <t>买卖合同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</si>
</sst>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4"/>
      <color theme="1"/>
      <name val="仿宋"/>
      <family val="3"/>
      <charset val="134"/>
    </font>
    <font>
      <sz val="8"/>
      <color rgb="FF666666"/>
      <name val="宋体"/>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1" fillId="0" borderId="0" applyFont="0" applyFill="0" applyBorder="0" applyAlignment="0" applyProtection="0">
      <alignment vertical="center"/>
    </xf>
    <xf numFmtId="43" fontId="1" fillId="0" borderId="0" applyFont="0" applyFill="0" applyBorder="0" applyAlignment="0" applyProtection="0">
      <alignment vertical="center"/>
    </xf>
  </cellStyleXfs>
  <cellXfs count="35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96" fillId="0" borderId="1" xfId="0" applyFont="1" applyBorder="1" applyAlignment="1">
      <alignment horizontal="left" vertical="center" wrapText="1"/>
    </xf>
    <xf numFmtId="49" fontId="0" fillId="0" borderId="1" xfId="0" applyNumberFormat="1" applyBorder="1" applyAlignment="1">
      <alignment horizontal="left" vertical="center" wrapText="1"/>
    </xf>
    <xf numFmtId="0" fontId="0" fillId="0" borderId="1" xfId="0" applyBorder="1" applyAlignment="1">
      <alignment horizontal="left" vertical="center" wrapText="1"/>
    </xf>
    <xf numFmtId="49" fontId="96"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2" fontId="0" fillId="0" borderId="0" xfId="0" applyNumberFormat="1">
      <alignment vertical="center"/>
    </xf>
    <xf numFmtId="0" fontId="96" fillId="22" borderId="0" xfId="0" applyFont="1" applyFill="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2" fillId="0" borderId="81" xfId="0" applyFont="1" applyBorder="1" applyAlignment="1">
      <alignment horizontal="justify" vertical="center" wrapText="1"/>
    </xf>
    <xf numFmtId="0" fontId="272" fillId="0" borderId="43" xfId="0" applyFont="1" applyBorder="1" applyAlignment="1">
      <alignment horizontal="justify" vertical="center" wrapText="1"/>
    </xf>
    <xf numFmtId="196" fontId="0" fillId="0" borderId="0" xfId="0" applyNumberFormat="1">
      <alignment vertical="center"/>
    </xf>
    <xf numFmtId="0" fontId="20" fillId="0" borderId="1" xfId="19" applyFont="1" applyBorder="1" applyAlignment="1">
      <alignment horizontal="center" vertical="center" wrapText="1"/>
    </xf>
    <xf numFmtId="176" fontId="20" fillId="0" borderId="1" xfId="19" applyNumberFormat="1" applyFont="1" applyBorder="1" applyAlignment="1">
      <alignment horizontal="center" vertical="center" wrapText="1"/>
    </xf>
    <xf numFmtId="0" fontId="20" fillId="22" borderId="1" xfId="19" applyFont="1" applyFill="1" applyBorder="1" applyAlignment="1">
      <alignment horizontal="center" vertical="center" wrapText="1"/>
    </xf>
    <xf numFmtId="183" fontId="20" fillId="0" borderId="1" xfId="19" applyNumberFormat="1" applyFont="1" applyBorder="1" applyAlignment="1">
      <alignment horizontal="center" vertical="center" wrapText="1"/>
    </xf>
    <xf numFmtId="0" fontId="1" fillId="0" borderId="0" xfId="19"/>
    <xf numFmtId="0" fontId="20" fillId="0" borderId="1" xfId="19" applyFont="1" applyBorder="1" applyAlignment="1">
      <alignment horizontal="center" vertical="center"/>
    </xf>
    <xf numFmtId="176" fontId="20" fillId="0" borderId="1" xfId="19" applyNumberFormat="1" applyFont="1" applyBorder="1" applyAlignment="1">
      <alignment horizontal="center" vertical="center"/>
    </xf>
    <xf numFmtId="0" fontId="20" fillId="7" borderId="1" xfId="19" applyFont="1" applyFill="1" applyBorder="1" applyAlignment="1">
      <alignment horizontal="center" vertical="center" wrapText="1"/>
    </xf>
    <xf numFmtId="1" fontId="20" fillId="22" borderId="1" xfId="19" applyNumberFormat="1" applyFont="1" applyFill="1" applyBorder="1" applyAlignment="1">
      <alignment horizontal="center" vertical="center"/>
    </xf>
    <xf numFmtId="189" fontId="20" fillId="0" borderId="1" xfId="19" applyNumberFormat="1" applyFont="1" applyBorder="1" applyAlignment="1">
      <alignment horizontal="center" vertical="center"/>
    </xf>
    <xf numFmtId="1" fontId="20" fillId="0" borderId="1" xfId="19" applyNumberFormat="1" applyFont="1" applyBorder="1" applyAlignment="1">
      <alignment horizontal="center" vertical="center"/>
    </xf>
    <xf numFmtId="9" fontId="20" fillId="0" borderId="1" xfId="20" applyFont="1" applyBorder="1" applyAlignment="1">
      <alignment horizontal="center" vertical="center"/>
    </xf>
    <xf numFmtId="189" fontId="20" fillId="0" borderId="13" xfId="19" applyNumberFormat="1" applyFont="1" applyBorder="1" applyAlignment="1">
      <alignment horizontal="center" vertical="center" wrapText="1"/>
    </xf>
    <xf numFmtId="183" fontId="20" fillId="0" borderId="1" xfId="19" applyNumberFormat="1" applyFont="1" applyBorder="1" applyAlignment="1">
      <alignment horizontal="center" vertical="center"/>
    </xf>
    <xf numFmtId="4" fontId="20" fillId="0" borderId="1" xfId="19" applyNumberFormat="1" applyFont="1" applyBorder="1" applyAlignment="1">
      <alignment horizontal="center" vertical="center"/>
    </xf>
    <xf numFmtId="0" fontId="273" fillId="0" borderId="0" xfId="19" applyFont="1" applyAlignment="1">
      <alignment vertical="center"/>
    </xf>
    <xf numFmtId="0" fontId="20" fillId="7" borderId="1" xfId="19" applyFont="1" applyFill="1" applyBorder="1" applyAlignment="1">
      <alignment horizontal="center" vertical="center"/>
    </xf>
    <xf numFmtId="176" fontId="20" fillId="7" borderId="1" xfId="19" applyNumberFormat="1" applyFont="1" applyFill="1" applyBorder="1" applyAlignment="1">
      <alignment horizontal="center" vertical="center"/>
    </xf>
    <xf numFmtId="189" fontId="20" fillId="7" borderId="1" xfId="19" applyNumberFormat="1" applyFont="1" applyFill="1" applyBorder="1" applyAlignment="1">
      <alignment horizontal="center" vertical="center"/>
    </xf>
    <xf numFmtId="1" fontId="20" fillId="7" borderId="1" xfId="19" applyNumberFormat="1" applyFont="1" applyFill="1" applyBorder="1" applyAlignment="1">
      <alignment horizontal="center" vertical="center"/>
    </xf>
    <xf numFmtId="9" fontId="20" fillId="7" borderId="1" xfId="20" applyFont="1" applyFill="1" applyBorder="1" applyAlignment="1">
      <alignment horizontal="center" vertical="center"/>
    </xf>
    <xf numFmtId="0" fontId="20" fillId="22" borderId="1" xfId="19" applyFont="1" applyFill="1" applyBorder="1" applyAlignment="1">
      <alignment horizontal="center" vertical="center"/>
    </xf>
    <xf numFmtId="176" fontId="20" fillId="22" borderId="1" xfId="19" applyNumberFormat="1" applyFont="1" applyFill="1" applyBorder="1" applyAlignment="1">
      <alignment horizontal="center" vertical="center"/>
    </xf>
    <xf numFmtId="189" fontId="20" fillId="22" borderId="1" xfId="19" applyNumberFormat="1" applyFont="1" applyFill="1" applyBorder="1" applyAlignment="1">
      <alignment horizontal="center" vertical="center"/>
    </xf>
    <xf numFmtId="9" fontId="20" fillId="22" borderId="1" xfId="20" applyFont="1" applyFill="1" applyBorder="1" applyAlignment="1">
      <alignment horizontal="center" vertical="center"/>
    </xf>
    <xf numFmtId="0" fontId="1" fillId="22" borderId="0" xfId="19" applyFill="1"/>
    <xf numFmtId="0" fontId="20" fillId="0" borderId="0" xfId="19" applyFont="1" applyAlignment="1">
      <alignment horizontal="center" vertical="center"/>
    </xf>
    <xf numFmtId="31" fontId="20" fillId="0" borderId="1" xfId="19" applyNumberFormat="1" applyFont="1" applyBorder="1" applyAlignment="1">
      <alignment horizontal="center" vertical="center" wrapText="1"/>
    </xf>
    <xf numFmtId="2" fontId="20" fillId="7" borderId="1" xfId="19" applyNumberFormat="1" applyFont="1" applyFill="1" applyBorder="1" applyAlignment="1">
      <alignment horizontal="center" vertical="center"/>
    </xf>
    <xf numFmtId="189" fontId="20" fillId="7" borderId="13" xfId="19" applyNumberFormat="1" applyFont="1" applyFill="1" applyBorder="1" applyAlignment="1">
      <alignment horizontal="center" vertical="center" wrapText="1"/>
    </xf>
    <xf numFmtId="4" fontId="20" fillId="0" borderId="1" xfId="19" applyNumberFormat="1" applyFont="1" applyBorder="1" applyAlignment="1">
      <alignment horizontal="center" vertical="center" wrapText="1"/>
    </xf>
    <xf numFmtId="197" fontId="20" fillId="0" borderId="1" xfId="19" applyNumberFormat="1" applyFont="1" applyBorder="1" applyAlignment="1">
      <alignment horizontal="center" vertical="center" wrapText="1"/>
    </xf>
    <xf numFmtId="3" fontId="20" fillId="0" borderId="1" xfId="19" applyNumberFormat="1" applyFont="1" applyBorder="1" applyAlignment="1">
      <alignment horizontal="center" vertical="center" wrapText="1"/>
    </xf>
    <xf numFmtId="14" fontId="20" fillId="0" borderId="1" xfId="19" applyNumberFormat="1" applyFont="1" applyBorder="1" applyAlignment="1">
      <alignment horizontal="center" vertical="center" wrapText="1"/>
    </xf>
    <xf numFmtId="0" fontId="20" fillId="0" borderId="0" xfId="19" applyFont="1" applyAlignment="1">
      <alignment horizontal="center" vertical="center" wrapText="1"/>
    </xf>
    <xf numFmtId="189" fontId="20" fillId="22" borderId="13" xfId="19" applyNumberFormat="1" applyFont="1" applyFill="1" applyBorder="1" applyAlignment="1">
      <alignment horizontal="center" vertical="center" wrapText="1"/>
    </xf>
    <xf numFmtId="58" fontId="20" fillId="0" borderId="1" xfId="19" applyNumberFormat="1" applyFont="1" applyBorder="1" applyAlignment="1">
      <alignment horizontal="center" vertical="center" wrapText="1"/>
    </xf>
    <xf numFmtId="0" fontId="20" fillId="0" borderId="1" xfId="19" applyFont="1" applyBorder="1" applyAlignment="1">
      <alignment vertical="center" wrapText="1"/>
    </xf>
    <xf numFmtId="9" fontId="20" fillId="0" borderId="1" xfId="20" applyFont="1" applyFill="1" applyBorder="1" applyAlignment="1">
      <alignment horizontal="center" vertical="center"/>
    </xf>
    <xf numFmtId="43" fontId="20" fillId="0" borderId="1" xfId="21" applyFont="1" applyBorder="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49" fontId="274" fillId="0" borderId="10" xfId="0" applyNumberFormat="1" applyFont="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20" fillId="23" borderId="1" xfId="19" applyFont="1" applyFill="1" applyBorder="1" applyAlignment="1">
      <alignment horizontal="center" vertical="center" wrapText="1"/>
    </xf>
    <xf numFmtId="0" fontId="20" fillId="23" borderId="1" xfId="19" applyFont="1" applyFill="1" applyBorder="1" applyAlignment="1">
      <alignment horizontal="center" vertical="center"/>
    </xf>
    <xf numFmtId="0" fontId="20" fillId="23" borderId="0" xfId="19" applyFont="1" applyFill="1" applyAlignment="1">
      <alignment horizontal="center" vertical="center" wrapText="1"/>
    </xf>
    <xf numFmtId="176" fontId="20" fillId="23" borderId="1" xfId="19" applyNumberFormat="1" applyFont="1" applyFill="1" applyBorder="1" applyAlignment="1">
      <alignment horizontal="center" vertical="center"/>
    </xf>
    <xf numFmtId="1" fontId="20" fillId="23" borderId="1" xfId="19" applyNumberFormat="1" applyFont="1" applyFill="1" applyBorder="1" applyAlignment="1">
      <alignment horizontal="center" vertical="center"/>
    </xf>
    <xf numFmtId="183" fontId="20" fillId="23" borderId="1" xfId="19" applyNumberFormat="1" applyFont="1" applyFill="1" applyBorder="1" applyAlignment="1">
      <alignment horizontal="center" vertical="center"/>
    </xf>
    <xf numFmtId="9" fontId="20" fillId="23" borderId="1" xfId="20" applyFont="1" applyFill="1" applyBorder="1" applyAlignment="1">
      <alignment horizontal="center" vertical="center"/>
    </xf>
    <xf numFmtId="0" fontId="1" fillId="23" borderId="0" xfId="19" applyFill="1"/>
    <xf numFmtId="0" fontId="129" fillId="0" borderId="5" xfId="0" applyFont="1" applyBorder="1" applyAlignment="1" applyProtection="1">
      <alignment horizontal="center" vertical="center" wrapText="1"/>
      <protection locked="0"/>
    </xf>
    <xf numFmtId="0" fontId="48" fillId="8"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0" xfId="0" applyFont="1" applyAlignment="1">
      <alignment horizontal="left" vertical="center" wrapText="1"/>
    </xf>
    <xf numFmtId="0" fontId="0" fillId="0" borderId="0" xfId="0" applyAlignment="1">
      <alignment horizontal="lef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5CD61252-86EC-42FB-9CF3-C5C6A2CACD8D}"/>
    <cellStyle name="常规" xfId="0" builtinId="0"/>
    <cellStyle name="常规 10" xfId="19" xr:uid="{FDE3BE1A-B04A-43CC-99E6-6408883FE88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509E7984-9421-426F-9802-2A619DB9D029}"/>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7665;&#29983;&#38134;&#34892;\&#20016;&#21488;\&#30005;&#31639;&#34920;-&#35282;&#38376;&#19996;&#37324;11&#21495;&#27004;.xlsx" TargetMode="External"/><Relationship Id="rId1" Type="http://schemas.openxmlformats.org/officeDocument/2006/relationships/externalLinkPath" Target="/&#21608;&#24420;/&#25253;&#21578;/2025&#24180;/&#27665;&#29983;&#38134;&#34892;/&#20016;&#21488;/&#30005;&#31639;&#34920;-&#35282;&#38376;&#19996;&#37324;1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 val="收益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2170.1999999999998</v>
          </cell>
          <cell r="C14">
            <v>1778.06</v>
          </cell>
          <cell r="I14">
            <v>6071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北京市朝阳区红军营南路36号院房地产抵押价值预评估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受贵公司委托，我公司对北京市朝阳区红军营南路36号院房地产抵押价值进行了预评估。</v>
      </c>
    </row>
    <row r="7" spans="1:2">
      <c r="A7" s="1116" t="s">
        <v>566</v>
      </c>
      <c r="B7" s="1117" t="str">
        <f>'预评函-1'!A7</f>
        <v>估价对象为北京市朝阳区红军营南路36号院房地产，为所有。根据《国有土地使用证》[]，估价对象（分摊）出让国有建设用地使用权面积为11268.85平方米，建筑面积为37817.27平方米。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红军营南路36号院房地产,属开发建设的，该项目尚在开发建设中。根据《国有土地使用证》[]，估价对象（分摊）出让国有建设用地使用权面积为11268.85平方米，规划建筑面积为37817.27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2025年4月24日（评估专业人员实地查勘之日）</v>
      </c>
    </row>
    <row r="13" spans="1:2">
      <c r="A13" s="1116" t="s">
        <v>529</v>
      </c>
      <c r="B13" s="1117"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64183</v>
      </c>
    </row>
    <row r="21" spans="1:2">
      <c r="A21" s="1116" t="s">
        <v>537</v>
      </c>
      <c r="B21" s="1117">
        <f ca="1">'预评函-2'!D7</f>
        <v>42062</v>
      </c>
    </row>
    <row r="22" spans="1:2">
      <c r="A22" s="1116" t="s">
        <v>538</v>
      </c>
      <c r="B22" s="1117" t="str">
        <f ca="1">'预评函-2'!D6</f>
        <v>陆亿肆仟壹佰捌拾叁万元整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64183</v>
      </c>
    </row>
    <row r="31" spans="1:2">
      <c r="A31" s="1116" t="s">
        <v>576</v>
      </c>
      <c r="B31" s="1117">
        <f ca="1">'预评函-2'!D15</f>
        <v>42062</v>
      </c>
    </row>
    <row r="32" spans="1:2">
      <c r="A32" s="1116" t="s">
        <v>543</v>
      </c>
      <c r="B32" s="1117" t="str">
        <f ca="1">'预评函-2'!D14</f>
        <v>陆亿肆仟壹佰捌拾叁万元整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87940</v>
      </c>
    </row>
    <row r="39" spans="1:2">
      <c r="A39" s="1116" t="s">
        <v>545</v>
      </c>
      <c r="B39" s="1117">
        <f ca="1">'预评函-2'!D21</f>
        <v>23254</v>
      </c>
    </row>
    <row r="40" spans="1:2">
      <c r="A40" s="1116" t="s">
        <v>546</v>
      </c>
      <c r="B40" s="1117" t="str">
        <f ca="1">'预评函-2'!D20</f>
        <v>捌亿柒仟玖佰肆拾万元整</v>
      </c>
    </row>
    <row r="41" spans="1:2">
      <c r="A41" s="1116" t="s">
        <v>592</v>
      </c>
      <c r="B41" s="1117" t="str">
        <f>'预评函-3'!A4</f>
        <v>北京市朝阳区红军营南路36号院房地产</v>
      </c>
    </row>
    <row r="42" spans="1:2" ht="31.2">
      <c r="A42" s="1116" t="s">
        <v>590</v>
      </c>
      <c r="B42" s="1117" t="str">
        <f>'预评函-3'!B2</f>
        <v>建筑面积</v>
      </c>
    </row>
    <row r="43" spans="1:2">
      <c r="A43" s="1116" t="s">
        <v>591</v>
      </c>
      <c r="B43" s="1117">
        <f>'预评函-3'!B4</f>
        <v>37817.270000000004</v>
      </c>
    </row>
    <row r="44" spans="1:2" ht="31.2">
      <c r="A44" s="1116" t="s">
        <v>575</v>
      </c>
      <c r="B44" s="1117" t="str">
        <f>'预评函-3'!C2</f>
        <v>(分摊)土地面积</v>
      </c>
    </row>
    <row r="45" spans="1:2">
      <c r="A45" s="1116" t="s">
        <v>547</v>
      </c>
      <c r="B45" s="1117">
        <f>'预评函-3'!C4</f>
        <v>11268.85</v>
      </c>
    </row>
    <row r="46" spans="1:2">
      <c r="A46" s="1116" t="s">
        <v>573</v>
      </c>
      <c r="B46" s="1117" t="str">
        <f>'预评函-3'!D2</f>
        <v>出让国有建设用地使用权价值</v>
      </c>
    </row>
    <row r="47" spans="1:2">
      <c r="A47" s="1116" t="s">
        <v>548</v>
      </c>
      <c r="B47" s="1117">
        <f ca="1">'预评函-3'!D4</f>
        <v>35750</v>
      </c>
    </row>
    <row r="48" spans="1:2">
      <c r="A48" s="1116" t="s">
        <v>549</v>
      </c>
      <c r="B48" s="1117">
        <f ca="1">'预评函-3'!E4</f>
        <v>23429</v>
      </c>
    </row>
    <row r="49" spans="1:2">
      <c r="A49" s="1116" t="s">
        <v>550</v>
      </c>
      <c r="B49" s="1117" t="str">
        <f ca="1">'预评函-3'!D5</f>
        <v>叁亿伍仟柒佰伍拾万元整</v>
      </c>
    </row>
    <row r="50" spans="1:2">
      <c r="A50" s="1116" t="s">
        <v>574</v>
      </c>
      <c r="B50" s="1117" t="str">
        <f>'预评函-3'!F2</f>
        <v>在建建筑物价值</v>
      </c>
    </row>
    <row r="51" spans="1:2">
      <c r="A51" s="1116" t="s">
        <v>551</v>
      </c>
      <c r="B51" s="1117">
        <f ca="1">'预评函-3'!F4</f>
        <v>28433</v>
      </c>
    </row>
    <row r="52" spans="1:2">
      <c r="A52" s="1116" t="s">
        <v>552</v>
      </c>
      <c r="B52" s="1117">
        <f ca="1">'预评函-3'!G4</f>
        <v>18633</v>
      </c>
    </row>
    <row r="53" spans="1:2">
      <c r="A53" s="1116" t="s">
        <v>580</v>
      </c>
      <c r="B53" s="1117" t="str">
        <f ca="1">'预评函-3'!F5</f>
        <v>贰亿捌仟肆佰叁拾叁万元整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2573</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2574</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41" t="s">
        <v>3536</v>
      </c>
      <c r="C19" s="1439"/>
    </row>
    <row r="20" spans="1:3">
      <c r="A20" s="1438" t="s">
        <v>1048</v>
      </c>
      <c r="B20" s="1441" t="s">
        <v>3499</v>
      </c>
      <c r="C20" s="1439"/>
    </row>
    <row r="21" spans="1:3">
      <c r="A21" s="1438" t="s">
        <v>1049</v>
      </c>
      <c r="B21" s="1438" t="s">
        <v>3497</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444" t="s">
        <v>385</v>
      </c>
      <c r="C54" s="1442" t="s">
        <v>583</v>
      </c>
    </row>
    <row r="55" spans="1:4">
      <c r="A55" s="3275"/>
      <c r="B55" s="1444" t="s">
        <v>386</v>
      </c>
      <c r="C55" s="1442" t="s">
        <v>584</v>
      </c>
    </row>
    <row r="56" spans="1:4">
      <c r="A56" s="3275"/>
      <c r="B56" s="1444" t="s">
        <v>387</v>
      </c>
      <c r="C56" s="1442" t="s">
        <v>588</v>
      </c>
    </row>
    <row r="57" spans="1:4">
      <c r="A57" s="327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7" t="s">
        <v>2589</v>
      </c>
      <c r="J1" s="2776"/>
      <c r="K1" s="2776"/>
      <c r="L1" s="2776"/>
      <c r="M1" s="2776"/>
      <c r="N1" s="2961"/>
      <c r="O1" s="2961"/>
      <c r="P1" s="2961"/>
      <c r="Q1" s="2961"/>
      <c r="R1" s="2961"/>
    </row>
    <row r="2" spans="1:18">
      <c r="A2" s="2753"/>
      <c r="B2" s="2754"/>
      <c r="C2" s="2754"/>
      <c r="D2" s="2754"/>
      <c r="E2" s="2754"/>
      <c r="F2" s="2755"/>
      <c r="I2" s="3276" t="s">
        <v>2576</v>
      </c>
      <c r="J2" s="3276"/>
      <c r="K2" s="3276"/>
      <c r="L2" s="3276"/>
      <c r="M2" s="3276"/>
      <c r="N2" s="3276"/>
      <c r="O2" s="3276"/>
      <c r="P2" s="3276"/>
      <c r="Q2" s="3276"/>
      <c r="R2" s="3276"/>
    </row>
    <row r="3" spans="1:18">
      <c r="A3" s="2756" t="s">
        <v>2497</v>
      </c>
      <c r="B3" s="2757">
        <f>项目基本情况!D3</f>
        <v>45771</v>
      </c>
      <c r="C3" s="2759"/>
      <c r="D3" s="2759"/>
      <c r="E3" s="2759"/>
      <c r="F3" s="2755"/>
      <c r="I3" s="2771"/>
      <c r="J3" s="2771" t="s">
        <v>2580</v>
      </c>
      <c r="K3" s="2771" t="s">
        <v>2581</v>
      </c>
      <c r="L3" s="2771" t="s">
        <v>2582</v>
      </c>
      <c r="M3" s="2771" t="s">
        <v>2583</v>
      </c>
      <c r="N3" s="3128" t="s">
        <v>2584</v>
      </c>
      <c r="O3" s="3128" t="s">
        <v>2585</v>
      </c>
      <c r="P3" s="3128" t="s">
        <v>2586</v>
      </c>
      <c r="Q3" s="3128" t="s">
        <v>2587</v>
      </c>
      <c r="R3" s="3128"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1.65</v>
      </c>
      <c r="D5" s="2761">
        <f>IF(ISERROR(ROUND(POWER(1+E5,A5-C5)*(POWER(1+E5,C5)-1)/(POWER(1+E5,A5)-1),3)),0,ROUND(POWER(1+E5,A5-C5)*(POWER(1+E5,C5)-1)/(POWER(1+E5,A5)-1),4))</f>
        <v>7.9200000000000007E-2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11.66</v>
      </c>
      <c r="D6" s="2761">
        <f>IF(ISERROR(ROUND(POWER(1+E6,A6-C6)*(POWER(1+E6,C6)-1)/(POWER(1+E6,A6)-1),3)),0,ROUND(POWER(1+E6,A6-C6)*(POWER(1+E6,C6)-1)/(POWER(1+E6,A6)-1),4))</f>
        <v>0.42709999999999998</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31.67</v>
      </c>
      <c r="D7" s="2761">
        <f>IF(ISERROR(ROUND(POWER(1+E7,A7-C7)*(POWER(1+E7,C7)-1)/(POWER(1+E7,A7)-1),3)),0,ROUND(POWER(1+E7,A7-C7)*(POWER(1+E7,C7)-1)/(POWER(1+E7,A7)-1),4))</f>
        <v>0.76</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5"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5">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5">
        <v>8</v>
      </c>
    </row>
    <row r="26" spans="1:14">
      <c r="A26" s="2775"/>
      <c r="B26" s="2776"/>
      <c r="C26" s="2776"/>
      <c r="D26" s="2776"/>
      <c r="E26" s="2776"/>
      <c r="F26" s="2776"/>
      <c r="G26" s="2777"/>
      <c r="I26" s="2793">
        <v>30</v>
      </c>
      <c r="J26" s="2793">
        <v>90.5</v>
      </c>
      <c r="K26" s="2793">
        <f t="shared" si="2"/>
        <v>4.2000000000000028</v>
      </c>
      <c r="L26" s="2793" t="s">
        <v>2567</v>
      </c>
      <c r="N26" s="3145">
        <v>5</v>
      </c>
    </row>
    <row r="27" spans="1:14">
      <c r="A27" s="2775" t="s">
        <v>2526</v>
      </c>
      <c r="B27" s="2776"/>
      <c r="C27" s="2776"/>
      <c r="D27" s="2776"/>
      <c r="E27" s="2776"/>
      <c r="F27" s="2776"/>
      <c r="G27" s="2777"/>
      <c r="I27" s="2793">
        <v>35</v>
      </c>
      <c r="J27" s="2793">
        <v>93.8</v>
      </c>
      <c r="K27" s="2793">
        <f t="shared" si="2"/>
        <v>3.2999999999999972</v>
      </c>
      <c r="L27" s="2793" t="s">
        <v>2568</v>
      </c>
      <c r="N27" s="3145">
        <v>3</v>
      </c>
    </row>
    <row r="28" spans="1:14">
      <c r="A28" s="2775" t="s">
        <v>2527</v>
      </c>
      <c r="B28" s="2776"/>
      <c r="C28" s="2776"/>
      <c r="D28" s="2776"/>
      <c r="E28" s="2776"/>
      <c r="F28" s="2776"/>
      <c r="G28" s="2777"/>
      <c r="I28" s="2793">
        <v>40</v>
      </c>
      <c r="J28" s="2793">
        <v>96.4</v>
      </c>
      <c r="K28" s="2793">
        <f t="shared" si="2"/>
        <v>2.6000000000000085</v>
      </c>
      <c r="L28" s="2793" t="s">
        <v>2569</v>
      </c>
      <c r="N28" s="3145">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5" t="s">
        <v>2564</v>
      </c>
    </row>
    <row r="37" spans="1:14">
      <c r="A37" s="2775" t="s">
        <v>2536</v>
      </c>
      <c r="B37" s="2776"/>
      <c r="C37" s="2776"/>
      <c r="D37" s="2776"/>
      <c r="E37" s="2776"/>
      <c r="F37" s="2776"/>
      <c r="G37" s="2777"/>
      <c r="I37" s="2793">
        <v>20</v>
      </c>
      <c r="J37" s="2793">
        <v>83.6</v>
      </c>
      <c r="K37" s="2793">
        <f t="shared" si="3"/>
        <v>7.2999999999999972</v>
      </c>
      <c r="L37" s="2793" t="s">
        <v>2562</v>
      </c>
      <c r="N37" s="3145">
        <v>10</v>
      </c>
    </row>
    <row r="38" spans="1:14">
      <c r="A38" s="2775" t="s">
        <v>2537</v>
      </c>
      <c r="B38" s="2776"/>
      <c r="C38" s="2776"/>
      <c r="D38" s="2776"/>
      <c r="E38" s="2776"/>
      <c r="F38" s="2776"/>
      <c r="G38" s="2777"/>
      <c r="I38" s="2793">
        <v>25</v>
      </c>
      <c r="J38" s="2793">
        <v>89.3</v>
      </c>
      <c r="K38" s="2793">
        <f t="shared" si="3"/>
        <v>5.7000000000000028</v>
      </c>
      <c r="L38" s="2793" t="s">
        <v>2566</v>
      </c>
      <c r="N38" s="3145">
        <v>8</v>
      </c>
    </row>
    <row r="39" spans="1:14">
      <c r="A39" s="2775"/>
      <c r="B39" s="2776"/>
      <c r="C39" s="2776"/>
      <c r="D39" s="2776"/>
      <c r="E39" s="2776"/>
      <c r="F39" s="2776"/>
      <c r="G39" s="2777"/>
      <c r="I39" s="2793">
        <v>30</v>
      </c>
      <c r="J39" s="2793">
        <v>93.8</v>
      </c>
      <c r="K39" s="2793">
        <f t="shared" si="3"/>
        <v>4.5</v>
      </c>
      <c r="L39" s="2793" t="s">
        <v>2567</v>
      </c>
      <c r="N39" s="3145">
        <v>6</v>
      </c>
    </row>
    <row r="40" spans="1:14">
      <c r="A40" s="2778" t="s">
        <v>2538</v>
      </c>
      <c r="B40" s="2779"/>
      <c r="C40" s="2779"/>
      <c r="D40" s="2779"/>
      <c r="E40" s="2779"/>
      <c r="F40" s="2779"/>
      <c r="G40" s="2780"/>
      <c r="I40" s="2793">
        <v>35</v>
      </c>
      <c r="J40" s="2793">
        <v>97.2</v>
      </c>
      <c r="K40" s="2793">
        <f t="shared" si="3"/>
        <v>3.4000000000000057</v>
      </c>
      <c r="L40" s="2793" t="s">
        <v>2568</v>
      </c>
      <c r="N40" s="3145">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7" t="s">
        <v>3384</v>
      </c>
      <c r="B50" s="3137" t="s">
        <v>3385</v>
      </c>
      <c r="C50" s="3137" t="s">
        <v>3386</v>
      </c>
      <c r="D50" s="3137" t="s">
        <v>3387</v>
      </c>
    </row>
    <row r="51" spans="1:4">
      <c r="A51" s="3137" t="s">
        <v>3388</v>
      </c>
      <c r="B51" s="2758">
        <f>B52+B53</f>
        <v>15000</v>
      </c>
      <c r="C51" s="3138">
        <f>D51/B51</f>
        <v>2666.6666666666665</v>
      </c>
      <c r="D51" s="2758">
        <f>D52+D53</f>
        <v>40000000</v>
      </c>
    </row>
    <row r="52" spans="1:4">
      <c r="A52" s="3139" t="s">
        <v>3389</v>
      </c>
      <c r="B52" s="3140">
        <v>10000</v>
      </c>
      <c r="C52" s="3140">
        <v>1500</v>
      </c>
      <c r="D52" s="3141">
        <f>C52*B52</f>
        <v>15000000</v>
      </c>
    </row>
    <row r="53" spans="1:4">
      <c r="A53" s="3139" t="s">
        <v>3390</v>
      </c>
      <c r="B53" s="3140">
        <v>5000</v>
      </c>
      <c r="C53" s="3140">
        <v>5000</v>
      </c>
      <c r="D53" s="3141">
        <f>C53*B53</f>
        <v>25000000</v>
      </c>
    </row>
    <row r="54" spans="1:4">
      <c r="A54" s="3137" t="s">
        <v>3391</v>
      </c>
      <c r="B54" s="2758">
        <f>B51</f>
        <v>15000</v>
      </c>
      <c r="C54" s="2764">
        <v>700</v>
      </c>
      <c r="D54" s="2758">
        <f t="shared" ref="D54:D55" si="5">C54*B54</f>
        <v>10500000</v>
      </c>
    </row>
    <row r="55" spans="1:4">
      <c r="A55" s="3137" t="s">
        <v>3392</v>
      </c>
      <c r="B55" s="2758">
        <f>B51</f>
        <v>15000</v>
      </c>
      <c r="C55" s="2764">
        <v>1500</v>
      </c>
      <c r="D55" s="2758">
        <f t="shared" si="5"/>
        <v>22500000</v>
      </c>
    </row>
    <row r="56" spans="1:4">
      <c r="A56" s="3137" t="s">
        <v>3393</v>
      </c>
      <c r="B56" s="2758">
        <f>B51</f>
        <v>15000</v>
      </c>
      <c r="C56" s="3142">
        <f>C51+C54+C55</f>
        <v>4866.6666666666661</v>
      </c>
      <c r="D56" s="2758">
        <f>D51+D54+D55</f>
        <v>73000000</v>
      </c>
    </row>
    <row r="58" spans="1:4">
      <c r="A58" s="3137" t="s">
        <v>3394</v>
      </c>
      <c r="B58" s="3143">
        <v>0.05</v>
      </c>
      <c r="C58" s="2758">
        <f>C56*(1+B58)</f>
        <v>5110</v>
      </c>
      <c r="D58" s="2758">
        <f>D56*B58</f>
        <v>3650000</v>
      </c>
    </row>
    <row r="60" spans="1:4">
      <c r="A60" s="3137" t="s">
        <v>3395</v>
      </c>
      <c r="B60" s="2764">
        <v>3500</v>
      </c>
      <c r="C60" s="2764">
        <f>C53</f>
        <v>5000</v>
      </c>
      <c r="D60" s="2758">
        <f>C60*B60</f>
        <v>17500000</v>
      </c>
    </row>
    <row r="62" spans="1:4">
      <c r="A62" s="3137" t="s">
        <v>3396</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6" sqref="L16"/>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84" t="str">
        <f>IF(B10="北京市","北京市",C10)&amp;F10&amp;IF(结果表!G1="在建","出让国有建设用地使用权及在建建筑物",IF(结果表!G1="土地","出让国有建设用地使用权",))&amp;B9&amp;"预评估"</f>
        <v>北京市朝阳区红军营南路36号院房地产抵押价值预评估</v>
      </c>
      <c r="C1" s="3285"/>
      <c r="D1" s="3285"/>
      <c r="E1" s="3285"/>
      <c r="F1" s="3285"/>
      <c r="G1" s="3285"/>
      <c r="H1" s="3285"/>
      <c r="I1" s="3286"/>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北京市朝阳区红军营南路36号院房地产抵押价值</v>
      </c>
      <c r="T1" s="1615"/>
      <c r="U1" s="1615"/>
      <c r="V1" s="1615"/>
      <c r="W1" s="1615"/>
      <c r="X1" s="1615"/>
      <c r="Y1" s="1615"/>
      <c r="Z1" s="1615"/>
      <c r="AA1" s="1615"/>
      <c r="AB1" s="1615"/>
    </row>
    <row r="2" spans="1:30">
      <c r="A2" s="2179" t="s">
        <v>2169</v>
      </c>
      <c r="B2" s="122"/>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北京市朝阳区红军营南路36号院房地产</v>
      </c>
      <c r="T2" s="1615"/>
      <c r="U2" s="1615"/>
      <c r="V2" s="1615"/>
      <c r="W2" s="1615"/>
      <c r="X2" s="1615"/>
      <c r="Y2" s="1615"/>
      <c r="Z2" s="1615"/>
      <c r="AA2" s="1615"/>
      <c r="AB2" s="1615"/>
    </row>
    <row r="3" spans="1:30">
      <c r="A3" s="294" t="s">
        <v>2170</v>
      </c>
      <c r="B3" s="2182">
        <v>45771</v>
      </c>
      <c r="C3" s="2183" t="s">
        <v>2171</v>
      </c>
      <c r="D3" s="2182">
        <f>B3</f>
        <v>45771</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3408</v>
      </c>
      <c r="C4" s="2185">
        <f ca="1">SUMIF(注册房地产估价师,B4,估价师及机构信息!B3:B24)</f>
        <v>1419970001</v>
      </c>
      <c r="D4" s="2184" t="s">
        <v>3409</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3410</v>
      </c>
      <c r="C8" s="2198"/>
      <c r="D8" s="3287" t="s">
        <v>2177</v>
      </c>
      <c r="E8" s="2199" t="s">
        <v>3411</v>
      </c>
      <c r="F8" s="2200"/>
      <c r="G8" s="2437"/>
      <c r="H8" s="2437"/>
      <c r="I8" s="2437"/>
      <c r="J8" s="2242"/>
      <c r="K8" s="2395"/>
      <c r="L8" s="2394"/>
      <c r="M8" s="2394"/>
      <c r="N8" s="2242"/>
      <c r="O8" s="1667"/>
      <c r="P8" s="2242"/>
      <c r="Q8" s="2242"/>
      <c r="R8" s="2242"/>
    </row>
    <row r="9" spans="1:30" ht="13.8" thickBot="1">
      <c r="A9" s="2201" t="s">
        <v>2178</v>
      </c>
      <c r="B9" s="2202" t="s">
        <v>3411</v>
      </c>
      <c r="C9" s="2203"/>
      <c r="D9" s="3288"/>
      <c r="E9" s="2202" t="s">
        <v>587</v>
      </c>
      <c r="F9" s="2204"/>
      <c r="G9" s="2438"/>
      <c r="H9" s="2438"/>
      <c r="I9" s="2438"/>
      <c r="J9" s="2242"/>
      <c r="K9" s="2397"/>
      <c r="L9" s="2394"/>
      <c r="M9" s="2394"/>
      <c r="N9" s="2242"/>
      <c r="O9" s="1667"/>
      <c r="P9" s="2242"/>
      <c r="Q9" s="2242"/>
      <c r="R9" s="2242"/>
    </row>
    <row r="10" spans="1:30" ht="13.8" thickTop="1">
      <c r="A10" s="2205" t="s">
        <v>2179</v>
      </c>
      <c r="B10" s="2206" t="s">
        <v>3412</v>
      </c>
      <c r="C10" s="2207"/>
      <c r="D10" s="2190"/>
      <c r="E10" s="2208" t="s">
        <v>2180</v>
      </c>
      <c r="F10" s="3158" t="s">
        <v>3457</v>
      </c>
      <c r="G10" s="2439"/>
      <c r="H10" s="2440"/>
      <c r="I10" s="2441"/>
      <c r="J10" s="2242"/>
      <c r="K10" s="2397"/>
      <c r="L10" s="2394"/>
      <c r="M10" s="2394"/>
      <c r="N10" s="2242"/>
      <c r="O10" s="1667"/>
      <c r="P10" s="2242"/>
      <c r="Q10" s="2242"/>
      <c r="R10" s="2242"/>
    </row>
    <row r="11" spans="1:30">
      <c r="A11" s="2209" t="s">
        <v>2181</v>
      </c>
      <c r="B11" s="2210" t="s">
        <v>3413</v>
      </c>
      <c r="C11" s="2211"/>
      <c r="D11" s="2212"/>
      <c r="E11" s="2179"/>
      <c r="F11" s="2179"/>
      <c r="G11" s="2179"/>
      <c r="H11" s="2179"/>
      <c r="I11" s="2179"/>
      <c r="J11" s="2795"/>
      <c r="K11" s="2394"/>
      <c r="L11" s="2394"/>
      <c r="M11" s="2394"/>
      <c r="N11" s="2242"/>
      <c r="O11" s="1667"/>
      <c r="P11" s="2242"/>
      <c r="Q11" s="2242"/>
      <c r="R11" s="2242"/>
    </row>
    <row r="12" spans="1:30">
      <c r="A12" s="2213" t="s">
        <v>2182</v>
      </c>
      <c r="B12" s="315" t="s">
        <v>2183</v>
      </c>
      <c r="C12" s="2214" t="s">
        <v>2184</v>
      </c>
      <c r="D12" s="2214" t="s">
        <v>2185</v>
      </c>
      <c r="E12" s="2214" t="s">
        <v>2186</v>
      </c>
      <c r="F12" s="2214" t="s">
        <v>2187</v>
      </c>
      <c r="G12" s="2214" t="s">
        <v>2188</v>
      </c>
      <c r="H12" s="2214" t="s">
        <v>2189</v>
      </c>
      <c r="I12" s="2794" t="s">
        <v>2572</v>
      </c>
      <c r="J12" s="2796"/>
      <c r="K12" s="2394"/>
      <c r="L12" s="2394"/>
      <c r="M12" s="2242"/>
      <c r="N12" s="1667"/>
      <c r="O12" s="2242"/>
      <c r="P12" s="2242"/>
      <c r="Q12" s="2242"/>
      <c r="AD12" s="1615"/>
    </row>
    <row r="13" spans="1:30">
      <c r="A13" s="3115" t="s">
        <v>3328</v>
      </c>
      <c r="B13" s="2215" t="s">
        <v>2190</v>
      </c>
      <c r="C13" s="800"/>
      <c r="D13" s="800">
        <v>52299</v>
      </c>
      <c r="E13" s="800"/>
      <c r="F13" s="800">
        <v>55952</v>
      </c>
      <c r="G13" s="800"/>
      <c r="H13" s="800"/>
      <c r="I13" s="800"/>
      <c r="J13" s="2796"/>
      <c r="K13" s="2394"/>
      <c r="L13" s="2394"/>
      <c r="M13" s="2242"/>
      <c r="N13" s="1667"/>
      <c r="O13" s="2242"/>
      <c r="P13" s="2242"/>
      <c r="Q13" s="2242"/>
      <c r="AD13" s="1615"/>
    </row>
    <row r="14" spans="1:30">
      <c r="A14" s="1015"/>
      <c r="B14" s="2215" t="s">
        <v>2191</v>
      </c>
      <c r="C14" s="2216"/>
      <c r="D14" s="2216">
        <v>40</v>
      </c>
      <c r="E14" s="2216"/>
      <c r="F14" s="2216">
        <v>50</v>
      </c>
      <c r="G14" s="2216"/>
      <c r="H14" s="2216"/>
      <c r="I14" s="2216"/>
      <c r="J14" s="2797"/>
      <c r="K14" s="2394"/>
      <c r="L14" s="2394"/>
      <c r="M14" s="2242"/>
      <c r="N14" s="1667"/>
      <c r="O14" s="2242"/>
      <c r="P14" s="2242"/>
      <c r="Q14" s="2242"/>
      <c r="AD14" s="1615"/>
    </row>
    <row r="15" spans="1:30">
      <c r="A15" s="312"/>
      <c r="B15" s="2217" t="s">
        <v>2192</v>
      </c>
      <c r="C15" s="2218" t="str">
        <f>IF(A13="出让",IF(C13="","",ROUNDDOWN(MIN((C13-$D$3)/365,C14),2)),C14)</f>
        <v/>
      </c>
      <c r="D15" s="2218">
        <f>IF(A13="出让",IF(D13="","",ROUNDDOWN(MIN((D13-$D$3)/365,D14),2)),D14)</f>
        <v>17.88</v>
      </c>
      <c r="E15" s="2218" t="str">
        <f>IF(A13="出让",IF(E13="","",ROUNDDOWN(MIN((E13-$D$3)/365,E14),2)),E14)</f>
        <v/>
      </c>
      <c r="F15" s="2218">
        <f>IF(A13="出让",IF(F13="","",ROUNDDOWN(MIN((F13-$D$3)/365,F14),2)),F14)</f>
        <v>27.89</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94"/>
      <c r="C16" s="3295"/>
      <c r="D16" s="3296"/>
      <c r="E16" s="2219" t="s">
        <v>2194</v>
      </c>
      <c r="F16" s="3297"/>
      <c r="G16" s="3298"/>
      <c r="H16" s="3298"/>
      <c r="I16" s="3299"/>
      <c r="J16" s="2242"/>
      <c r="K16" s="2398"/>
      <c r="L16" s="1667"/>
      <c r="M16" s="1667"/>
      <c r="N16" s="2242"/>
      <c r="O16" s="1667"/>
      <c r="P16" s="2242"/>
      <c r="Q16" s="2242"/>
      <c r="R16" s="2242"/>
    </row>
    <row r="17" spans="1:28">
      <c r="A17" s="305" t="s">
        <v>2195</v>
      </c>
      <c r="B17" s="294" t="s">
        <v>2196</v>
      </c>
      <c r="C17" s="8">
        <f>'数据-汇总表'!E3</f>
        <v>37817.270000000004</v>
      </c>
      <c r="D17" s="1253" t="s">
        <v>2197</v>
      </c>
      <c r="E17" s="3300" t="s">
        <v>2198</v>
      </c>
      <c r="F17" s="3301"/>
      <c r="G17" s="3301"/>
      <c r="H17" s="3301"/>
      <c r="I17" s="3302"/>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11268.85</v>
      </c>
      <c r="D18" s="1026" t="s">
        <v>2201</v>
      </c>
      <c r="E18" s="3303" t="s">
        <v>2202</v>
      </c>
      <c r="F18" s="3304"/>
      <c r="G18" s="3304"/>
      <c r="H18" s="3304"/>
      <c r="I18" s="3305"/>
      <c r="J18" s="2242"/>
      <c r="K18" s="2399"/>
      <c r="L18" s="1667"/>
      <c r="M18" s="1667"/>
      <c r="N18" s="2242"/>
      <c r="O18" s="1667"/>
      <c r="P18" s="2242"/>
      <c r="Q18" s="2242"/>
      <c r="R18" s="2242"/>
      <c r="S18" s="2242"/>
      <c r="T18" s="2242"/>
      <c r="U18" s="2242"/>
      <c r="V18" s="2242"/>
    </row>
    <row r="19" spans="1:28" ht="37.200000000000003" thickTop="1" thickBot="1">
      <c r="A19" s="319" t="s">
        <v>1055</v>
      </c>
      <c r="B19" s="299"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90" t="s">
        <v>2206</v>
      </c>
      <c r="C20" s="3291"/>
      <c r="D20" s="3292" t="s">
        <v>2207</v>
      </c>
      <c r="E20" s="3293"/>
      <c r="F20" s="2425" t="s">
        <v>1056</v>
      </c>
      <c r="G20" s="2437"/>
      <c r="H20" s="2437"/>
      <c r="I20" s="2437"/>
      <c r="J20" s="2242"/>
      <c r="K20" s="328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8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8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78" t="s">
        <v>2214</v>
      </c>
      <c r="B27" s="312"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78"/>
      <c r="B28" s="294"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78"/>
      <c r="B29" s="294"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79"/>
      <c r="B30" s="294" t="s">
        <v>2218</v>
      </c>
      <c r="C30" s="3280"/>
      <c r="D30" s="3281"/>
      <c r="E30" s="2437"/>
      <c r="F30" s="2437"/>
      <c r="G30" s="2437"/>
      <c r="H30" s="2437"/>
      <c r="I30" s="2437"/>
      <c r="J30" s="2242"/>
      <c r="K30" s="2397"/>
      <c r="L30" s="2394"/>
      <c r="M30" s="2394"/>
      <c r="N30" s="2242"/>
      <c r="O30" s="1667"/>
      <c r="P30" s="2242"/>
      <c r="Q30" s="2242"/>
      <c r="R30" s="2242"/>
      <c r="S30" s="2242"/>
      <c r="T30" s="2242"/>
      <c r="U30" s="2242"/>
      <c r="V30" s="2242"/>
    </row>
    <row r="31" spans="1:28">
      <c r="A31" s="3282"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83"/>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83"/>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2220</v>
      </c>
      <c r="B34" s="1867" t="s">
        <v>3414</v>
      </c>
      <c r="C34" s="1867" t="s">
        <v>3415</v>
      </c>
      <c r="D34" s="1867" t="s">
        <v>3416</v>
      </c>
      <c r="E34" s="1867" t="s">
        <v>3417</v>
      </c>
      <c r="F34" s="1867" t="s">
        <v>3418</v>
      </c>
      <c r="G34" s="1867" t="s">
        <v>3420</v>
      </c>
      <c r="H34" s="1867" t="s">
        <v>3419</v>
      </c>
      <c r="I34" s="2437"/>
      <c r="J34" s="2242"/>
      <c r="K34" s="8">
        <f>COUNTIF(B34:H34,"——")</f>
        <v>0</v>
      </c>
      <c r="L34" s="315" t="s">
        <v>2221</v>
      </c>
      <c r="M34" s="315" t="s">
        <v>2222</v>
      </c>
      <c r="N34" s="315" t="s">
        <v>2223</v>
      </c>
      <c r="O34" s="315" t="s">
        <v>2224</v>
      </c>
      <c r="P34" s="315" t="s">
        <v>2225</v>
      </c>
      <c r="Q34" s="315" t="s">
        <v>2226</v>
      </c>
      <c r="R34" s="315" t="s">
        <v>2227</v>
      </c>
      <c r="S34" s="3277" t="s">
        <v>2228</v>
      </c>
      <c r="T34" s="315" t="str">
        <f>NUMBERSTRING(7-K34,1)&amp;"通"</f>
        <v>七通</v>
      </c>
      <c r="U34" s="2242"/>
      <c r="V34" s="2242"/>
    </row>
    <row r="35" spans="1:30">
      <c r="A35" s="2233"/>
      <c r="B35" s="3277" t="s">
        <v>2229</v>
      </c>
      <c r="C35" s="3277"/>
      <c r="D35" s="3277"/>
      <c r="E35" s="3277"/>
      <c r="F35" s="8">
        <f>C10</f>
        <v>0</v>
      </c>
      <c r="G35" s="2437"/>
      <c r="H35" s="2437"/>
      <c r="I35" s="2437"/>
      <c r="J35" s="2242"/>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77"/>
      <c r="T35" s="138" t="str">
        <f>IF(T34="一通",L35,IF(T34="二通",M35,IF(T34="三通",N35,IF(T34="四通",O35,IF(T34="五通",P35,IF(T34="六通",Q35,R35))))))</f>
        <v>通路、通电、通讯、通上水、通下水、燃气、平整</v>
      </c>
      <c r="U35" s="2242"/>
      <c r="V35" s="2242"/>
    </row>
    <row r="36" spans="1:30">
      <c r="A36" s="2180"/>
      <c r="B36" s="8" t="s">
        <v>2185</v>
      </c>
      <c r="C36" s="8" t="s">
        <v>2186</v>
      </c>
      <c r="D36" s="8" t="s">
        <v>2184</v>
      </c>
      <c r="E36" s="8" t="s">
        <v>2189</v>
      </c>
      <c r="F36" s="2794" t="s">
        <v>2575</v>
      </c>
      <c r="G36" s="2437"/>
      <c r="H36" s="2437"/>
      <c r="I36" s="2437"/>
      <c r="J36" s="2242"/>
      <c r="K36" s="2397"/>
      <c r="L36" s="2394"/>
      <c r="M36" s="2394"/>
      <c r="N36" s="2242"/>
      <c r="O36" s="1667"/>
      <c r="P36" s="2242"/>
      <c r="Q36" s="2242"/>
      <c r="R36" s="2242"/>
      <c r="S36" s="2242"/>
      <c r="T36" s="2242"/>
      <c r="U36" s="2242"/>
      <c r="V36" s="2242"/>
    </row>
    <row r="37" spans="1:30">
      <c r="A37" s="2410" t="s">
        <v>2230</v>
      </c>
      <c r="B37" s="2234" t="s">
        <v>303</v>
      </c>
      <c r="C37" s="2234" t="s">
        <v>303</v>
      </c>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2983</v>
      </c>
      <c r="C38" s="2235" t="s">
        <v>2983</v>
      </c>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C27E-C375-47DF-A9B1-957CEAB71A34}">
  <dimension ref="A1:M55"/>
  <sheetViews>
    <sheetView workbookViewId="0">
      <selection activeCell="B7" sqref="B7:L7"/>
    </sheetView>
  </sheetViews>
  <sheetFormatPr defaultRowHeight="14.4"/>
  <cols>
    <col min="1" max="1" width="4.109375" customWidth="1"/>
    <col min="2" max="2" width="17.109375" customWidth="1"/>
    <col min="3" max="3" width="19.88671875" customWidth="1"/>
    <col min="4" max="4" width="20.6640625" customWidth="1"/>
    <col min="5" max="5" width="12.77734375" customWidth="1"/>
    <col min="6" max="6" width="11.6640625" customWidth="1"/>
    <col min="12" max="12" width="11.77734375" customWidth="1"/>
  </cols>
  <sheetData>
    <row r="1" spans="1:13" ht="28.8">
      <c r="A1" s="3159" t="s">
        <v>3458</v>
      </c>
      <c r="B1" s="3159" t="s">
        <v>3459</v>
      </c>
      <c r="C1" s="3159" t="s">
        <v>3460</v>
      </c>
      <c r="D1" s="3159" t="s">
        <v>3461</v>
      </c>
      <c r="E1" s="3159" t="s">
        <v>2539</v>
      </c>
      <c r="F1" s="3159" t="s">
        <v>3462</v>
      </c>
      <c r="G1" s="3159" t="s">
        <v>3463</v>
      </c>
      <c r="H1" s="3159" t="s">
        <v>3464</v>
      </c>
      <c r="I1" s="3159" t="s">
        <v>3465</v>
      </c>
      <c r="J1" s="3159" t="s">
        <v>3466</v>
      </c>
      <c r="K1" s="3159" t="s">
        <v>3467</v>
      </c>
      <c r="L1" s="3160"/>
      <c r="M1" s="3161"/>
    </row>
    <row r="2" spans="1:13" ht="28.8">
      <c r="A2" s="3160">
        <v>1</v>
      </c>
      <c r="B2" s="3159" t="s">
        <v>3468</v>
      </c>
      <c r="C2" s="3159" t="s">
        <v>3469</v>
      </c>
      <c r="D2" s="3159" t="s">
        <v>3470</v>
      </c>
      <c r="E2" s="3159"/>
      <c r="F2" s="3163" t="s">
        <v>3471</v>
      </c>
      <c r="G2" s="3164"/>
      <c r="H2" s="3163" t="s">
        <v>3472</v>
      </c>
      <c r="I2" s="3163">
        <v>101</v>
      </c>
      <c r="J2" s="3165">
        <v>26881.279999999999</v>
      </c>
      <c r="K2" s="3163" t="s">
        <v>3473</v>
      </c>
      <c r="L2" s="3163" t="s">
        <v>3474</v>
      </c>
      <c r="M2" s="3161"/>
    </row>
    <row r="3" spans="1:13" ht="28.8">
      <c r="A3" s="3160">
        <v>2</v>
      </c>
      <c r="B3" s="3159" t="s">
        <v>3475</v>
      </c>
      <c r="C3" s="3159" t="s">
        <v>3469</v>
      </c>
      <c r="D3" s="3159" t="s">
        <v>3476</v>
      </c>
      <c r="E3" s="3159" t="s">
        <v>3477</v>
      </c>
      <c r="F3" s="3165">
        <v>7</v>
      </c>
      <c r="G3" s="3166" t="s">
        <v>3478</v>
      </c>
      <c r="H3" s="3163" t="s">
        <v>3479</v>
      </c>
      <c r="I3" s="3163">
        <v>101</v>
      </c>
      <c r="J3" s="3165">
        <v>7261.08</v>
      </c>
      <c r="K3" s="3165"/>
      <c r="L3" s="3163" t="s">
        <v>3480</v>
      </c>
      <c r="M3" s="3161"/>
    </row>
    <row r="4" spans="1:13" ht="28.8">
      <c r="A4" s="3160">
        <v>3</v>
      </c>
      <c r="B4" s="3159" t="s">
        <v>3481</v>
      </c>
      <c r="C4" s="3159" t="s">
        <v>3469</v>
      </c>
      <c r="D4" s="3159" t="s">
        <v>3482</v>
      </c>
      <c r="E4" s="3159" t="s">
        <v>3477</v>
      </c>
      <c r="F4" s="3165">
        <v>5</v>
      </c>
      <c r="G4" s="3166" t="s">
        <v>3483</v>
      </c>
      <c r="H4" s="3163" t="s">
        <v>3484</v>
      </c>
      <c r="I4" s="3165">
        <v>101</v>
      </c>
      <c r="J4" s="3165">
        <v>3674.91</v>
      </c>
      <c r="K4" s="3165"/>
      <c r="L4" s="3167">
        <v>37690</v>
      </c>
      <c r="M4" s="3161"/>
    </row>
    <row r="5" spans="1:13">
      <c r="A5" s="3160"/>
      <c r="B5" s="3160"/>
      <c r="C5" s="3160"/>
      <c r="D5" s="3160"/>
      <c r="E5" s="3160"/>
      <c r="F5" s="3165"/>
      <c r="G5" s="3165"/>
      <c r="H5" s="3165"/>
      <c r="I5" s="3163" t="s">
        <v>2588</v>
      </c>
      <c r="J5" s="3165">
        <f>SUM(J2:J4)</f>
        <v>37817.270000000004</v>
      </c>
      <c r="K5" s="3165"/>
      <c r="L5" s="3168">
        <v>52299</v>
      </c>
      <c r="M5" s="3161"/>
    </row>
    <row r="6" spans="1:13">
      <c r="A6" s="3161"/>
      <c r="B6" s="3161"/>
      <c r="C6" s="3161"/>
      <c r="D6" s="3161"/>
      <c r="E6" s="3161"/>
      <c r="F6" s="3161"/>
      <c r="G6" s="3162"/>
      <c r="H6" s="3161"/>
      <c r="I6" s="3161"/>
      <c r="J6" s="3161"/>
      <c r="K6" s="3161"/>
      <c r="L6" s="3161"/>
      <c r="M6" s="3161"/>
    </row>
    <row r="7" spans="1:13" s="2807" customFormat="1" ht="177" customHeight="1">
      <c r="B7" s="3306" t="s">
        <v>3488</v>
      </c>
      <c r="C7" s="3307"/>
      <c r="D7" s="3307"/>
      <c r="E7" s="3307"/>
      <c r="F7" s="3307"/>
      <c r="G7" s="3307"/>
      <c r="H7" s="3307"/>
      <c r="I7" s="3307"/>
      <c r="J7" s="3307"/>
      <c r="K7" s="3307"/>
      <c r="L7" s="3307"/>
    </row>
    <row r="8" spans="1:13">
      <c r="C8" s="1402" t="s">
        <v>3466</v>
      </c>
      <c r="E8" s="1402" t="s">
        <v>2588</v>
      </c>
      <c r="F8" s="1402" t="s">
        <v>654</v>
      </c>
    </row>
    <row r="9" spans="1:13">
      <c r="B9" s="1418" t="s">
        <v>3485</v>
      </c>
      <c r="C9" s="2807">
        <v>7954.3</v>
      </c>
      <c r="D9" s="2807"/>
      <c r="E9" s="3169">
        <f>SUM(C9:D9)</f>
        <v>7954.3</v>
      </c>
    </row>
    <row r="10" spans="1:13">
      <c r="B10" s="1418" t="s">
        <v>3486</v>
      </c>
      <c r="C10" s="2807">
        <v>7268.6</v>
      </c>
      <c r="D10" s="2807"/>
      <c r="E10" s="3169">
        <f t="shared" ref="E10:E14" si="0">SUM(C10:D10)</f>
        <v>7268.6</v>
      </c>
      <c r="F10" s="3169">
        <v>3.5</v>
      </c>
      <c r="J10" s="1402" t="s">
        <v>654</v>
      </c>
    </row>
    <row r="11" spans="1:13">
      <c r="B11" s="1418" t="s">
        <v>3487</v>
      </c>
      <c r="C11" s="2807">
        <v>7335.29</v>
      </c>
      <c r="D11" s="2807"/>
      <c r="E11" s="3169">
        <f t="shared" si="0"/>
        <v>7335.29</v>
      </c>
      <c r="F11" s="3169">
        <f>G32*0.7</f>
        <v>4.8477356500357427</v>
      </c>
      <c r="I11" s="1402" t="s">
        <v>3389</v>
      </c>
      <c r="J11" s="3175">
        <f>SUMPRODUCT(F12:F14,E12:E14)/SUM(E12:E14)</f>
        <v>7.8568306215053605</v>
      </c>
    </row>
    <row r="12" spans="1:13">
      <c r="B12" s="2807">
        <v>1</v>
      </c>
      <c r="C12" s="2807">
        <v>4323.09</v>
      </c>
      <c r="D12" s="2807"/>
      <c r="E12" s="3169">
        <f t="shared" si="0"/>
        <v>4323.09</v>
      </c>
      <c r="F12" s="3169">
        <v>7.5</v>
      </c>
      <c r="I12" s="1402" t="s">
        <v>3390</v>
      </c>
      <c r="J12" s="3175">
        <f>(E11*F11+E10*F10)/(E10+E11)</f>
        <v>4.1769451041024475</v>
      </c>
    </row>
    <row r="13" spans="1:13">
      <c r="B13" s="2807">
        <v>2</v>
      </c>
      <c r="C13" s="2807">
        <v>1885.24</v>
      </c>
      <c r="D13">
        <v>1255.82</v>
      </c>
      <c r="E13" s="3169">
        <f t="shared" si="0"/>
        <v>3141.06</v>
      </c>
      <c r="F13" s="3169">
        <v>7</v>
      </c>
      <c r="I13" s="1402" t="s">
        <v>3534</v>
      </c>
      <c r="J13" s="3175">
        <f>E37</f>
        <v>1.2746788632804622</v>
      </c>
    </row>
    <row r="14" spans="1:13">
      <c r="B14" s="2807">
        <v>3</v>
      </c>
      <c r="C14" s="2807">
        <f>J3-C13</f>
        <v>5375.84</v>
      </c>
      <c r="D14">
        <f>J4-D13</f>
        <v>2419.09</v>
      </c>
      <c r="E14" s="3169">
        <f t="shared" si="0"/>
        <v>7794.93</v>
      </c>
      <c r="F14">
        <v>8.4</v>
      </c>
    </row>
    <row r="15" spans="1:13">
      <c r="B15">
        <f>SUM(C15:D15)</f>
        <v>37817.270000000004</v>
      </c>
      <c r="C15" s="2807">
        <f>SUM(C9:C14)</f>
        <v>34142.36</v>
      </c>
      <c r="D15" s="2807">
        <f>SUM(D9:D14)</f>
        <v>3674.91</v>
      </c>
      <c r="E15">
        <f>SUM(E9:E14)</f>
        <v>37817.270000000004</v>
      </c>
    </row>
    <row r="16" spans="1:13">
      <c r="C16" s="1402" t="s">
        <v>3500</v>
      </c>
      <c r="D16" s="1402" t="s">
        <v>3501</v>
      </c>
    </row>
    <row r="20" spans="2:9">
      <c r="B20" s="1402" t="s">
        <v>3502</v>
      </c>
      <c r="C20" s="1402" t="s">
        <v>654</v>
      </c>
      <c r="D20" s="1402" t="s">
        <v>3512</v>
      </c>
    </row>
    <row r="21" spans="2:9">
      <c r="B21" s="1402" t="s">
        <v>3503</v>
      </c>
      <c r="C21">
        <v>7.6</v>
      </c>
      <c r="D21">
        <v>0.8</v>
      </c>
      <c r="E21">
        <f>C21+D21</f>
        <v>8.4</v>
      </c>
    </row>
    <row r="22" spans="2:9">
      <c r="B22" s="1402" t="s">
        <v>3504</v>
      </c>
      <c r="C22">
        <v>7.6</v>
      </c>
      <c r="D22">
        <v>0.8</v>
      </c>
      <c r="E22">
        <f t="shared" ref="E22:E28" si="1">C22+D22</f>
        <v>8.4</v>
      </c>
    </row>
    <row r="23" spans="2:9">
      <c r="B23" s="1402" t="s">
        <v>3505</v>
      </c>
      <c r="C23">
        <v>7.6</v>
      </c>
      <c r="D23">
        <v>0.8</v>
      </c>
      <c r="E23">
        <f t="shared" si="1"/>
        <v>8.4</v>
      </c>
    </row>
    <row r="24" spans="2:9">
      <c r="B24" s="1402" t="s">
        <v>3506</v>
      </c>
      <c r="C24">
        <v>6.8</v>
      </c>
      <c r="D24">
        <v>1.6</v>
      </c>
      <c r="E24">
        <f t="shared" si="1"/>
        <v>8.4</v>
      </c>
    </row>
    <row r="25" spans="2:9">
      <c r="B25" s="1402" t="s">
        <v>3507</v>
      </c>
      <c r="C25">
        <v>6.8</v>
      </c>
      <c r="D25">
        <v>1.6</v>
      </c>
      <c r="E25">
        <f t="shared" si="1"/>
        <v>8.4</v>
      </c>
    </row>
    <row r="26" spans="2:9">
      <c r="B26" s="1402" t="s">
        <v>3508</v>
      </c>
      <c r="C26">
        <v>7.6</v>
      </c>
      <c r="D26">
        <v>0.8</v>
      </c>
      <c r="E26">
        <f t="shared" si="1"/>
        <v>8.4</v>
      </c>
    </row>
    <row r="27" spans="2:9">
      <c r="B27" s="1402" t="s">
        <v>3509</v>
      </c>
      <c r="C27">
        <v>7.6</v>
      </c>
      <c r="D27">
        <v>0.8</v>
      </c>
      <c r="E27">
        <f t="shared" si="1"/>
        <v>8.4</v>
      </c>
    </row>
    <row r="28" spans="2:9">
      <c r="B28" s="1402" t="s">
        <v>3510</v>
      </c>
      <c r="C28">
        <v>7.6</v>
      </c>
      <c r="D28">
        <v>0.8</v>
      </c>
      <c r="E28">
        <f t="shared" si="1"/>
        <v>8.4</v>
      </c>
    </row>
    <row r="29" spans="2:9">
      <c r="B29" s="1402"/>
      <c r="C29" s="1402" t="s">
        <v>3519</v>
      </c>
      <c r="D29" s="1402" t="s">
        <v>654</v>
      </c>
      <c r="E29" s="1402" t="s">
        <v>3516</v>
      </c>
      <c r="F29" s="1402" t="s">
        <v>3517</v>
      </c>
    </row>
    <row r="30" spans="2:9">
      <c r="B30" s="1402" t="s">
        <v>3513</v>
      </c>
      <c r="C30" s="3170">
        <v>5892.63</v>
      </c>
      <c r="D30" s="1402">
        <v>412396.7</v>
      </c>
      <c r="E30">
        <v>433656.5</v>
      </c>
      <c r="F30">
        <v>367595.5</v>
      </c>
      <c r="G30" s="3169">
        <f>SUM(D30:F30)/C30/30</f>
        <v>6.8653481835219017</v>
      </c>
      <c r="I30">
        <f>F30/C30/30</f>
        <v>2.0794082325435896</v>
      </c>
    </row>
    <row r="31" spans="2:9">
      <c r="B31" s="1402" t="s">
        <v>3514</v>
      </c>
      <c r="C31" s="1402">
        <v>4483.6899999999996</v>
      </c>
      <c r="D31" s="1402">
        <v>671708.85</v>
      </c>
      <c r="E31">
        <v>43922.3</v>
      </c>
      <c r="F31">
        <v>307078.09999999998</v>
      </c>
      <c r="G31" s="3169">
        <f t="shared" ref="G31:G33" si="2">SUM(D31:F31)/C31/30</f>
        <v>7.6031813825963299</v>
      </c>
      <c r="I31">
        <f t="shared" ref="I31:I33" si="3">F31/C31/30</f>
        <v>2.2829269344371861</v>
      </c>
    </row>
    <row r="32" spans="2:9">
      <c r="B32" s="1402" t="s">
        <v>3515</v>
      </c>
      <c r="C32" s="1402">
        <v>4294.6099999999997</v>
      </c>
      <c r="D32" s="1402">
        <v>596574.80000000005</v>
      </c>
      <c r="E32">
        <v>36958.1</v>
      </c>
      <c r="F32">
        <v>258715.7</v>
      </c>
      <c r="G32" s="3169">
        <f t="shared" si="2"/>
        <v>6.9253366429082046</v>
      </c>
      <c r="I32">
        <f t="shared" si="3"/>
        <v>2.0080651483293401</v>
      </c>
    </row>
    <row r="33" spans="2:9">
      <c r="B33" s="1402" t="s">
        <v>3518</v>
      </c>
      <c r="C33" s="1402">
        <v>1137.55</v>
      </c>
      <c r="D33" s="1402">
        <v>119901.4</v>
      </c>
      <c r="E33">
        <v>5236.3</v>
      </c>
      <c r="F33">
        <v>36658.1</v>
      </c>
      <c r="G33" s="3169">
        <f t="shared" si="2"/>
        <v>4.7410604662066138</v>
      </c>
      <c r="I33">
        <f t="shared" si="3"/>
        <v>1.0741828198027925</v>
      </c>
    </row>
    <row r="34" spans="2:9">
      <c r="G34" s="3169"/>
    </row>
    <row r="36" spans="2:9">
      <c r="B36" s="1402" t="s">
        <v>3511</v>
      </c>
      <c r="C36">
        <f>139+118</f>
        <v>257</v>
      </c>
      <c r="D36">
        <v>900000</v>
      </c>
      <c r="E36">
        <f>D36/C9/365</f>
        <v>0.30998999593396454</v>
      </c>
    </row>
    <row r="37" spans="2:9">
      <c r="C37">
        <v>1200</v>
      </c>
      <c r="D37">
        <f>C36*C37*12</f>
        <v>3700800</v>
      </c>
      <c r="E37">
        <f>D37/C9/365</f>
        <v>1.2746788632804622</v>
      </c>
    </row>
    <row r="47" spans="2:9" ht="15" thickBot="1"/>
    <row r="48" spans="2:9" ht="40.799999999999997" customHeight="1" thickBot="1">
      <c r="B48" s="3171" t="s">
        <v>3520</v>
      </c>
      <c r="C48" s="3172" t="s">
        <v>3521</v>
      </c>
      <c r="D48" s="3172" t="s">
        <v>3520</v>
      </c>
      <c r="E48" s="3172" t="s">
        <v>3521</v>
      </c>
    </row>
    <row r="49" spans="2:5" ht="18" thickBot="1">
      <c r="B49" s="3173" t="s">
        <v>3522</v>
      </c>
      <c r="C49" s="3174">
        <v>198.73</v>
      </c>
      <c r="D49" s="3174" t="s">
        <v>3523</v>
      </c>
      <c r="E49" s="3174">
        <v>183.85</v>
      </c>
    </row>
    <row r="50" spans="2:5" ht="18" thickBot="1">
      <c r="B50" s="3173" t="s">
        <v>3524</v>
      </c>
      <c r="C50" s="3174">
        <v>198.73</v>
      </c>
      <c r="D50" s="3174" t="s">
        <v>3525</v>
      </c>
      <c r="E50" s="3174">
        <v>183.85</v>
      </c>
    </row>
    <row r="51" spans="2:5" ht="18" thickBot="1">
      <c r="B51" s="3173" t="s">
        <v>3526</v>
      </c>
      <c r="C51" s="3174">
        <v>2373.84</v>
      </c>
      <c r="D51" s="3174" t="s">
        <v>3527</v>
      </c>
      <c r="E51" s="3174">
        <v>1831.01</v>
      </c>
    </row>
    <row r="52" spans="2:5" ht="18" thickBot="1">
      <c r="B52" s="3173" t="s">
        <v>3528</v>
      </c>
      <c r="C52" s="3174">
        <v>2379.39</v>
      </c>
      <c r="D52" s="3174" t="s">
        <v>3529</v>
      </c>
      <c r="E52" s="3174">
        <v>1831.27</v>
      </c>
    </row>
    <row r="53" spans="2:5" ht="18" thickBot="1">
      <c r="B53" s="3173" t="s">
        <v>3530</v>
      </c>
      <c r="C53" s="3174">
        <v>2380.14</v>
      </c>
      <c r="D53" s="3174" t="s">
        <v>3531</v>
      </c>
      <c r="E53" s="3174">
        <v>1828.77</v>
      </c>
    </row>
    <row r="54" spans="2:5" ht="18" thickBot="1">
      <c r="B54" s="3173" t="s">
        <v>3532</v>
      </c>
      <c r="C54" s="3174">
        <v>2379.2399999999998</v>
      </c>
      <c r="D54" s="3174"/>
      <c r="E54" s="3174"/>
    </row>
    <row r="55" spans="2:5" ht="18" thickBot="1">
      <c r="B55" s="3173" t="s">
        <v>3533</v>
      </c>
      <c r="C55" s="3174">
        <v>2380.1799999999998</v>
      </c>
      <c r="D55" s="3174"/>
      <c r="E55" s="3174"/>
    </row>
  </sheetData>
  <mergeCells count="1">
    <mergeCell ref="B7:L7"/>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2" activePane="bottomRight" state="frozen"/>
      <selection activeCell="C50" sqref="C50"/>
      <selection pane="topRight" activeCell="C50" sqref="C50"/>
      <selection pane="bottomLeft" activeCell="C50" sqref="C50"/>
      <selection pane="bottomRight" activeCell="Q19" sqref="Q1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11268.85</v>
      </c>
      <c r="B3" s="11">
        <f>IF(C3="否",G5-AT5,G5)</f>
        <v>37817.270000000004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37817.270000000004</v>
      </c>
      <c r="H5" s="13">
        <f t="shared" ref="H5:AT5" si="0">SUM(H13:H656)</f>
        <v>37817.270000000004</v>
      </c>
      <c r="I5" s="13">
        <f t="shared" si="0"/>
        <v>15259.08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37817.270000000004</v>
      </c>
      <c r="BA5" s="15">
        <f t="shared" si="1"/>
        <v>37817.270000000004</v>
      </c>
      <c r="BB5" s="15">
        <f t="shared" si="1"/>
        <v>15259.08</v>
      </c>
      <c r="BC5" s="15">
        <f t="shared" si="1"/>
        <v>14603.89</v>
      </c>
      <c r="BD5" s="15">
        <f t="shared" si="1"/>
        <v>7954.3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11268.85</v>
      </c>
      <c r="AZ6" s="13" t="s">
        <v>2</v>
      </c>
      <c r="BA6" s="13">
        <f>ROUND($AY$6*BA5/$AZ$5,2)</f>
        <v>11268.85</v>
      </c>
      <c r="BB6" s="13">
        <f>ROUND($AY$6*BB5/$AZ$5,2)</f>
        <v>4546.92</v>
      </c>
      <c r="BC6" s="13">
        <f t="shared" ref="BC6:BH6" si="4">ROUND($AY$6*BC5/$AZ$5,2)</f>
        <v>4351.6899999999996</v>
      </c>
      <c r="BD6" s="13">
        <f t="shared" si="4"/>
        <v>2370.23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3423</v>
      </c>
      <c r="J9" s="758"/>
      <c r="K9" s="1488" t="s">
        <v>3489</v>
      </c>
      <c r="L9" s="758"/>
      <c r="M9" s="1488" t="s">
        <v>3489</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673</v>
      </c>
      <c r="L10" s="758"/>
      <c r="M10" s="1494" t="s">
        <v>3329</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v>1</v>
      </c>
      <c r="D13" s="1510" t="s">
        <v>3422</v>
      </c>
      <c r="E13" s="13">
        <f>IF($C$3="是",ROUND($A$3*G13/$B$3,2),ROUND($A$3*(G13-AT13)/$B$3,2))</f>
        <v>11268.85</v>
      </c>
      <c r="F13" s="29"/>
      <c r="G13" s="30">
        <f>H13+AC13+AT13</f>
        <v>37817.270000000004</v>
      </c>
      <c r="H13" s="17">
        <f>SUMIF(I$12:AB$12,"总值",I13:AB13)</f>
        <v>37817.270000000004</v>
      </c>
      <c r="I13" s="1511">
        <f>估价对象!C12+估价对象!J3+估价对象!J4</f>
        <v>15259.08</v>
      </c>
      <c r="J13" s="1511"/>
      <c r="K13" s="1511">
        <f>估价对象!C11+估价对象!C10</f>
        <v>14603.89</v>
      </c>
      <c r="L13" s="1511"/>
      <c r="M13" s="1511">
        <f>估价对象!C9</f>
        <v>7954.3</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1</v>
      </c>
      <c r="AY13" s="1257">
        <f>ROUND($AY$6*AZ13/$AZ$5,2)</f>
        <v>11268.85</v>
      </c>
      <c r="AZ13" s="13">
        <f>BA13+BL13</f>
        <v>37817.270000000004</v>
      </c>
      <c r="BA13" s="13">
        <f>SUM(BB13:BK13)</f>
        <v>37817.270000000004</v>
      </c>
      <c r="BB13" s="13">
        <f>IF($D13="是",I13-J13,0)</f>
        <v>15259.08</v>
      </c>
      <c r="BC13" s="13">
        <f>IF($D13="是",K13-L13,0)</f>
        <v>14603.89</v>
      </c>
      <c r="BD13" s="13">
        <f>IF($D13="是",M13-N13,0)</f>
        <v>7954.3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5">
        <v>2</v>
      </c>
      <c r="D14" s="1510" t="s">
        <v>3422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2</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8" sqref="K18"/>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17" t="s">
        <v>1131</v>
      </c>
      <c r="B2" s="3317"/>
      <c r="C2" s="3317"/>
      <c r="D2" s="745" t="s">
        <v>1107</v>
      </c>
      <c r="E2" s="1520" t="s">
        <v>1108</v>
      </c>
      <c r="F2" s="2434"/>
      <c r="G2" s="2427"/>
      <c r="H2" s="2428"/>
      <c r="I2" s="2143" t="s">
        <v>1132</v>
      </c>
      <c r="J2" s="2434"/>
      <c r="K2" s="2434"/>
      <c r="L2" s="2434"/>
      <c r="M2" s="2434"/>
      <c r="N2" s="2435"/>
      <c r="O2" s="2434"/>
      <c r="P2" s="2434"/>
    </row>
    <row r="3" spans="1:16" ht="15" thickBot="1">
      <c r="A3" s="3318" t="s">
        <v>1105</v>
      </c>
      <c r="B3" s="3318"/>
      <c r="C3" s="3318"/>
      <c r="D3" s="41">
        <f>'数据-基础表'!AY6</f>
        <v>11268.85</v>
      </c>
      <c r="E3" s="41">
        <f>'数据-基础表'!AZ5</f>
        <v>37817.270000000004</v>
      </c>
      <c r="F3" s="2434"/>
      <c r="G3" s="42"/>
      <c r="H3" s="43" t="s">
        <v>1106</v>
      </c>
      <c r="I3" s="799">
        <f>ROUND('数据-基础表'!B3/'数据-基础表'!A3,2)</f>
        <v>3.36</v>
      </c>
      <c r="J3" s="2434"/>
      <c r="K3" s="2434"/>
      <c r="L3" s="2434"/>
      <c r="M3" s="2434"/>
      <c r="N3" s="2435"/>
      <c r="O3" s="2434"/>
      <c r="P3" s="2434"/>
    </row>
    <row r="4" spans="1:16" ht="14.4">
      <c r="A4" s="3319"/>
      <c r="B4" s="3320"/>
      <c r="C4" s="3321"/>
      <c r="D4" s="1521" t="s">
        <v>1107</v>
      </c>
      <c r="E4" s="1522" t="s">
        <v>1108</v>
      </c>
      <c r="F4" s="2434"/>
      <c r="G4" s="2429" t="s">
        <v>1133</v>
      </c>
      <c r="H4" s="43" t="s">
        <v>1113</v>
      </c>
      <c r="I4" s="799">
        <f>ROUND(SUMIF('数据-基础表'!I9:AS9,"地上",'数据-基础表'!I5:AS5)/'数据-基础表'!A3,2)</f>
        <v>1.35</v>
      </c>
      <c r="J4" s="2434"/>
      <c r="K4" s="2434"/>
      <c r="L4" s="2434"/>
      <c r="M4" s="2434"/>
      <c r="N4" s="2435"/>
      <c r="O4" s="2434"/>
      <c r="P4" s="2434"/>
    </row>
    <row r="5" spans="1:16" ht="14.4">
      <c r="A5" s="42" t="s">
        <v>1109</v>
      </c>
      <c r="B5" s="3322" t="s">
        <v>1110</v>
      </c>
      <c r="C5" s="3322"/>
      <c r="D5" s="43">
        <f>ROUND($D$3*E5/$E$3,2)</f>
        <v>0</v>
      </c>
      <c r="E5" s="44">
        <f>SUMIF('数据-基础表'!$11:$11,"住宅",'数据-基础表'!$5:$5)</f>
        <v>0</v>
      </c>
      <c r="F5" s="2434"/>
      <c r="G5" s="42"/>
      <c r="H5" s="43" t="s">
        <v>1106</v>
      </c>
      <c r="I5" s="799">
        <f>ROUND(E31/D31,2)</f>
        <v>3.36</v>
      </c>
      <c r="J5" s="2434"/>
      <c r="K5" s="2434"/>
      <c r="L5" s="2434"/>
      <c r="M5" s="2434"/>
      <c r="N5" s="2434"/>
      <c r="O5" s="2434"/>
      <c r="P5" s="2434"/>
    </row>
    <row r="6" spans="1:16" ht="15" thickBot="1">
      <c r="A6" s="1524"/>
      <c r="B6" s="3322" t="s">
        <v>1111</v>
      </c>
      <c r="C6" s="3322"/>
      <c r="D6" s="43">
        <f>ROUND($D$3*E6/$E$3,2)</f>
        <v>11268.85</v>
      </c>
      <c r="E6" s="44">
        <f>E3-E5</f>
        <v>37817.270000000004</v>
      </c>
      <c r="F6" s="2434"/>
      <c r="G6" s="1526" t="s">
        <v>1112</v>
      </c>
      <c r="H6" s="45" t="s">
        <v>1113</v>
      </c>
      <c r="I6" s="2430">
        <f>ROUND(F31/D31,2)</f>
        <v>1.35</v>
      </c>
      <c r="J6" s="2434"/>
      <c r="K6" s="2434"/>
      <c r="L6" s="2434"/>
      <c r="M6" s="2434"/>
      <c r="N6" s="2434"/>
      <c r="O6" s="2434"/>
      <c r="P6" s="2434"/>
    </row>
    <row r="7" spans="1:16" ht="15" thickBot="1">
      <c r="A7" s="3314"/>
      <c r="B7" s="3315"/>
      <c r="C7" s="3316"/>
      <c r="D7" s="1521" t="s">
        <v>1107</v>
      </c>
      <c r="E7" s="1525" t="s">
        <v>1114</v>
      </c>
      <c r="F7" s="2434"/>
      <c r="G7" s="2431" t="s">
        <v>1115</v>
      </c>
      <c r="H7" s="95"/>
      <c r="I7" s="2432">
        <f>I6</f>
        <v>1.35</v>
      </c>
      <c r="J7" s="2434"/>
      <c r="K7" s="2434"/>
      <c r="L7" s="2434"/>
      <c r="M7" s="2434"/>
      <c r="N7" s="2434"/>
      <c r="O7" s="2434"/>
      <c r="P7" s="2434"/>
    </row>
    <row r="8" spans="1:16" ht="14.4">
      <c r="A8" s="42" t="s">
        <v>1116</v>
      </c>
      <c r="B8" s="45" t="s">
        <v>1117</v>
      </c>
      <c r="C8" s="43" t="s">
        <v>1118</v>
      </c>
      <c r="D8" s="43">
        <f t="shared" ref="D8:D15" si="0">ROUND($D$3*E8/$E$3,2)</f>
        <v>4546.92</v>
      </c>
      <c r="E8" s="46">
        <f>SUMIF('数据-基础表'!BB10:BK10,"地上",'数据-基础表'!BB5:BK5)</f>
        <v>15259.08</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4351.6899999999996</v>
      </c>
      <c r="E10" s="46">
        <f>SUMPRODUCT(('数据-基础表'!BB10:BK10="地下")*('数据-基础表'!BB11:BK11="商业")*('数据-基础表'!BB5:BK5))</f>
        <v>14603.89</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2370.23</v>
      </c>
      <c r="E13" s="46">
        <f>SUMPRODUCT(('数据-基础表'!BB10:BK10="地下")*('数据-基础表'!BB11:BK11="车库")*('数据-基础表'!BB5:BK5))</f>
        <v>7954.3</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11268.84</v>
      </c>
      <c r="E16" s="48">
        <f>SUM(E8:E15)</f>
        <v>37817.270000000004</v>
      </c>
      <c r="F16" s="2434"/>
      <c r="G16" s="2434"/>
      <c r="H16" s="1528" t="s">
        <v>1135</v>
      </c>
      <c r="I16" s="1529"/>
      <c r="J16" s="1068"/>
      <c r="K16" s="3311" t="s">
        <v>1135</v>
      </c>
      <c r="L16" s="3312"/>
      <c r="M16" s="3312"/>
      <c r="N16" s="3312"/>
      <c r="O16" s="3312"/>
      <c r="P16" s="3313"/>
    </row>
    <row r="17" spans="1:19" ht="14.4">
      <c r="A17" s="1530" t="s">
        <v>1136</v>
      </c>
      <c r="B17" s="1531" t="s">
        <v>1137</v>
      </c>
      <c r="C17" s="1532" t="s">
        <v>1138</v>
      </c>
      <c r="D17" s="1533" t="s">
        <v>1126</v>
      </c>
      <c r="E17" s="1534" t="s">
        <v>1127</v>
      </c>
      <c r="F17" s="1535"/>
      <c r="G17" s="1536"/>
      <c r="H17" s="1537" t="s">
        <v>1139</v>
      </c>
      <c r="I17" s="1538" t="s">
        <v>1124</v>
      </c>
      <c r="J17" s="1068"/>
      <c r="K17" s="3308" t="s">
        <v>1140</v>
      </c>
      <c r="L17" s="3309"/>
      <c r="M17" s="3310"/>
      <c r="N17" s="3308" t="s">
        <v>1141</v>
      </c>
      <c r="O17" s="3309"/>
      <c r="P17" s="3310"/>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09" t="s">
        <v>3491</v>
      </c>
      <c r="D19" s="43">
        <f>ROUND($D$3*E19/$E$3,2)</f>
        <v>4546.92</v>
      </c>
      <c r="E19" s="51">
        <f t="shared" ref="E19:E26" si="1">SUM(F19:G19)</f>
        <v>15259.08</v>
      </c>
      <c r="F19" s="2551">
        <f>'数据-基础表'!I13</f>
        <v>15259.08</v>
      </c>
      <c r="G19" s="1240"/>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4546.92</v>
      </c>
      <c r="S19" s="51">
        <f t="shared" si="5"/>
        <v>15259.08</v>
      </c>
    </row>
    <row r="20" spans="1:19" ht="14.4">
      <c r="A20" s="1546"/>
      <c r="B20" s="45" t="s">
        <v>1153</v>
      </c>
      <c r="C20" s="3109" t="s">
        <v>3493</v>
      </c>
      <c r="D20" s="43">
        <f t="shared" ref="D20:D26" si="6">ROUND($D$3*E20/$E$3,2)</f>
        <v>4351.6899999999996</v>
      </c>
      <c r="E20" s="51">
        <f t="shared" si="1"/>
        <v>14603.89</v>
      </c>
      <c r="F20" s="2551"/>
      <c r="G20" s="1240">
        <f>'数据-基础表'!K13</f>
        <v>14603.89</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4351.6899999999996</v>
      </c>
      <c r="S20" s="51">
        <f t="shared" si="5"/>
        <v>14603.89</v>
      </c>
    </row>
    <row r="21" spans="1:19" ht="14.4">
      <c r="A21" s="1546"/>
      <c r="B21" s="45" t="s">
        <v>1153</v>
      </c>
      <c r="C21" s="3109" t="s">
        <v>3495</v>
      </c>
      <c r="D21" s="43">
        <f t="shared" si="6"/>
        <v>2370.23</v>
      </c>
      <c r="E21" s="51">
        <f t="shared" si="1"/>
        <v>7954.3</v>
      </c>
      <c r="F21" s="2551"/>
      <c r="G21" s="1240">
        <f>'数据-基础表'!M13</f>
        <v>7954.3</v>
      </c>
      <c r="H21" s="636">
        <f t="shared" si="7"/>
        <v>0</v>
      </c>
      <c r="I21" s="46">
        <f t="shared" si="2"/>
        <v>0</v>
      </c>
      <c r="J21" s="1068"/>
      <c r="K21" s="636">
        <f t="shared" si="3"/>
        <v>0</v>
      </c>
      <c r="L21" s="43">
        <f t="shared" si="4"/>
        <v>0</v>
      </c>
      <c r="M21" s="46">
        <f t="shared" si="8"/>
        <v>0</v>
      </c>
      <c r="N21" s="1547"/>
      <c r="O21" s="1548"/>
      <c r="P21" s="46">
        <f t="shared" si="9"/>
        <v>0</v>
      </c>
      <c r="R21" s="43">
        <f t="shared" si="5"/>
        <v>2370.23</v>
      </c>
      <c r="S21" s="51">
        <f t="shared" si="5"/>
        <v>7954.3</v>
      </c>
    </row>
    <row r="22" spans="1:19" ht="14.4">
      <c r="A22" s="1546"/>
      <c r="B22" s="45" t="s">
        <v>1153</v>
      </c>
      <c r="C22" s="3110"/>
      <c r="D22" s="43">
        <f t="shared" si="6"/>
        <v>0</v>
      </c>
      <c r="E22" s="51">
        <f t="shared" si="1"/>
        <v>0</v>
      </c>
      <c r="F22" s="2552"/>
      <c r="G22" s="2553"/>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8.2" thickBot="1">
      <c r="A27" s="1546"/>
      <c r="B27" s="43"/>
      <c r="C27" s="1551" t="s">
        <v>1154</v>
      </c>
      <c r="D27" s="1069">
        <f>SUM(D19:D26)</f>
        <v>11268.84</v>
      </c>
      <c r="E27" s="1070">
        <f>IF(SUM(E19:E26)='数据-基础表'!BA5,SUM(E19:E26),IF(F27="地上面积有误","面积有误","地下面积有误"))</f>
        <v>37817.270000000004</v>
      </c>
      <c r="F27" s="1069">
        <f>IF(SUM(F19:F26)=E8,SUM(F19:F26),"地上面积有误")</f>
        <v>15259.08</v>
      </c>
      <c r="G27" s="1071">
        <f>SUM(G19:G26)</f>
        <v>22558.19</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t="str">
        <f>IF(SUM(R19:R26)=$D$3,SUM(R19:R26),SUM(R19:R26)&amp;"误差"&amp;ROUND(SUM(R19:R26)-$D$3,2))</f>
        <v>11268.84误差-0.01</v>
      </c>
      <c r="S27" s="43">
        <f>IF(SUM(S19:S26)=$E$3,SUM(S19:S26),SUM(S19:S26)&amp;"误差"&amp;ROUND(SUM(S19:S26)-E3,2))</f>
        <v>37817.270000000004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2" t="s">
        <v>1158</v>
      </c>
      <c r="D31" s="642">
        <f>D27+D30</f>
        <v>11268.84</v>
      </c>
      <c r="E31" s="642">
        <f>E27+E30</f>
        <v>37817.270000000004</v>
      </c>
      <c r="F31" s="643">
        <f>F27+F30</f>
        <v>15259.08</v>
      </c>
      <c r="G31" s="644">
        <f>G27+G30</f>
        <v>22558.19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15" sqref="AA15"/>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45771</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3424</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地上</v>
      </c>
      <c r="B6" s="1584" t="str">
        <f>IF(A6=0,"","经营性")</f>
        <v>经营性</v>
      </c>
      <c r="C6" s="1585" t="s">
        <v>673</v>
      </c>
      <c r="D6" s="802">
        <f>SUMIF(项目基本情况!C$12:I$12,C6,项目基本情况!C$14:I$14)</f>
        <v>40</v>
      </c>
      <c r="E6" s="801">
        <f>IF(B6="","",SUMIF(项目基本情况!C$12:I$12,C6,项目基本情况!C$13:I$13))</f>
        <v>52299</v>
      </c>
      <c r="F6" s="61">
        <f>SUMIF(项目基本情况!C$12:I$12,C6,项目基本情况!C$15:I$15)</f>
        <v>17.88</v>
      </c>
      <c r="G6" s="62">
        <f>IF(ISERROR(ROUND(POWER(1+H6,D6-F6)*(POWER(1+H6,F6)-1)/(POWER(1+H6,D6)-1),3)),0,ROUND(POWER(1+H6,D6-F6)*(POWER(1+H6,F6)-1)/(POWER(1+H6,D6)-1),3))</f>
        <v>0.67800000000000005</v>
      </c>
      <c r="H6" s="690">
        <v>0.05</v>
      </c>
      <c r="I6" s="690">
        <v>5.5E-2</v>
      </c>
      <c r="J6" s="63">
        <v>7.0000000000000007E-2</v>
      </c>
      <c r="K6" s="967">
        <f>SUMIF('数据-汇总表'!C$19:C$33,A6,'数据-汇总表'!E$19:E$33)</f>
        <v>15259.08</v>
      </c>
      <c r="L6" s="691">
        <v>5500</v>
      </c>
      <c r="M6" s="64">
        <f t="shared" ref="M6:M14" si="0">ROUND(K6*L6/10000,0)</f>
        <v>8392</v>
      </c>
      <c r="N6" s="689">
        <f>O20</f>
        <v>0.88</v>
      </c>
      <c r="O6" s="64" t="str">
        <f>IF($N$5="成新度","——",ROUND(M6*N6,0))</f>
        <v>——</v>
      </c>
      <c r="P6" s="65" t="str">
        <f>IF($N$5="成新度","——",M6-O6)</f>
        <v>——</v>
      </c>
      <c r="Q6" s="692">
        <v>0.15</v>
      </c>
      <c r="R6" s="66">
        <f ca="1">SUMIF('数据-汇总表'!C$19:C$33,A6,'数据-汇总表'!R$19:R$27)</f>
        <v>4546.92</v>
      </c>
      <c r="S6" s="49">
        <f>IF('数据-汇总表'!$I$17="按面积比例",SUMIF('数据-汇总表'!C$19:C$33,A6,'数据-汇总表'!K$19:K$33),SUMIF('数据-汇总表'!C$19:C$33,A6,'数据-汇总表'!N$19:N$33))</f>
        <v>0</v>
      </c>
      <c r="T6" s="1089">
        <f>ROUND($L$14*S6/10000,0)</f>
        <v>0</v>
      </c>
      <c r="U6" s="3120">
        <v>8</v>
      </c>
      <c r="V6" s="67">
        <v>0.02</v>
      </c>
      <c r="W6" s="67">
        <v>0.1</v>
      </c>
      <c r="X6" s="976"/>
      <c r="Y6" s="68">
        <f>N6</f>
        <v>0.88</v>
      </c>
      <c r="Z6" s="69"/>
      <c r="AA6" s="63"/>
      <c r="AB6" s="63"/>
      <c r="AC6" s="976"/>
      <c r="AD6" s="70"/>
      <c r="AE6" s="977">
        <f ca="1">IF(AN6="",0,SUMIF(INDIRECT("'"&amp;AN6&amp;"'"&amp;"!E:E"),$AE$5,INDIRECT("'"&amp;AN6&amp;"'"&amp;"!F:F")))</f>
        <v>17.88</v>
      </c>
      <c r="AF6" s="74"/>
      <c r="AG6" s="130">
        <f>IF(AF6="",0,AE6-AF6)</f>
        <v>0</v>
      </c>
      <c r="AH6" s="71"/>
      <c r="AI6" s="73">
        <v>365</v>
      </c>
      <c r="AJ6" s="74"/>
      <c r="AK6" s="75">
        <v>3.0000000000000001E-3</v>
      </c>
      <c r="AL6" s="76">
        <v>1E-3</v>
      </c>
      <c r="AM6" s="77">
        <v>5.0000000000000001E-3</v>
      </c>
      <c r="AN6" s="1586" t="s">
        <v>3453</v>
      </c>
      <c r="AO6" s="50">
        <f ca="1">SUMIF(INDIRECT("'"&amp;AN6&amp;"'"&amp;"!A:A"),"总价",INDIRECT("'"&amp;AN6&amp;"'"&amp;"!B:B"))</f>
        <v>44500</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地下商业</v>
      </c>
      <c r="B7" s="1584" t="str">
        <f t="shared" ref="B7:B13" si="1">IF(A7=0,"","经营性")</f>
        <v>经营性</v>
      </c>
      <c r="C7" s="1585" t="s">
        <v>673</v>
      </c>
      <c r="D7" s="802">
        <f>SUMIF(项目基本情况!C$12:I$12,C7,项目基本情况!C$14:I$14)</f>
        <v>40</v>
      </c>
      <c r="E7" s="801">
        <f>IF(B7="","",SUMIF(项目基本情况!C$12:I$12,C7,项目基本情况!C$13:I$13))</f>
        <v>52299</v>
      </c>
      <c r="F7" s="61">
        <f>SUMIF(项目基本情况!C$12:I$12,C7,项目基本情况!C$15:I$15)</f>
        <v>17.88</v>
      </c>
      <c r="G7" s="62">
        <f t="shared" ref="G7:G11" si="2">IF(ISERROR(ROUND(POWER(1+H7,D7-F7)*(POWER(1+H7,F7)-1)/(POWER(1+H7,D7)-1),3)),0,ROUND(POWER(1+H7,D7-F7)*(POWER(1+H7,F7)-1)/(POWER(1+H7,D7)-1),3))</f>
        <v>0.67800000000000005</v>
      </c>
      <c r="H7" s="690">
        <v>0.05</v>
      </c>
      <c r="I7" s="690">
        <v>5.5E-2</v>
      </c>
      <c r="J7" s="63">
        <v>7.0000000000000007E-2</v>
      </c>
      <c r="K7" s="967">
        <f>SUMIF('数据-汇总表'!C$19:C$33,A7,'数据-汇总表'!E$19:E$33)</f>
        <v>14603.89</v>
      </c>
      <c r="L7" s="691">
        <v>5000</v>
      </c>
      <c r="M7" s="64">
        <f t="shared" si="0"/>
        <v>7302</v>
      </c>
      <c r="N7" s="689">
        <f>N6</f>
        <v>0.88</v>
      </c>
      <c r="O7" s="64" t="str">
        <f t="shared" ref="O7:O14" si="3">IF($N$5="成新度","——",ROUND(M7*N7,0))</f>
        <v>——</v>
      </c>
      <c r="P7" s="65" t="str">
        <f t="shared" ref="P7:P14" si="4">IF($N$5="成新度","——",M7-O7)</f>
        <v>——</v>
      </c>
      <c r="Q7" s="692">
        <v>0.15</v>
      </c>
      <c r="R7" s="66">
        <f ca="1">SUMIF('数据-汇总表'!C$19:C$33,A7,'数据-汇总表'!R$19:R$27)</f>
        <v>4351.6899999999996</v>
      </c>
      <c r="S7" s="49">
        <f>IF('数据-汇总表'!$I$17="按面积比例",SUMIF('数据-汇总表'!C$19:C$33,A7,'数据-汇总表'!K$19:K$33),SUMIF('数据-汇总表'!C$19:C$33,A7,'数据-汇总表'!N$19:N$33))</f>
        <v>0</v>
      </c>
      <c r="T7" s="1089">
        <f t="shared" ref="T7:T13" si="5">ROUND($L$14*S7/10000,0)</f>
        <v>0</v>
      </c>
      <c r="U7" s="3120">
        <v>4.5</v>
      </c>
      <c r="V7" s="67">
        <f>V6</f>
        <v>0.02</v>
      </c>
      <c r="W7" s="67">
        <f>W6</f>
        <v>0.1</v>
      </c>
      <c r="X7" s="976"/>
      <c r="Y7" s="68">
        <f>Y6</f>
        <v>0.88</v>
      </c>
      <c r="Z7" s="69"/>
      <c r="AA7" s="63"/>
      <c r="AB7" s="63"/>
      <c r="AC7" s="976"/>
      <c r="AD7" s="70"/>
      <c r="AE7" s="977">
        <f t="shared" ref="AE7:AE13" ca="1" si="6">IF(AN7="",0,SUMIF(INDIRECT("'"&amp;AN7&amp;"'"&amp;"!E:E"),$AE$5,INDIRECT("'"&amp;AN7&amp;"'"&amp;"!F:F")))</f>
        <v>17.88</v>
      </c>
      <c r="AF7" s="74"/>
      <c r="AG7" s="130">
        <f t="shared" ref="AG7:AG13" si="7">IF(AF7="",0,AE7-AF7)</f>
        <v>0</v>
      </c>
      <c r="AH7" s="71"/>
      <c r="AI7" s="73">
        <v>365</v>
      </c>
      <c r="AJ7" s="74"/>
      <c r="AK7" s="75">
        <f>AK6</f>
        <v>3.0000000000000001E-3</v>
      </c>
      <c r="AL7" s="76">
        <f>AL6</f>
        <v>1E-3</v>
      </c>
      <c r="AM7" s="77">
        <f>AM6</f>
        <v>5.0000000000000001E-3</v>
      </c>
      <c r="AN7" s="1586" t="s">
        <v>3498</v>
      </c>
      <c r="AO7" s="50">
        <f t="shared" ref="AO7:AO13" ca="1" si="8">SUMIF(INDIRECT("'"&amp;AN7&amp;"'"&amp;"!A:A"),"总价",INDIRECT("'"&amp;AN7&amp;"'"&amp;"!B:B"))</f>
        <v>24467</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t="str">
        <f>'数据-汇总表'!C21</f>
        <v>地下车库</v>
      </c>
      <c r="B8" s="1584" t="str">
        <f t="shared" si="1"/>
        <v>经营性</v>
      </c>
      <c r="C8" s="1585" t="s">
        <v>3329</v>
      </c>
      <c r="D8" s="802">
        <f>SUMIF(项目基本情况!C$12:I$12,C8,项目基本情况!C$14:I$14)</f>
        <v>50</v>
      </c>
      <c r="E8" s="801">
        <f>IF(B8="","",SUMIF(项目基本情况!C$12:I$12,C8,项目基本情况!C$13:I$13))</f>
        <v>55952</v>
      </c>
      <c r="F8" s="61">
        <f>SUMIF(项目基本情况!C$12:I$12,C8,项目基本情况!C$15:I$15)</f>
        <v>27.89</v>
      </c>
      <c r="G8" s="62">
        <f t="shared" si="2"/>
        <v>0.79500000000000004</v>
      </c>
      <c r="H8" s="690">
        <v>4.4999999999999998E-2</v>
      </c>
      <c r="I8" s="690">
        <v>0.05</v>
      </c>
      <c r="J8" s="63">
        <v>7.0000000000000007E-2</v>
      </c>
      <c r="K8" s="967">
        <f>SUMIF('数据-汇总表'!C$19:C$33,A8,'数据-汇总表'!E$19:E$33)</f>
        <v>7954.3</v>
      </c>
      <c r="L8" s="691">
        <v>4500</v>
      </c>
      <c r="M8" s="64">
        <f>ROUND(K8*L8/10000,0)</f>
        <v>3579</v>
      </c>
      <c r="N8" s="689">
        <f>N6</f>
        <v>0.88</v>
      </c>
      <c r="O8" s="64" t="str">
        <f t="shared" si="3"/>
        <v>——</v>
      </c>
      <c r="P8" s="65" t="str">
        <f t="shared" si="4"/>
        <v>——</v>
      </c>
      <c r="Q8" s="692">
        <v>0.05</v>
      </c>
      <c r="R8" s="66">
        <f ca="1">SUMIF('数据-汇总表'!C$19:C$33,A8,'数据-汇总表'!R$19:R$27)</f>
        <v>2370.23</v>
      </c>
      <c r="S8" s="49">
        <f>IF('数据-汇总表'!$I$17="按面积比例",SUMIF('数据-汇总表'!C$19:C$33,A8,'数据-汇总表'!K$19:K$33),SUMIF('数据-汇总表'!C$19:C$33,A8,'数据-汇总表'!N$19:N$33))</f>
        <v>0</v>
      </c>
      <c r="T8" s="1089">
        <f t="shared" si="5"/>
        <v>0</v>
      </c>
      <c r="U8" s="3120">
        <v>1.2</v>
      </c>
      <c r="V8" s="693">
        <v>0.02</v>
      </c>
      <c r="W8" s="693">
        <v>0.1</v>
      </c>
      <c r="X8" s="976"/>
      <c r="Y8" s="68">
        <f>Y6</f>
        <v>0.88</v>
      </c>
      <c r="Z8" s="69"/>
      <c r="AA8" s="63"/>
      <c r="AB8" s="63"/>
      <c r="AC8" s="976"/>
      <c r="AD8" s="70"/>
      <c r="AE8" s="977">
        <f t="shared" ca="1" si="6"/>
        <v>27.89</v>
      </c>
      <c r="AF8" s="74"/>
      <c r="AG8" s="130">
        <f t="shared" si="7"/>
        <v>0</v>
      </c>
      <c r="AH8" s="694"/>
      <c r="AI8" s="73">
        <v>365</v>
      </c>
      <c r="AJ8" s="74"/>
      <c r="AK8" s="75">
        <v>2E-3</v>
      </c>
      <c r="AL8" s="76">
        <v>1E-3</v>
      </c>
      <c r="AM8" s="77">
        <v>5.0000000000000001E-3</v>
      </c>
      <c r="AN8" s="1586" t="s">
        <v>3496</v>
      </c>
      <c r="AO8" s="50">
        <f t="shared" ca="1" si="8"/>
        <v>4832</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0.70299999999999996</v>
      </c>
      <c r="H16" s="84">
        <f>ROUND(SUMPRODUCT(H6:H13,K6:K13)/SUMPRODUCT((H6:H13&gt;0)*(K6:K13)),3)</f>
        <v>4.9000000000000002E-2</v>
      </c>
      <c r="I16" s="85"/>
      <c r="J16" s="85"/>
      <c r="K16" s="86">
        <f>SUM(K6:K15)</f>
        <v>37817.270000000004</v>
      </c>
      <c r="L16" s="87">
        <f>ROUND(M16*10000/SUM(K6:K14),0)</f>
        <v>5096</v>
      </c>
      <c r="M16" s="87">
        <f>SUM(M6:M14)</f>
        <v>19273</v>
      </c>
      <c r="N16" s="88">
        <f>ROUND(SUMPRODUCT(M6:M14,N6:N14)/M16,3)</f>
        <v>0.88</v>
      </c>
      <c r="O16" s="87">
        <f>SUM(O6:O14)</f>
        <v>0</v>
      </c>
      <c r="P16" s="87">
        <f>SUM(P6:P14)</f>
        <v>0</v>
      </c>
      <c r="Q16" s="89">
        <f>ROUND(SUMPRODUCT(Q6:Q13,K6:K13)/SUMPRODUCT((Q6:Q13&gt;0)*(K6:K13)),2)</f>
        <v>0.13</v>
      </c>
      <c r="R16" s="971">
        <f ca="1">SUM(R6:R13)</f>
        <v>11268.84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2298</v>
      </c>
      <c r="D19" s="2446"/>
      <c r="E19" s="2434"/>
      <c r="F19" s="2434"/>
      <c r="G19" s="2434"/>
      <c r="H19" s="2434"/>
      <c r="I19" s="2434"/>
      <c r="J19" s="2434"/>
      <c r="K19" s="2444"/>
      <c r="L19" s="2444"/>
      <c r="M19" s="2443"/>
      <c r="N19" s="3156" t="s">
        <v>3425</v>
      </c>
      <c r="O19" s="2443">
        <v>2018</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2.5</v>
      </c>
      <c r="C20" s="2555" t="s">
        <v>2296</v>
      </c>
      <c r="D20" s="2446"/>
      <c r="E20" s="2434"/>
      <c r="F20" s="2434"/>
      <c r="G20" s="2434"/>
      <c r="H20" s="2434"/>
      <c r="I20" s="2434"/>
      <c r="J20" s="2434"/>
      <c r="K20" s="2444"/>
      <c r="L20" s="2444"/>
      <c r="M20" s="2443"/>
      <c r="N20" s="3156" t="s">
        <v>3426</v>
      </c>
      <c r="O20" s="2443">
        <f>ROUND(1-(1-0)*(2025-O19)/60,2)</f>
        <v>0.88</v>
      </c>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2.5</v>
      </c>
      <c r="C21" s="2434"/>
      <c r="D21" s="2446"/>
      <c r="E21" s="2434"/>
      <c r="F21" s="2434"/>
      <c r="G21" s="2434"/>
      <c r="H21" s="2434"/>
      <c r="I21" s="2434"/>
      <c r="J21" s="2434"/>
      <c r="K21" s="2444"/>
      <c r="L21" s="2444"/>
      <c r="M21" s="2443"/>
      <c r="N21" s="3156" t="s">
        <v>3427</v>
      </c>
      <c r="O21" s="2443">
        <v>0.9</v>
      </c>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2.5</v>
      </c>
      <c r="C22" s="2434"/>
      <c r="D22" s="2446"/>
      <c r="E22" s="2434"/>
      <c r="F22" s="2434"/>
      <c r="G22" s="2434"/>
      <c r="H22" s="2434"/>
      <c r="I22" s="2434"/>
      <c r="J22" s="2434"/>
      <c r="K22" s="2444"/>
      <c r="L22" s="2444"/>
      <c r="M22" s="2443"/>
      <c r="N22" s="3156" t="s">
        <v>458</v>
      </c>
      <c r="O22" s="2443">
        <f>ROUND((O21+O20)/2,2)</f>
        <v>0.89</v>
      </c>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5">
        <f>ROUND(B28*K16/10000,0)</f>
        <v>756</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9">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8">
        <v>0.02</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303</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6" customFormat="1" ht="18" thickBot="1">
      <c r="A1" s="3323" t="s">
        <v>2282</v>
      </c>
      <c r="B1" s="3324"/>
      <c r="C1" s="3324"/>
      <c r="D1" s="3324"/>
      <c r="E1" s="3324"/>
      <c r="F1" s="3324"/>
      <c r="G1" s="332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40.200000000000003" thickBot="1">
      <c r="A3" s="2244" t="s">
        <v>2280</v>
      </c>
      <c r="B3" s="2261" t="s">
        <v>2252</v>
      </c>
      <c r="C3" s="2262"/>
      <c r="D3" s="2263"/>
      <c r="E3" s="2245" t="s">
        <v>2280</v>
      </c>
      <c r="F3" s="2264" t="s">
        <v>2253</v>
      </c>
      <c r="G3" s="2265" t="s">
        <v>2281</v>
      </c>
      <c r="H3" s="748"/>
      <c r="I3" s="748"/>
      <c r="J3" s="748"/>
      <c r="K3" s="748"/>
      <c r="L3" s="748"/>
      <c r="M3" s="748"/>
      <c r="N3" s="748"/>
      <c r="O3" s="748"/>
      <c r="P3" s="748"/>
      <c r="Q3" s="748"/>
    </row>
    <row r="4" spans="1:29" ht="48.6" thickBot="1">
      <c r="A4" s="2245"/>
      <c r="B4" s="315" t="s">
        <v>2254</v>
      </c>
      <c r="C4" s="3217" t="s">
        <v>3937</v>
      </c>
      <c r="D4" s="2263"/>
      <c r="E4" s="2266"/>
      <c r="F4" s="1278" t="s">
        <v>2255</v>
      </c>
      <c r="G4" s="2267" t="s">
        <v>2256</v>
      </c>
      <c r="H4" s="748"/>
      <c r="I4" s="748"/>
      <c r="J4" s="748"/>
      <c r="K4" s="748"/>
      <c r="L4" s="748"/>
      <c r="M4" s="748"/>
      <c r="N4" s="748"/>
      <c r="O4" s="748"/>
      <c r="P4" s="748"/>
      <c r="Q4" s="748"/>
    </row>
    <row r="5" spans="1:29" ht="24.6" thickBot="1">
      <c r="A5" s="2245"/>
      <c r="B5" s="315" t="s">
        <v>2257</v>
      </c>
      <c r="C5" s="2262"/>
      <c r="D5" s="2263"/>
      <c r="E5" s="2266"/>
      <c r="F5" s="315" t="s">
        <v>2258</v>
      </c>
      <c r="G5" s="2267" t="s">
        <v>2259</v>
      </c>
      <c r="H5" s="748"/>
      <c r="I5" s="748"/>
      <c r="J5" s="748"/>
      <c r="K5" s="748"/>
      <c r="L5" s="748"/>
      <c r="M5" s="748"/>
      <c r="N5" s="748"/>
      <c r="O5" s="748"/>
      <c r="P5" s="748"/>
      <c r="Q5" s="748"/>
    </row>
    <row r="6" spans="1:29" ht="51" thickBot="1">
      <c r="A6" s="2245"/>
      <c r="B6" s="315" t="s">
        <v>2260</v>
      </c>
      <c r="C6" s="3218" t="s">
        <v>3938</v>
      </c>
      <c r="D6" s="2263"/>
      <c r="E6" s="2266"/>
      <c r="F6" s="315" t="s">
        <v>2261</v>
      </c>
      <c r="G6" s="2267" t="s">
        <v>2262</v>
      </c>
      <c r="H6" s="748"/>
      <c r="I6" s="748"/>
      <c r="J6" s="748"/>
      <c r="K6" s="748"/>
      <c r="L6" s="748"/>
      <c r="M6" s="748"/>
      <c r="N6" s="748"/>
      <c r="O6" s="748"/>
      <c r="P6" s="748"/>
      <c r="Q6" s="748"/>
    </row>
    <row r="7" spans="1:29" ht="53.4" thickBot="1">
      <c r="A7" s="2245"/>
      <c r="B7" s="315" t="s">
        <v>2258</v>
      </c>
      <c r="C7" s="2262" t="s">
        <v>3432</v>
      </c>
      <c r="D7" s="2242"/>
      <c r="E7" s="2268"/>
      <c r="F7" s="2269" t="s">
        <v>2263</v>
      </c>
      <c r="G7" s="2270" t="s">
        <v>2264</v>
      </c>
      <c r="H7" s="748"/>
      <c r="I7" s="748"/>
      <c r="J7" s="748"/>
      <c r="K7" s="748"/>
      <c r="L7" s="748"/>
      <c r="M7" s="748"/>
      <c r="N7" s="748"/>
      <c r="O7" s="748"/>
      <c r="P7" s="748"/>
      <c r="Q7" s="748"/>
    </row>
    <row r="8" spans="1:29" ht="27" thickBot="1">
      <c r="A8" s="2245"/>
      <c r="B8" s="315" t="s">
        <v>2261</v>
      </c>
      <c r="C8" s="2262" t="s">
        <v>3433</v>
      </c>
      <c r="D8" s="2242"/>
      <c r="E8" s="2242"/>
      <c r="F8" s="121"/>
      <c r="G8" s="121"/>
      <c r="H8" s="748"/>
      <c r="I8" s="748"/>
      <c r="J8" s="748"/>
      <c r="K8" s="748"/>
      <c r="L8" s="748"/>
      <c r="M8" s="748"/>
      <c r="N8" s="748"/>
      <c r="O8" s="748"/>
      <c r="P8" s="748"/>
      <c r="Q8" s="748"/>
    </row>
    <row r="9" spans="1:29" ht="36.6" thickBot="1">
      <c r="A9" s="2245"/>
      <c r="B9" s="315" t="s">
        <v>2265</v>
      </c>
      <c r="C9" s="3217" t="s">
        <v>3939</v>
      </c>
      <c r="D9" s="2263"/>
      <c r="E9" s="2242"/>
      <c r="F9" s="121"/>
      <c r="G9" s="121"/>
      <c r="H9" s="748"/>
      <c r="I9" s="748"/>
      <c r="J9" s="748"/>
      <c r="K9" s="748"/>
      <c r="L9" s="748"/>
      <c r="M9" s="748"/>
      <c r="N9" s="748"/>
      <c r="O9" s="748"/>
      <c r="P9" s="748"/>
      <c r="Q9" s="748"/>
    </row>
    <row r="10" spans="1:29" ht="14.4" thickBot="1">
      <c r="A10" s="2246"/>
      <c r="B10" s="2271" t="s">
        <v>2266</v>
      </c>
      <c r="C10" s="3218" t="s">
        <v>3940</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估价对象位于北苑商圈，周边上品折扣、林奥等购物中心项目，人流量较大，商业繁华度较好</v>
      </c>
      <c r="D16" s="2263"/>
      <c r="E16" s="2250"/>
      <c r="F16" s="2288" t="s">
        <v>2255</v>
      </c>
      <c r="G16" s="2289" t="str">
        <f>G4</f>
        <v>估价对象周边道路状况、公共交通通达情况、停车便捷程度，综合评价交通便捷度较好</v>
      </c>
    </row>
    <row r="17" spans="1:17">
      <c r="A17" s="2249"/>
      <c r="B17" s="2286" t="s">
        <v>2257</v>
      </c>
      <c r="C17" s="2287">
        <f>C5</f>
        <v>0</v>
      </c>
      <c r="D17" s="2242"/>
      <c r="E17" s="2250"/>
      <c r="F17" s="2288" t="s">
        <v>2272</v>
      </c>
      <c r="G17" s="2290"/>
    </row>
    <row r="18" spans="1:17" ht="52.8">
      <c r="A18" s="2249"/>
      <c r="B18" s="2288" t="s">
        <v>2260</v>
      </c>
      <c r="C18" s="2289" t="str">
        <f>C6</f>
        <v>周边有466、484、593路及地铁5号，周边道路密集，停车便捷程度，综合评价交通便捷度较好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5" t="s">
        <v>2258</v>
      </c>
      <c r="G19" s="2289" t="str">
        <f>G5</f>
        <v>估价对象所在区域公共配套设施齐备情况</v>
      </c>
    </row>
    <row r="20" spans="1:17" ht="39.6">
      <c r="A20" s="2249"/>
      <c r="B20" s="2288" t="s">
        <v>2274</v>
      </c>
      <c r="C20" s="2287" t="str">
        <f>C9</f>
        <v>区域内有奥森公园等自然及人文环境，综合评价自然及人文环境状况较好。</v>
      </c>
      <c r="D20" s="2242"/>
      <c r="E20" s="2250"/>
      <c r="F20" s="315" t="s">
        <v>2261</v>
      </c>
      <c r="G20" s="2289" t="str">
        <f>G6</f>
        <v>估价对象所在区域基础设施水平</v>
      </c>
    </row>
    <row r="21" spans="1:17" ht="52.8">
      <c r="A21" s="2249"/>
      <c r="B21" s="315"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5" t="s">
        <v>2261</v>
      </c>
      <c r="C22" s="2289" t="str">
        <f>C8</f>
        <v>估价对象所在区域基础设施水平“七通一平</v>
      </c>
      <c r="D22" s="2263"/>
      <c r="E22" s="2250"/>
      <c r="F22" s="2288" t="s">
        <v>2266</v>
      </c>
      <c r="G22" s="2290"/>
    </row>
    <row r="23" spans="1:17" s="748" customFormat="1" ht="14.4" thickBot="1">
      <c r="A23" s="2249"/>
      <c r="B23" s="2288" t="s">
        <v>2275</v>
      </c>
      <c r="C23" s="2291"/>
      <c r="D23" s="1611"/>
      <c r="E23" s="2251"/>
      <c r="F23" s="2292" t="s">
        <v>2276</v>
      </c>
      <c r="G23" s="2293"/>
      <c r="H23" s="2272"/>
      <c r="I23" s="2272"/>
      <c r="J23" s="2272"/>
      <c r="K23" s="2272"/>
      <c r="L23" s="2272"/>
      <c r="M23" s="2272"/>
      <c r="N23" s="2272"/>
      <c r="O23" s="2272"/>
      <c r="P23" s="2272"/>
      <c r="Q23" s="2272"/>
    </row>
    <row r="24" spans="1:17" s="748" customFormat="1" ht="14.4" thickBot="1">
      <c r="A24" s="2252"/>
      <c r="B24" s="2292" t="s">
        <v>2277</v>
      </c>
      <c r="C24" s="2294" t="str">
        <f>C10</f>
        <v>城市主干道——红军营南路</v>
      </c>
      <c r="D24" s="1611"/>
      <c r="E24" s="2242"/>
      <c r="F24" s="2242"/>
      <c r="G24" s="2242"/>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C8" sqref="C8"/>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37817.270000000004</v>
      </c>
      <c r="C1" s="2456"/>
      <c r="D1" s="2456"/>
      <c r="E1" s="2456"/>
      <c r="F1" s="2456"/>
      <c r="G1" s="2457"/>
      <c r="H1" s="2457"/>
      <c r="I1" s="2457"/>
      <c r="J1" s="2457"/>
      <c r="K1" s="2457"/>
    </row>
    <row r="2" spans="1:11" ht="16.2">
      <c r="A2" s="2295" t="s">
        <v>653</v>
      </c>
      <c r="B2" s="2295">
        <f>SUM(C14:C23)</f>
        <v>11268.84</v>
      </c>
      <c r="C2" s="2456"/>
      <c r="D2" s="2456"/>
      <c r="E2" s="2456"/>
      <c r="F2" s="2456"/>
      <c r="G2" s="2457"/>
      <c r="H2" s="2457"/>
      <c r="I2" s="2457"/>
      <c r="J2" s="2457"/>
      <c r="K2" s="2457"/>
    </row>
    <row r="3" spans="1:11" ht="15.6">
      <c r="A3" s="2295" t="s">
        <v>662</v>
      </c>
      <c r="B3" s="2297">
        <f>项目基本情况!D3</f>
        <v>45771</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92943</v>
      </c>
      <c r="C5" s="2295">
        <f ca="1">IF(B5=D14,结果表!H102,ROUND(B5*10000/$B$1,0))</f>
        <v>24577</v>
      </c>
      <c r="D5" s="2295">
        <f ca="1">ROUND(B5*10000/$B$2,0)</f>
        <v>82478</v>
      </c>
      <c r="E5" s="2456"/>
      <c r="F5" s="2457"/>
      <c r="G5" s="2457"/>
      <c r="H5" s="2457"/>
      <c r="I5" s="2457"/>
      <c r="J5" s="2457"/>
      <c r="K5" s="2457"/>
    </row>
    <row r="6" spans="1:11" ht="15.6">
      <c r="A6" s="2295" t="s">
        <v>656</v>
      </c>
      <c r="B6" s="2295">
        <f ca="1">SUM(G14:G23)</f>
        <v>92943</v>
      </c>
      <c r="C6" s="2295">
        <f ca="1">IF(B6=G14,结果表!H108,ROUND(B6*10000/$B$1,0))</f>
        <v>24577</v>
      </c>
      <c r="D6" s="2295">
        <f ca="1">ROUND(B6*10000/$B$2,0)</f>
        <v>82478</v>
      </c>
      <c r="E6" s="3325" t="str">
        <f ca="1">NUMBERSTRING(INT(B6*10000),2)&amp;"元整"</f>
        <v>玖亿贰仟玖佰肆拾叁万元整</v>
      </c>
      <c r="F6" s="3326"/>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 ca="1">SUM(I14:I23)</f>
        <v>87940</v>
      </c>
      <c r="C8" s="2295">
        <f ca="1">IF(B8=I14,结果表!H112,ROUND(B8*10000/$B$1,0))</f>
        <v>23254</v>
      </c>
      <c r="D8" s="2295">
        <f ca="1">ROUND(B8*10000/$B$2,0)</f>
        <v>78038</v>
      </c>
      <c r="E8" s="3325" t="str">
        <f ca="1">NUMBERSTRING(INT(B8*10000),2)&amp;"元整"</f>
        <v>捌亿柒仟玖佰肆拾万元整</v>
      </c>
      <c r="F8" s="332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3352</v>
      </c>
      <c r="D10" s="2295" t="s">
        <v>3353</v>
      </c>
      <c r="E10" s="3129"/>
      <c r="F10" s="3133" t="s">
        <v>3354</v>
      </c>
      <c r="G10" s="3130"/>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15259.08</v>
      </c>
      <c r="C14" s="2301">
        <f>结果表!C118</f>
        <v>4546.92</v>
      </c>
      <c r="D14" s="2301">
        <f ca="1">结果表!G19</f>
        <v>64183</v>
      </c>
      <c r="E14" s="2301">
        <f ca="1">ROUND(D14*10000/B14,0)</f>
        <v>42062</v>
      </c>
      <c r="F14" s="2301">
        <f ca="1">ROUND(D14*10000/C14,0)</f>
        <v>141157</v>
      </c>
      <c r="G14" s="2301">
        <f ca="1">D14</f>
        <v>64183</v>
      </c>
      <c r="H14" s="2301"/>
      <c r="I14" s="2301">
        <f ca="1">结果表!N59</f>
        <v>87940</v>
      </c>
      <c r="J14" s="3325" t="str">
        <f ca="1">NUMBERSTRING(INT(G14*10000),2)&amp;"元整"</f>
        <v>陆亿肆仟壹佰捌拾叁万元整</v>
      </c>
      <c r="K14" s="3326"/>
    </row>
    <row r="15" spans="1:11" ht="15.6">
      <c r="A15" s="2300" t="s">
        <v>649</v>
      </c>
      <c r="B15" s="2301">
        <f>结果表地下商!B118</f>
        <v>14603.89</v>
      </c>
      <c r="C15" s="2301">
        <f>结果表地下商!C118</f>
        <v>4351.6899999999996</v>
      </c>
      <c r="D15" s="2301">
        <f ca="1">结果表地下商!H118</f>
        <v>22822</v>
      </c>
      <c r="E15" s="2301">
        <f t="shared" ref="E15:E23" ca="1" si="0">ROUND(D15*10000/B15,0)</f>
        <v>15627</v>
      </c>
      <c r="F15" s="2301">
        <f t="shared" ref="F15:F23" ca="1" si="1">ROUND(D15*10000/C15,0)</f>
        <v>52444</v>
      </c>
      <c r="G15" s="2301">
        <f ca="1">D15</f>
        <v>22822</v>
      </c>
      <c r="H15" s="2301"/>
      <c r="I15" s="2301"/>
      <c r="J15" s="3325" t="str">
        <f ca="1">NUMBERSTRING(INT(G15*10000),2)&amp;"元整"</f>
        <v>贰亿贰仟捌佰贰拾贰万元整</v>
      </c>
      <c r="K15" s="3326"/>
    </row>
    <row r="16" spans="1:11" ht="15.6">
      <c r="A16" s="2300" t="s">
        <v>648</v>
      </c>
      <c r="B16" s="2301">
        <f>结果表车!B118</f>
        <v>7954.3</v>
      </c>
      <c r="C16" s="2301">
        <f>结果表车!C118</f>
        <v>2370.23</v>
      </c>
      <c r="D16" s="2301">
        <f ca="1">结果表车!H118</f>
        <v>5938</v>
      </c>
      <c r="E16" s="2301">
        <f t="shared" ca="1" si="0"/>
        <v>7465</v>
      </c>
      <c r="F16" s="2301">
        <f t="shared" ca="1" si="1"/>
        <v>25052</v>
      </c>
      <c r="G16" s="2301">
        <f ca="1">D16</f>
        <v>5938</v>
      </c>
      <c r="H16" s="2301"/>
      <c r="I16" s="2301"/>
      <c r="J16" s="2457"/>
      <c r="K16" s="2457"/>
    </row>
    <row r="17" spans="1:11" ht="15.6">
      <c r="A17" s="2300" t="s">
        <v>647</v>
      </c>
      <c r="B17" s="2301"/>
      <c r="C17" s="2301"/>
      <c r="D17" s="2301"/>
      <c r="E17" s="2301" t="e">
        <f t="shared" si="0"/>
        <v>#DIV/0!</v>
      </c>
      <c r="F17" s="2301" t="e">
        <f t="shared" si="1"/>
        <v>#DIV/0!</v>
      </c>
      <c r="G17" s="1241"/>
      <c r="H17" s="1241"/>
      <c r="I17" s="2301"/>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8" spans="1:11" ht="15.6">
      <c r="B28" s="2301">
        <f>[2]系统读取表!$B$14</f>
        <v>2170.1999999999998</v>
      </c>
      <c r="C28" s="2301">
        <f>[2]系统读取表!$C$14</f>
        <v>1778.06</v>
      </c>
      <c r="D28" s="2301">
        <v>6236</v>
      </c>
      <c r="G28" s="1241">
        <f>D28</f>
        <v>6236</v>
      </c>
      <c r="I28" s="2301">
        <f>[2]系统读取表!$I$14</f>
        <v>6071</v>
      </c>
    </row>
    <row r="29" spans="1:11">
      <c r="B29" s="2302"/>
      <c r="C29" s="2302"/>
      <c r="D29" s="2302">
        <f ca="1">SUM(D14:D28)</f>
        <v>99179</v>
      </c>
      <c r="G29" s="2302">
        <f ca="1">SUM(G14:G28)</f>
        <v>99179</v>
      </c>
      <c r="I29" s="2302">
        <f ca="1">SUM(I14:I28)</f>
        <v>94011</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70" zoomScaleNormal="100" zoomScaleSheetLayoutView="70" zoomScalePageLayoutView="80" workbookViewId="0">
      <selection activeCell="I91" sqref="I91"/>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3423</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3974</v>
      </c>
      <c r="D4" s="1623" t="s">
        <v>3453</v>
      </c>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7</v>
      </c>
      <c r="D14" s="3364">
        <v>3</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351" t="s">
        <v>2131</v>
      </c>
      <c r="F18" s="3352"/>
      <c r="G18" s="3352"/>
      <c r="H18" s="3352"/>
      <c r="I18" s="3352"/>
      <c r="K18" s="294" t="s">
        <v>1289</v>
      </c>
      <c r="L18" s="294">
        <f>IF(C1="",'数据-汇总表'!E3,SUMIF(项目类型,C1,'数据-汇总表'!E17:E26)+SUMIF(项目类型,C1,'数据-汇总表'!I17:I26))</f>
        <v>15259.08</v>
      </c>
      <c r="M18" s="294">
        <f>IF(C1="",'数据-汇总表'!E3,SUMIF(项目类型,C1,'数据-汇总表'!E17:E26))</f>
        <v>15259.08</v>
      </c>
    </row>
    <row r="19" spans="1:36" ht="14.4">
      <c r="A19" s="1627" t="s">
        <v>1290</v>
      </c>
      <c r="B19" s="1628" t="s">
        <v>1291</v>
      </c>
      <c r="C19" s="126">
        <f ca="1">SUMIF(INDIRECT("'"&amp;C4&amp;"'"&amp;"!A:A"),结果表!B19,INDIRECT("'"&amp;C4&amp;"'"&amp;"!B:B"))</f>
        <v>72619</v>
      </c>
      <c r="D19" s="127">
        <f ca="1">SUMIF(INDIRECT("'"&amp;D4&amp;"'"&amp;"!A:A"),结果表!B19,INDIRECT("'"&amp;D4&amp;"'"&amp;"!B:B"))</f>
        <v>44500</v>
      </c>
      <c r="E19" s="1627" t="s">
        <v>1292</v>
      </c>
      <c r="F19" s="1628" t="s">
        <v>1291</v>
      </c>
      <c r="G19" s="128">
        <f ca="1">ROUND(C19*$C$18+D19*$D$18,0)</f>
        <v>64183</v>
      </c>
      <c r="H19" s="1629" t="s">
        <v>1293</v>
      </c>
      <c r="I19" s="121"/>
      <c r="K19" s="294" t="s">
        <v>1294</v>
      </c>
      <c r="L19" s="294">
        <f>IF(C1="",'数据-汇总表'!D3,SUMIF(项目类型,C1,'数据-汇总表'!D17:D26)+SUMIF(项目类型,C1,'数据-汇总表'!H17:H27))</f>
        <v>4546.92</v>
      </c>
      <c r="M19" s="294">
        <f>IF(C1="",'数据-汇总表'!D3,SUMIF(项目类型,C1,'数据-汇总表'!D17:D26))</f>
        <v>4546.92</v>
      </c>
    </row>
    <row r="20" spans="1:36" ht="14.4">
      <c r="A20" s="1630"/>
      <c r="B20" s="43" t="s">
        <v>1295</v>
      </c>
      <c r="C20" s="129">
        <f ca="1">SUMIF(INDIRECT("'"&amp;C4&amp;"'"&amp;"!A:A"),结果表!B20,INDIRECT("'"&amp;C4&amp;"'"&amp;"!B:B"))</f>
        <v>47591</v>
      </c>
      <c r="D20" s="130">
        <f ca="1">SUMIF(INDIRECT("'"&amp;D4&amp;"'"&amp;"!A:A"),结果表!B20,INDIRECT("'"&amp;D4&amp;"'"&amp;"!B:B"))</f>
        <v>29163</v>
      </c>
      <c r="E20" s="1630"/>
      <c r="F20" s="43" t="s">
        <v>1295</v>
      </c>
      <c r="G20" s="131">
        <f ca="1">ROUND(C20*$C$18+D20*$D$18,0)</f>
        <v>42063</v>
      </c>
      <c r="H20" s="757" t="s">
        <v>1296</v>
      </c>
      <c r="I20" s="121"/>
    </row>
    <row r="21" spans="1:36" ht="15" customHeight="1" thickBot="1">
      <c r="A21" s="449"/>
      <c r="B21" s="93" t="s">
        <v>1297</v>
      </c>
      <c r="C21" s="677">
        <f ca="1">ROUND(C19*10000/L19,0)</f>
        <v>159710</v>
      </c>
      <c r="D21" s="678">
        <f ca="1">ROUND(D19*10000/L19,0)</f>
        <v>97868</v>
      </c>
      <c r="E21" s="449"/>
      <c r="F21" s="93" t="s">
        <v>1297</v>
      </c>
      <c r="G21" s="132">
        <f ca="1">ROUND(G19*10000/L19,0)</f>
        <v>141157</v>
      </c>
      <c r="H21" s="1631" t="s">
        <v>1296</v>
      </c>
      <c r="I21" s="121"/>
    </row>
    <row r="22" spans="1:36" ht="15" thickBot="1">
      <c r="A22" s="1561" t="s">
        <v>1298</v>
      </c>
      <c r="B22" s="1632"/>
      <c r="C22" s="1633"/>
      <c r="D22" s="679">
        <f ca="1">IF(C19&lt;D19,D19/C19-1,C19/D19-1)</f>
        <v>0.63188764044943824</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64183</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35750</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28433</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3234">
        <f ca="1">ROUND((系统读取表!G14+系统读取表!G15+系统读取表!G16)*F45,0)</f>
        <v>92943</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45771</v>
      </c>
      <c r="N47" s="3412"/>
      <c r="O47" s="3412"/>
    </row>
    <row r="48" spans="1:15" ht="26.4">
      <c r="A48" s="3360" t="s">
        <v>1338</v>
      </c>
      <c r="B48" s="3343"/>
      <c r="C48" s="3343"/>
      <c r="D48" s="12">
        <f ca="1">IF(H48="情况1",0,IF(H48="情况2",D52,IF(H48="情况3",D53,IF(H48="情况4",D54))))</f>
        <v>4957</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D45</f>
        <v>92943</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M48</f>
        <v>92943</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4957</v>
      </c>
      <c r="E52" s="1253" t="s">
        <v>1354</v>
      </c>
      <c r="F52" s="2335">
        <f>'数据-取费表'!B41</f>
        <v>5.6000000000000001E-2</v>
      </c>
      <c r="G52" s="2336"/>
      <c r="H52" s="2326"/>
      <c r="I52" s="1666"/>
      <c r="J52" s="2305">
        <v>1</v>
      </c>
      <c r="K52" s="3392" t="s">
        <v>1355</v>
      </c>
      <c r="L52" s="3392"/>
      <c r="M52" s="2307">
        <f ca="1">D48</f>
        <v>4957</v>
      </c>
      <c r="N52" s="2305" t="str">
        <f>E48</f>
        <v>销售额×税（费）率</v>
      </c>
      <c r="O52" s="2308">
        <f>F48</f>
        <v>5.6000000000000001E-2</v>
      </c>
    </row>
    <row r="53" spans="1:35" ht="12" customHeight="1">
      <c r="A53" s="2150" t="s">
        <v>1356</v>
      </c>
      <c r="B53" s="3353" t="s">
        <v>2287</v>
      </c>
      <c r="C53" s="3354"/>
      <c r="D53" s="1021">
        <f ca="1">ROUND(D45*'数据-取费表'!B41/(1+'数据-取费表'!C42),0)</f>
        <v>4957</v>
      </c>
      <c r="E53" s="1253" t="s">
        <v>1354</v>
      </c>
      <c r="F53" s="2335">
        <f>'数据-取费表'!B41</f>
        <v>5.6000000000000001E-2</v>
      </c>
      <c r="G53" s="2336"/>
      <c r="H53" s="2326"/>
      <c r="I53" s="1666"/>
      <c r="J53" s="2305">
        <v>2</v>
      </c>
      <c r="K53" s="3392" t="s">
        <v>1357</v>
      </c>
      <c r="L53" s="3392"/>
      <c r="M53" s="2307">
        <f t="shared" ref="M53:O54" ca="1" si="0">D55</f>
        <v>46</v>
      </c>
      <c r="N53" s="2305" t="str">
        <f t="shared" si="0"/>
        <v>销售额×税（费）率</v>
      </c>
      <c r="O53" s="2308">
        <f t="shared" si="0"/>
        <v>5.0000000000000001E-4</v>
      </c>
    </row>
    <row r="54" spans="1:35" ht="12" customHeight="1">
      <c r="A54" s="2150" t="s">
        <v>1358</v>
      </c>
      <c r="B54" s="3353" t="s">
        <v>2288</v>
      </c>
      <c r="C54" s="3354"/>
      <c r="D54" s="1021">
        <f ca="1">C68</f>
        <v>4957</v>
      </c>
      <c r="E54" s="319" t="s">
        <v>1359</v>
      </c>
      <c r="F54" s="2335">
        <f>'数据-取费表'!B41</f>
        <v>5.6000000000000001E-2</v>
      </c>
      <c r="G54" s="2336"/>
      <c r="H54" s="2337"/>
      <c r="I54" s="1666"/>
      <c r="J54" s="2305">
        <v>3</v>
      </c>
      <c r="K54" s="3392" t="s">
        <v>1360</v>
      </c>
      <c r="L54" s="3392"/>
      <c r="M54" s="2307">
        <f t="shared" ca="1" si="0"/>
        <v>0</v>
      </c>
      <c r="N54" s="2305" t="str">
        <f t="shared" si="0"/>
        <v>增值额×税（费）率</v>
      </c>
      <c r="O54" s="2309" t="str">
        <f t="shared" si="0"/>
        <v>——</v>
      </c>
    </row>
    <row r="55" spans="1:35" ht="24" customHeight="1">
      <c r="A55" s="3342" t="s">
        <v>1361</v>
      </c>
      <c r="B55" s="3343"/>
      <c r="C55" s="3343"/>
      <c r="D55" s="12">
        <f ca="1">IF(H55="个人住宅",0,ROUND(D45*I55,0))</f>
        <v>46</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0</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IF(AND(J55="",J56=""),4,IF(项目基本情况!K6="上海银行",结果表!J56+1,结果表!J55+1))</f>
        <v>4</v>
      </c>
      <c r="K57" s="3392" t="s">
        <v>1367</v>
      </c>
      <c r="L57" s="2312" t="s">
        <v>1368</v>
      </c>
      <c r="M57" s="2313"/>
      <c r="N57" s="2314">
        <f ca="1">SUMIF(M52:M56,"&lt;9e307")</f>
        <v>5003</v>
      </c>
      <c r="O57" s="2315"/>
      <c r="P57" s="2459">
        <f ca="1">N57/M49</f>
        <v>5.3828690702903928E-2</v>
      </c>
    </row>
    <row r="58" spans="1:35" ht="25.2">
      <c r="A58" s="2150" t="s">
        <v>1352</v>
      </c>
      <c r="B58" s="3353" t="s">
        <v>1369</v>
      </c>
      <c r="C58" s="3327"/>
      <c r="D58" s="12">
        <f ca="1">IF(H58="转让取得",C81,C97)</f>
        <v>0</v>
      </c>
      <c r="E58" s="1253" t="s">
        <v>1364</v>
      </c>
      <c r="F58" s="294" t="s">
        <v>28</v>
      </c>
      <c r="G58" s="2336"/>
      <c r="H58" s="2339" t="s">
        <v>3447</v>
      </c>
      <c r="I58" s="1667"/>
      <c r="J58" s="3392"/>
      <c r="K58" s="3392"/>
      <c r="L58" s="2312" t="s">
        <v>1370</v>
      </c>
      <c r="M58" s="2316"/>
      <c r="N58" s="2317" t="str">
        <f ca="1">NUMBERSTRING(INT(N57*10000),2)&amp;"元整"</f>
        <v>伍仟零叁万元整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87940</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捌亿柒仟玖佰肆拾万元整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23254</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88517</v>
      </c>
      <c r="D63" s="159"/>
      <c r="E63" s="160"/>
      <c r="F63" s="1667"/>
      <c r="G63" s="1667"/>
      <c r="H63" s="151"/>
      <c r="I63" s="121"/>
      <c r="J63" s="3417" t="s">
        <v>1379</v>
      </c>
      <c r="K63" s="1242" t="s">
        <v>1380</v>
      </c>
      <c r="L63" s="1242">
        <f ca="1">IF(M49&gt;10000,M49*0.5%,IF(AND(M49&gt;1000,M49&lt;=10000),M49*1%,IF(AND(M49&gt;100,M49&lt;=1000),M49*3%,IF(AND(M49&gt;10,M49&lt;=100),M49*5%,M49*8%))))</f>
        <v>464.71500000000003</v>
      </c>
      <c r="M63" s="294">
        <f ca="1">ROUND(L63,1)</f>
        <v>464.7</v>
      </c>
      <c r="N63" s="2325"/>
      <c r="Z63" s="1620"/>
      <c r="AI63" s="1558"/>
    </row>
    <row r="64" spans="1:35" ht="14.25" customHeight="1">
      <c r="A64" s="161" t="s">
        <v>325</v>
      </c>
      <c r="B64" s="162" t="s">
        <v>1381</v>
      </c>
      <c r="C64" s="2346">
        <f ca="1">D45</f>
        <v>92943</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464.71500000000003</v>
      </c>
      <c r="M64" s="294">
        <f t="shared" ref="M64:M65" ca="1" si="1">ROUND(L64,1)</f>
        <v>464.7</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92.942999999999998</v>
      </c>
      <c r="M65" s="294">
        <f t="shared" ca="1" si="1"/>
        <v>92.9</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464.71500000000003</v>
      </c>
      <c r="M66" s="294">
        <f ca="1">IF(L66&gt;0.5,0.5,ROUND(L66,0))</f>
        <v>0.5</v>
      </c>
      <c r="N66" s="2326" t="s">
        <v>1388</v>
      </c>
      <c r="Z66" s="1620"/>
      <c r="AI66" s="1558"/>
    </row>
    <row r="67" spans="1:35" ht="14.25" customHeight="1">
      <c r="A67" s="165" t="s">
        <v>328</v>
      </c>
      <c r="B67" s="166" t="s">
        <v>1389</v>
      </c>
      <c r="C67" s="2349">
        <f ca="1">C63-C66</f>
        <v>88517</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16.5443</v>
      </c>
      <c r="M67" s="294">
        <f ca="1">ROUND(L67*0.9,1)</f>
        <v>14.9</v>
      </c>
      <c r="N67" s="2325"/>
      <c r="Z67" s="1620"/>
      <c r="AI67" s="1558"/>
    </row>
    <row r="68" spans="1:35" ht="14.25" customHeight="1" thickBot="1">
      <c r="A68" s="168" t="s">
        <v>329</v>
      </c>
      <c r="B68" s="169" t="s">
        <v>1391</v>
      </c>
      <c r="C68" s="2350">
        <f ca="1">IF(C67&lt;=0,0,ROUND(C67*D68,0))</f>
        <v>4957</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464.71500000000003</v>
      </c>
      <c r="M68" s="294">
        <f ca="1">ROUND(L68,1)</f>
        <v>464.7</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1502</v>
      </c>
      <c r="N69" s="2327">
        <f ca="1">M69/M49</f>
        <v>1.6160442421699322E-2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88517</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531</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f>C66</f>
        <v>0</v>
      </c>
      <c r="D75" s="162" t="s">
        <v>26</v>
      </c>
      <c r="E75" s="176" t="s">
        <v>1399</v>
      </c>
      <c r="F75" s="2353" t="s">
        <v>3984</v>
      </c>
      <c r="G75" s="176" t="s">
        <v>1400</v>
      </c>
      <c r="H75" s="2354">
        <v>8</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531</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334</v>
      </c>
      <c r="B79" s="166" t="s">
        <v>1407</v>
      </c>
      <c r="C79" s="2349">
        <f ca="1">C72-C73</f>
        <v>87986</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165.69868173258004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52606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88517</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117232</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15870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v>15400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470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73900</v>
      </c>
      <c r="D91" s="2358"/>
      <c r="E91" s="3337" t="s">
        <v>1419</v>
      </c>
      <c r="F91" s="3338"/>
      <c r="G91" s="3338"/>
      <c r="H91" s="1682" t="s">
        <v>3444</v>
      </c>
      <c r="I91" s="1683">
        <v>73900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8977</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531</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17954</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334</v>
      </c>
      <c r="B95" s="166" t="s">
        <v>1407</v>
      </c>
      <c r="C95" s="2349">
        <f ca="1">ROUND(C85-C86,0)</f>
        <v>-28715</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比较法-商业</v>
      </c>
      <c r="D101" s="2367" t="str">
        <f>D4</f>
        <v>收益法</v>
      </c>
      <c r="E101" s="3414" t="s">
        <v>1431</v>
      </c>
      <c r="F101" s="3371"/>
      <c r="G101" s="1684" t="s">
        <v>1432</v>
      </c>
      <c r="H101" s="2376">
        <f ca="1">H118</f>
        <v>64183</v>
      </c>
      <c r="I101" s="121"/>
    </row>
    <row r="102" spans="1:35" ht="18.75" customHeight="1">
      <c r="A102" s="3373" t="s">
        <v>1433</v>
      </c>
      <c r="B102" s="2365" t="s">
        <v>1432</v>
      </c>
      <c r="C102" s="2366">
        <f ca="1">IF(D32="楼面单价",ROUND(C19,0),C19)</f>
        <v>72619</v>
      </c>
      <c r="D102" s="2367">
        <f ca="1">IF(D32="楼面单价",ROUND(D19,0),D19)</f>
        <v>44500</v>
      </c>
      <c r="E102" s="3414"/>
      <c r="F102" s="3371"/>
      <c r="G102" s="1684" t="s">
        <v>1434</v>
      </c>
      <c r="H102" s="2336">
        <f ca="1">I118</f>
        <v>42062</v>
      </c>
      <c r="I102" s="121"/>
    </row>
    <row r="103" spans="1:35" ht="42.75" customHeight="1">
      <c r="A103" s="3373"/>
      <c r="B103" s="2365" t="s">
        <v>1434</v>
      </c>
      <c r="C103" s="2368">
        <f ca="1">C20</f>
        <v>47591</v>
      </c>
      <c r="D103" s="2369">
        <f ca="1">D20</f>
        <v>29163</v>
      </c>
      <c r="E103" s="3408" t="s">
        <v>1435</v>
      </c>
      <c r="F103" s="3409"/>
      <c r="G103" s="1685" t="s">
        <v>1436</v>
      </c>
      <c r="H103" s="2376">
        <f>IF(D36="正常操作",H104+H105+H106,H105+H106)</f>
        <v>0</v>
      </c>
      <c r="I103" s="121"/>
    </row>
    <row r="104" spans="1:35" ht="18.75" customHeight="1">
      <c r="A104" s="3373" t="s">
        <v>1437</v>
      </c>
      <c r="B104" s="2370" t="s">
        <v>1432</v>
      </c>
      <c r="C104" s="2371">
        <f ca="1">H118</f>
        <v>64183</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42062</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64183</v>
      </c>
      <c r="I107" s="121"/>
    </row>
    <row r="108" spans="1:35" ht="18.75" customHeight="1">
      <c r="A108" s="121"/>
      <c r="B108" s="121"/>
      <c r="C108" s="121"/>
      <c r="D108" s="121"/>
      <c r="E108" s="3370"/>
      <c r="F108" s="3371"/>
      <c r="G108" s="1684" t="s">
        <v>1434</v>
      </c>
      <c r="H108" s="2336">
        <f ca="1">IF(H107=H101,H102,ROUND(H107*10000/'数据-汇总表'!E3,0))</f>
        <v>42062</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87940</v>
      </c>
      <c r="I111" s="121"/>
      <c r="J111" s="683">
        <f ca="1">H111/L18*10000</f>
        <v>57631.25955168988</v>
      </c>
    </row>
    <row r="112" spans="1:35" ht="18.75" customHeight="1" thickBot="1">
      <c r="A112" s="121"/>
      <c r="B112" s="121"/>
      <c r="C112" s="121"/>
      <c r="D112" s="121"/>
      <c r="E112" s="3403"/>
      <c r="F112" s="3404"/>
      <c r="G112" s="1687" t="s">
        <v>1434</v>
      </c>
      <c r="H112" s="2380">
        <f ca="1">IF(E111="——","——",N61)</f>
        <v>23254</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15259.08</v>
      </c>
      <c r="C118" s="2147">
        <f>M19</f>
        <v>4546.92</v>
      </c>
      <c r="D118" s="2147">
        <f ca="1">ROUND(IF(D32="总价",C34,E118*B118/10000),0)</f>
        <v>35750</v>
      </c>
      <c r="E118" s="2147">
        <f ca="1">ROUND(IF(C33="自定义",IF(D32="楼面单价",C34,D118*10000/B118),I118-G118),0)</f>
        <v>23429</v>
      </c>
      <c r="F118" s="2147">
        <f ca="1">ROUND(IF(D32="总价",C35,G118*B118/10000),0)</f>
        <v>28433</v>
      </c>
      <c r="G118" s="2147">
        <f ca="1">ROUND(IF(D32="楼面单价",C35,F118*10000/B118),0)</f>
        <v>18633</v>
      </c>
      <c r="H118" s="2147">
        <f ca="1">ROUND(IF(D32="总价",C32,I118*B118/10000),0)</f>
        <v>64183</v>
      </c>
      <c r="I118" s="2147">
        <f ca="1">ROUND(IF(D32="楼面单价",C32,H118*10000/B118),0)</f>
        <v>42062</v>
      </c>
    </row>
    <row r="119" spans="1:27" ht="18.75" customHeight="1">
      <c r="A119" s="3341" t="s">
        <v>1452</v>
      </c>
      <c r="B119" s="3341"/>
      <c r="C119" s="3341"/>
      <c r="D119" s="3381" t="str">
        <f ca="1">NUMBERSTRING(INT(D118*10000),2)&amp;"元整"</f>
        <v>叁亿伍仟柒佰伍拾万元整</v>
      </c>
      <c r="E119" s="3383"/>
      <c r="F119" s="3381" t="str">
        <f ca="1">NUMBERSTRING(INT(F118*10000),2)&amp;"元整"</f>
        <v>贰亿捌仟肆佰叁拾叁万元整</v>
      </c>
      <c r="G119" s="3383"/>
      <c r="H119" s="3381" t="str">
        <f ca="1">NUMBERSTRING(INT(H118*10000),2)&amp;"元整"</f>
        <v>陆亿肆仟壹佰捌拾叁万元整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64183</v>
      </c>
      <c r="E122" s="3406"/>
      <c r="F122" s="3406"/>
      <c r="G122" s="3406"/>
      <c r="H122" s="3406"/>
      <c r="I122" s="3407"/>
      <c r="AA122" s="683"/>
    </row>
    <row r="123" spans="1:27" ht="18.75" customHeight="1">
      <c r="A123" s="3341" t="s">
        <v>1452</v>
      </c>
      <c r="B123" s="3341"/>
      <c r="C123" s="3341"/>
      <c r="D123" s="3381" t="str">
        <f ca="1">NUMBERSTRING(INT(D122*10000),2)&amp;"元整"</f>
        <v>陆亿肆仟壹佰捌拾叁万元整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87940</v>
      </c>
      <c r="E126" s="3406"/>
      <c r="F126" s="3406"/>
      <c r="G126" s="3406"/>
      <c r="H126" s="3406"/>
      <c r="I126" s="3407"/>
      <c r="AA126" s="683"/>
    </row>
    <row r="127" spans="1:27" ht="18.75" customHeight="1">
      <c r="A127" s="3341" t="s">
        <v>1452</v>
      </c>
      <c r="B127" s="3341"/>
      <c r="C127" s="3341"/>
      <c r="D127" s="3381" t="str">
        <f ca="1">NUMBERSTRING(INT(D126*10000),2)&amp;"元整"</f>
        <v>捌亿柒仟玖佰肆拾万元整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35" t="str">
        <f>项目基本情况!B1</f>
        <v>北京市朝阳区红军营南路36号院房地产抵押价值预评估</v>
      </c>
      <c r="C37" s="3235"/>
      <c r="D37" s="3235"/>
      <c r="E37" s="3235"/>
      <c r="F37" s="3235"/>
      <c r="G37" s="3235"/>
      <c r="H37" s="3235"/>
      <c r="I37" s="3235"/>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22" zoomScale="85" zoomScaleNormal="70" zoomScaleSheetLayoutView="85" workbookViewId="0">
      <selection activeCell="L27" sqref="L27"/>
    </sheetView>
  </sheetViews>
  <sheetFormatPr defaultColWidth="9" defaultRowHeight="13.8"/>
  <cols>
    <col min="1" max="1" width="10.44140625" style="347" customWidth="1"/>
    <col min="2" max="2" width="15.77734375" style="347" customWidth="1"/>
    <col min="3" max="3" width="18.109375" style="347" customWidth="1"/>
    <col min="4" max="4" width="12.21875" style="347" customWidth="1"/>
    <col min="5" max="5" width="17.21875" style="347" customWidth="1"/>
    <col min="6" max="6" width="12.21875" style="347" customWidth="1"/>
    <col min="7" max="7" width="19.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t="s">
        <v>3423</v>
      </c>
      <c r="E1" s="3118" t="s">
        <v>3537</v>
      </c>
      <c r="F1" s="1732" t="s">
        <v>3538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72619</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47591</v>
      </c>
      <c r="C3" s="344" t="s">
        <v>1768</v>
      </c>
      <c r="D3" s="343">
        <f>IF(D1="",'数据-汇总表'!E3,SUMIF('数据-汇总表'!$C19:$C33,D1,'数据-汇总表'!$E19:$E33))</f>
        <v>15259.08</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22" t="s">
        <v>1772</v>
      </c>
      <c r="AC4" s="3436" t="s">
        <v>1773</v>
      </c>
    </row>
    <row r="5" spans="1:29" ht="37.200000000000003" customHeight="1">
      <c r="A5" s="348"/>
      <c r="B5" s="349"/>
      <c r="C5" s="3457" t="s">
        <v>1673</v>
      </c>
      <c r="D5" s="3458"/>
      <c r="E5" s="3464" t="str">
        <f>商业!B12</f>
        <v>首开锦鲤7#楼(工人文化宫)配套楼101及地下-101</v>
      </c>
      <c r="F5" s="3465"/>
      <c r="G5" s="3457" t="str">
        <f>商业!B18</f>
        <v>大悦时代广场(悦荣中心)7号楼</v>
      </c>
      <c r="H5" s="3458"/>
      <c r="I5" s="3457" t="str">
        <f>商业!B48</f>
        <v>望京华樾中心(一期启华大厦)</v>
      </c>
      <c r="J5" s="3458"/>
      <c r="K5" s="537"/>
      <c r="L5" s="2481"/>
      <c r="M5" s="2482"/>
      <c r="N5" s="2482"/>
      <c r="O5" s="2482"/>
      <c r="P5" s="3445"/>
      <c r="Q5" s="3446"/>
      <c r="R5" s="3451"/>
      <c r="S5" s="3452"/>
      <c r="T5" s="3451"/>
      <c r="U5" s="3452"/>
      <c r="V5" s="3422"/>
      <c r="W5" s="3422"/>
      <c r="X5" s="1262"/>
      <c r="Y5" s="3451"/>
      <c r="Z5" s="3452"/>
      <c r="AA5" s="3437"/>
      <c r="AB5" s="3422"/>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22"/>
      <c r="AC6" s="3438"/>
    </row>
    <row r="7" spans="1:29" s="102" customFormat="1" ht="15" thickBot="1">
      <c r="A7" s="352" t="s">
        <v>1679</v>
      </c>
      <c r="B7" s="353"/>
      <c r="C7" s="354">
        <f>'数据-取费表'!B2</f>
        <v>45771</v>
      </c>
      <c r="D7" s="355">
        <v>100</v>
      </c>
      <c r="E7" s="356">
        <f>商业!P12</f>
        <v>45170</v>
      </c>
      <c r="F7" s="357">
        <f>SUMIF(58:58,YEAR(E7)&amp;"-"&amp;MONTH(E7),59:59)</f>
        <v>100</v>
      </c>
      <c r="G7" s="356">
        <f>商业!P18</f>
        <v>45292</v>
      </c>
      <c r="H7" s="355">
        <f>SUMIF(58:58,YEAR(G7)&amp;"-"&amp;MONTH(G7),59:59)</f>
        <v>100</v>
      </c>
      <c r="I7" s="356">
        <f>商业!P48</f>
        <v>45602</v>
      </c>
      <c r="J7" s="355">
        <f>SUMIF(58:58,YEAR(I7)&amp;"-"&amp;MONTH(I7),59:59)</f>
        <v>100</v>
      </c>
      <c r="K7" s="38"/>
      <c r="L7" s="2483"/>
      <c r="M7" s="2435"/>
      <c r="N7" s="2435"/>
      <c r="O7" s="2435"/>
      <c r="P7" s="3459" t="s">
        <v>1680</v>
      </c>
      <c r="Q7" s="3461"/>
      <c r="R7" s="663" t="s">
        <v>14</v>
      </c>
      <c r="S7" s="664">
        <f t="shared" ref="S7:S15" si="0">F7</f>
        <v>100</v>
      </c>
      <c r="T7" s="663" t="s">
        <v>14</v>
      </c>
      <c r="U7" s="664">
        <f t="shared" ref="U7:U15" si="1">H7</f>
        <v>100</v>
      </c>
      <c r="V7" s="663" t="s">
        <v>14</v>
      </c>
      <c r="W7" s="664">
        <f t="shared" ref="W7:W15" si="2">J7</f>
        <v>100</v>
      </c>
      <c r="X7" s="665"/>
      <c r="Y7" s="3459" t="s">
        <v>1680</v>
      </c>
      <c r="Z7" s="3460"/>
      <c r="AA7" s="50">
        <f>D7/F7</f>
        <v>1</v>
      </c>
      <c r="AB7" s="50">
        <f>D7/H7</f>
        <v>1</v>
      </c>
      <c r="AC7" s="50">
        <f>D7/J7</f>
        <v>1</v>
      </c>
    </row>
    <row r="8" spans="1:29" s="102" customFormat="1" ht="15" thickBot="1">
      <c r="A8" s="352" t="s">
        <v>1681</v>
      </c>
      <c r="B8" s="353"/>
      <c r="C8" s="358" t="s">
        <v>3446</v>
      </c>
      <c r="D8" s="355">
        <v>100</v>
      </c>
      <c r="E8" s="358" t="s">
        <v>3446</v>
      </c>
      <c r="F8" s="357">
        <f>SUMIF(61:61,E8,62:62)-SUMIF(61:61,C8,62:62)+100</f>
        <v>100</v>
      </c>
      <c r="G8" s="358" t="s">
        <v>3446</v>
      </c>
      <c r="H8" s="355">
        <f>SUMIF(61:61,G8,62:62)-SUMIF(61:61,C8,62:62)+100</f>
        <v>100</v>
      </c>
      <c r="I8" s="358" t="s">
        <v>3446</v>
      </c>
      <c r="J8" s="355">
        <f>SUMIF(61:61,I8,62:62)-SUMIF(61:61,C8,62:62)+100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46" si="3">D8/F8</f>
        <v>1</v>
      </c>
      <c r="AB8" s="50">
        <f t="shared" ref="AB8:AB46" si="4">D8/H8</f>
        <v>1</v>
      </c>
      <c r="AC8" s="50">
        <f t="shared" ref="AC8:AC46" si="5">D8/J8</f>
        <v>1</v>
      </c>
    </row>
    <row r="9" spans="1:29" s="102" customFormat="1" ht="15" thickBot="1">
      <c r="A9" s="359" t="s">
        <v>1684</v>
      </c>
      <c r="B9" s="60" t="s">
        <v>1685</v>
      </c>
      <c r="C9" s="3216" t="s">
        <v>3936</v>
      </c>
      <c r="D9" s="59">
        <v>100</v>
      </c>
      <c r="E9" s="361" t="s">
        <v>673</v>
      </c>
      <c r="F9" s="60">
        <f>SUMIF(63:63,E9,64:64)-SUMIF(63:63,C9,64:64)+100</f>
        <v>100</v>
      </c>
      <c r="G9" s="361" t="s">
        <v>3982</v>
      </c>
      <c r="H9" s="59">
        <f>SUMIF(63:63,G9,64:64)-SUMIF(63:63,C9,64:64)+100</f>
        <v>96</v>
      </c>
      <c r="I9" s="361" t="s">
        <v>21</v>
      </c>
      <c r="J9" s="59">
        <f>SUMIF(63:63,I9,64:64)-SUMIF(63:63,C9,64:64)+100</f>
        <v>92</v>
      </c>
      <c r="K9" s="38"/>
      <c r="L9" s="2483"/>
      <c r="M9" s="2435"/>
      <c r="N9" s="2435"/>
      <c r="O9" s="2435"/>
      <c r="P9" s="3435" t="s">
        <v>1686</v>
      </c>
      <c r="Q9" s="530" t="str">
        <f t="shared" ref="Q9:Q15" si="6">B9</f>
        <v>用途</v>
      </c>
      <c r="R9" s="663" t="s">
        <v>14</v>
      </c>
      <c r="S9" s="664">
        <f t="shared" si="0"/>
        <v>100</v>
      </c>
      <c r="T9" s="663" t="s">
        <v>14</v>
      </c>
      <c r="U9" s="664">
        <f t="shared" si="1"/>
        <v>96</v>
      </c>
      <c r="V9" s="663" t="s">
        <v>14</v>
      </c>
      <c r="W9" s="664">
        <f t="shared" si="2"/>
        <v>92</v>
      </c>
      <c r="X9" s="665"/>
      <c r="Y9" s="3328" t="s">
        <v>1687</v>
      </c>
      <c r="Z9" s="50" t="str">
        <f t="shared" ref="Z9:Z15" si="7">Q9</f>
        <v>用途</v>
      </c>
      <c r="AA9" s="50">
        <f t="shared" si="3"/>
        <v>1</v>
      </c>
      <c r="AB9" s="50">
        <f t="shared" si="4"/>
        <v>1.0416666666666667</v>
      </c>
      <c r="AC9" s="50">
        <f t="shared" si="5"/>
        <v>1.0869565217391304</v>
      </c>
    </row>
    <row r="10" spans="1:29" s="366" customFormat="1" ht="29.4" thickTop="1">
      <c r="A10" s="363"/>
      <c r="B10" s="364" t="s">
        <v>1688</v>
      </c>
      <c r="C10" s="513" t="s">
        <v>3971</v>
      </c>
      <c r="D10" s="119">
        <v>100</v>
      </c>
      <c r="E10" s="513" t="s">
        <v>3973</v>
      </c>
      <c r="F10" s="364">
        <f>SUMIF(65:65,E10,66:66)-SUMIF(65:65,C10,66:66)+100</f>
        <v>102</v>
      </c>
      <c r="G10" s="513" t="s">
        <v>3973</v>
      </c>
      <c r="H10" s="119">
        <f>SUMIF(65:65,G10,66:66)-SUMIF(65:65,C10,66:66)+100</f>
        <v>102</v>
      </c>
      <c r="I10" s="513" t="s">
        <v>3973</v>
      </c>
      <c r="J10" s="119">
        <f>SUMIF(65:65,I10,66:66)-SUMIF(65:65,C10,66:66)+100</f>
        <v>102</v>
      </c>
      <c r="K10" s="38"/>
      <c r="L10" s="2484"/>
      <c r="M10" s="2485"/>
      <c r="N10" s="2485"/>
      <c r="O10" s="2485"/>
      <c r="P10" s="3435"/>
      <c r="Q10" s="530" t="str">
        <f t="shared" si="6"/>
        <v>土地使用年限（年）</v>
      </c>
      <c r="R10" s="663" t="s">
        <v>14</v>
      </c>
      <c r="S10" s="664">
        <f t="shared" si="0"/>
        <v>102</v>
      </c>
      <c r="T10" s="663" t="s">
        <v>14</v>
      </c>
      <c r="U10" s="664">
        <f t="shared" si="1"/>
        <v>102</v>
      </c>
      <c r="V10" s="663" t="s">
        <v>14</v>
      </c>
      <c r="W10" s="664">
        <f t="shared" si="2"/>
        <v>102</v>
      </c>
      <c r="X10" s="665"/>
      <c r="Y10" s="3328"/>
      <c r="Z10" s="50" t="str">
        <f t="shared" si="7"/>
        <v>土地使用年限（年）</v>
      </c>
      <c r="AA10" s="50">
        <f t="shared" si="3"/>
        <v>0.98039215686274506</v>
      </c>
      <c r="AB10" s="50">
        <f t="shared" si="4"/>
        <v>0.98039215686274506</v>
      </c>
      <c r="AC10" s="50">
        <f t="shared" si="5"/>
        <v>0.98039215686274506</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538">
        <v>1</v>
      </c>
      <c r="L11" s="2486"/>
      <c r="M11" s="2482"/>
      <c r="N11" s="2482"/>
      <c r="O11" s="2482"/>
      <c r="P11" s="343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3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3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3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82.8">
      <c r="A15" s="379" t="s">
        <v>1690</v>
      </c>
      <c r="B15" s="58" t="s">
        <v>1777</v>
      </c>
      <c r="C15" s="1747" t="str">
        <f>估价对象房地状况!C4</f>
        <v>估价对象位于北苑商圈，周边上品折扣、林奥等购物中心项目，人流量较大，商业繁华度较好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97</v>
      </c>
      <c r="K15" s="540">
        <v>3</v>
      </c>
      <c r="L15" s="2487"/>
      <c r="M15" s="2482"/>
      <c r="N15" s="2482"/>
      <c r="O15" s="2482"/>
      <c r="P15" s="3426" t="s">
        <v>1691</v>
      </c>
      <c r="Q15" s="1260" t="str">
        <f t="shared" si="6"/>
        <v>商业繁华度</v>
      </c>
      <c r="R15" s="666" t="s">
        <v>14</v>
      </c>
      <c r="S15" s="667">
        <f t="shared" si="0"/>
        <v>100</v>
      </c>
      <c r="T15" s="666" t="s">
        <v>14</v>
      </c>
      <c r="U15" s="667">
        <f t="shared" si="1"/>
        <v>100</v>
      </c>
      <c r="V15" s="666" t="s">
        <v>14</v>
      </c>
      <c r="W15" s="667">
        <f t="shared" si="2"/>
        <v>97</v>
      </c>
      <c r="X15" s="1262"/>
      <c r="Y15" s="3428" t="s">
        <v>1691</v>
      </c>
      <c r="Z15" s="1261" t="str">
        <f t="shared" si="7"/>
        <v>商业繁华度</v>
      </c>
      <c r="AA15" s="1261">
        <f t="shared" si="3"/>
        <v>1</v>
      </c>
      <c r="AB15" s="1261">
        <f t="shared" si="4"/>
        <v>1</v>
      </c>
      <c r="AC15" s="1261">
        <f t="shared" si="5"/>
        <v>1.0309278350515463</v>
      </c>
    </row>
    <row r="16" spans="1:29" ht="15">
      <c r="A16" s="367"/>
      <c r="B16" s="385"/>
      <c r="C16" s="386" t="s">
        <v>3431</v>
      </c>
      <c r="D16" s="387"/>
      <c r="E16" s="386" t="s">
        <v>3431</v>
      </c>
      <c r="F16" s="388"/>
      <c r="G16" s="386" t="s">
        <v>3431</v>
      </c>
      <c r="H16" s="389"/>
      <c r="I16" s="386" t="s">
        <v>3941</v>
      </c>
      <c r="J16" s="387"/>
      <c r="K16" s="541"/>
      <c r="L16" s="2487"/>
      <c r="M16" s="2482"/>
      <c r="N16" s="2482"/>
      <c r="O16" s="2482"/>
      <c r="P16" s="3427"/>
      <c r="Q16" s="1260"/>
      <c r="R16" s="666"/>
      <c r="S16" s="667"/>
      <c r="T16" s="666"/>
      <c r="U16" s="667"/>
      <c r="V16" s="666"/>
      <c r="W16" s="667"/>
      <c r="X16" s="1262"/>
      <c r="Y16" s="3429"/>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t="s">
        <v>3967</v>
      </c>
      <c r="F17" s="392">
        <f>SUMIF(78:78,E18,79:79)-SUMIF(78:78,C18,79:79)+100</f>
        <v>100</v>
      </c>
      <c r="G17" s="393" t="s">
        <v>3975</v>
      </c>
      <c r="H17" s="394">
        <f>SUMIF(78:78,G18,79:79)-SUMIF(78:78,C18,79:79)+100</f>
        <v>100</v>
      </c>
      <c r="I17" s="393" t="s">
        <v>3966</v>
      </c>
      <c r="J17" s="394">
        <f>SUMIF(78:78,I18,79:79)-SUMIF(78:78,C18,79:79)+100</f>
        <v>100</v>
      </c>
      <c r="K17" s="540">
        <v>2</v>
      </c>
      <c r="L17" s="2487"/>
      <c r="M17" s="2482"/>
      <c r="N17" s="2482"/>
      <c r="O17" s="2482"/>
      <c r="P17" s="3427"/>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395"/>
      <c r="C18" s="386" t="s">
        <v>3431</v>
      </c>
      <c r="D18" s="389"/>
      <c r="E18" s="1753" t="s">
        <v>3431</v>
      </c>
      <c r="F18" s="392"/>
      <c r="G18" s="1753" t="s">
        <v>3431</v>
      </c>
      <c r="H18" s="387"/>
      <c r="I18" s="386" t="s">
        <v>3431</v>
      </c>
      <c r="J18" s="387"/>
      <c r="K18" s="541"/>
      <c r="L18" s="2487"/>
      <c r="M18" s="2482"/>
      <c r="N18" s="2482"/>
      <c r="O18" s="2482"/>
      <c r="P18" s="3427"/>
      <c r="Q18" s="1260"/>
      <c r="R18" s="666"/>
      <c r="S18" s="667"/>
      <c r="T18" s="666"/>
      <c r="U18" s="667"/>
      <c r="V18" s="666"/>
      <c r="W18" s="667"/>
      <c r="X18" s="1262"/>
      <c r="Y18" s="3429"/>
      <c r="Z18" s="1261"/>
      <c r="AA18" s="1261">
        <v>1</v>
      </c>
      <c r="AB18" s="1261">
        <v>1</v>
      </c>
      <c r="AC18" s="1261">
        <v>1</v>
      </c>
    </row>
    <row r="19" spans="1:29" ht="82.8">
      <c r="A19" s="367"/>
      <c r="B19" s="390" t="s">
        <v>1778</v>
      </c>
      <c r="C19" s="1751" t="str">
        <f>估价对象房地状况!C7</f>
        <v>估价对象所在区域银行、购物场所、学校等公共配套设施齐备，综合评价公共配套设施水平较好</v>
      </c>
      <c r="D19" s="394">
        <v>100</v>
      </c>
      <c r="E19" s="396"/>
      <c r="F19" s="397">
        <f>SUMIF(80:80,E20,81:81)-SUMIF(80:80,C20,81:81)+100</f>
        <v>98</v>
      </c>
      <c r="G19" s="398"/>
      <c r="H19" s="389">
        <f>SUMIF(80:80,G20,81:81)-SUMIF(80:80,C20,81:81)+100</f>
        <v>98</v>
      </c>
      <c r="I19" s="396"/>
      <c r="J19" s="389">
        <f>SUMIF(80:80,I20,81:81)-SUMIF(80:80,C20,81:81)+100</f>
        <v>98</v>
      </c>
      <c r="K19" s="540">
        <v>2</v>
      </c>
      <c r="L19" s="2487"/>
      <c r="M19" s="2482"/>
      <c r="N19" s="2482"/>
      <c r="O19" s="2482"/>
      <c r="P19" s="3427"/>
      <c r="Q19" s="1260" t="str">
        <f>B19</f>
        <v>公共配套设施</v>
      </c>
      <c r="R19" s="666" t="s">
        <v>14</v>
      </c>
      <c r="S19" s="667">
        <f>F19</f>
        <v>98</v>
      </c>
      <c r="T19" s="666" t="s">
        <v>14</v>
      </c>
      <c r="U19" s="667">
        <f>H19</f>
        <v>98</v>
      </c>
      <c r="V19" s="666" t="s">
        <v>14</v>
      </c>
      <c r="W19" s="667">
        <f>J19</f>
        <v>98</v>
      </c>
      <c r="X19" s="1262"/>
      <c r="Y19" s="3429"/>
      <c r="Z19" s="1261" t="str">
        <f>Q19</f>
        <v>公共配套设施</v>
      </c>
      <c r="AA19" s="1261">
        <f t="shared" si="3"/>
        <v>1.0204081632653061</v>
      </c>
      <c r="AB19" s="1261">
        <f t="shared" si="4"/>
        <v>1.0204081632653061</v>
      </c>
      <c r="AC19" s="1261">
        <f t="shared" si="5"/>
        <v>1.0204081632653061</v>
      </c>
    </row>
    <row r="20" spans="1:29" ht="15">
      <c r="A20" s="367"/>
      <c r="B20" s="395"/>
      <c r="C20" s="386" t="s">
        <v>3431</v>
      </c>
      <c r="D20" s="387"/>
      <c r="E20" s="1753" t="s">
        <v>3941</v>
      </c>
      <c r="F20" s="388"/>
      <c r="G20" s="1748" t="s">
        <v>3941</v>
      </c>
      <c r="H20" s="387"/>
      <c r="I20" s="1748" t="s">
        <v>3941</v>
      </c>
      <c r="J20" s="387"/>
      <c r="K20" s="541"/>
      <c r="L20" s="2487"/>
      <c r="M20" s="2482"/>
      <c r="N20" s="2482"/>
      <c r="O20" s="2482"/>
      <c r="P20" s="3427"/>
      <c r="Q20" s="1260"/>
      <c r="R20" s="666"/>
      <c r="S20" s="667"/>
      <c r="T20" s="666"/>
      <c r="U20" s="667"/>
      <c r="V20" s="666"/>
      <c r="W20" s="667"/>
      <c r="X20" s="1262"/>
      <c r="Y20" s="3429"/>
      <c r="Z20" s="1261"/>
      <c r="AA20" s="1261">
        <v>1</v>
      </c>
      <c r="AB20" s="1261">
        <v>1</v>
      </c>
      <c r="AC20" s="1261">
        <v>1</v>
      </c>
    </row>
    <row r="21" spans="1:29" ht="41.4">
      <c r="A21" s="367"/>
      <c r="B21" s="585" t="s">
        <v>1779</v>
      </c>
      <c r="C21" s="1751"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t="s">
        <v>3942</v>
      </c>
      <c r="D22" s="387"/>
      <c r="E22" s="1752" t="s">
        <v>3942</v>
      </c>
      <c r="F22" s="388"/>
      <c r="G22" s="1752" t="s">
        <v>3942</v>
      </c>
      <c r="H22" s="387"/>
      <c r="I22" s="1752" t="s">
        <v>3942</v>
      </c>
      <c r="J22" s="387"/>
      <c r="K22" s="1061"/>
      <c r="L22" s="2487"/>
      <c r="M22" s="2482"/>
      <c r="N22" s="2482"/>
      <c r="O22" s="2482"/>
      <c r="P22" s="3427"/>
      <c r="Q22" s="1260"/>
      <c r="R22" s="666"/>
      <c r="S22" s="667"/>
      <c r="T22" s="666"/>
      <c r="U22" s="667"/>
      <c r="V22" s="666"/>
      <c r="W22" s="667"/>
      <c r="X22" s="1262"/>
      <c r="Y22" s="3429"/>
      <c r="Z22" s="1261"/>
      <c r="AA22" s="1261">
        <v>1</v>
      </c>
      <c r="AB22" s="1261">
        <v>1</v>
      </c>
      <c r="AC22" s="1261">
        <v>1</v>
      </c>
    </row>
    <row r="23" spans="1:29" ht="69">
      <c r="A23" s="367"/>
      <c r="B23" s="390" t="s">
        <v>1261</v>
      </c>
      <c r="C23" s="1803" t="str">
        <f>估价对象房地状况!C9</f>
        <v>区域内有奥森公园等自然及人文环境，综合评价自然及人文环境状况较好。</v>
      </c>
      <c r="D23" s="389">
        <v>100</v>
      </c>
      <c r="E23" s="391"/>
      <c r="F23" s="392">
        <f>SUMIF(84:84,E24,85:85)-SUMIF(84:84,C24,85:85)+100</f>
        <v>97</v>
      </c>
      <c r="G23" s="393"/>
      <c r="H23" s="389">
        <f>SUMIF(84:84,G24,85:85)-SUMIF(84:84,C24,85:85)+100</f>
        <v>100</v>
      </c>
      <c r="I23" s="391"/>
      <c r="J23" s="389">
        <f>SUMIF(84:84,I24,85:85)-SUMIF(84:84,C24,85:85)+100</f>
        <v>97</v>
      </c>
      <c r="K23" s="540">
        <v>3</v>
      </c>
      <c r="L23" s="2487"/>
      <c r="M23" s="2482"/>
      <c r="N23" s="2482"/>
      <c r="O23" s="2482"/>
      <c r="P23" s="3427"/>
      <c r="Q23" s="1260" t="str">
        <f>B23</f>
        <v>自然及人文环境</v>
      </c>
      <c r="R23" s="666" t="s">
        <v>14</v>
      </c>
      <c r="S23" s="667">
        <f>F23</f>
        <v>97</v>
      </c>
      <c r="T23" s="666" t="s">
        <v>14</v>
      </c>
      <c r="U23" s="667">
        <f>H23</f>
        <v>100</v>
      </c>
      <c r="V23" s="666" t="s">
        <v>14</v>
      </c>
      <c r="W23" s="667">
        <f>J23</f>
        <v>97</v>
      </c>
      <c r="X23" s="1262"/>
      <c r="Y23" s="3429"/>
      <c r="Z23" s="1261" t="str">
        <f>Q23</f>
        <v>自然及人文环境</v>
      </c>
      <c r="AA23" s="1261">
        <f t="shared" si="3"/>
        <v>1.0309278350515463</v>
      </c>
      <c r="AB23" s="1261">
        <f t="shared" si="4"/>
        <v>1</v>
      </c>
      <c r="AC23" s="1261">
        <f t="shared" si="5"/>
        <v>1.0309278350515463</v>
      </c>
    </row>
    <row r="24" spans="1:29" ht="15">
      <c r="A24" s="367"/>
      <c r="B24" s="395"/>
      <c r="C24" s="386" t="s">
        <v>3431</v>
      </c>
      <c r="D24" s="387"/>
      <c r="E24" s="1749" t="s">
        <v>3941</v>
      </c>
      <c r="F24" s="388"/>
      <c r="G24" s="1748" t="s">
        <v>3431</v>
      </c>
      <c r="H24" s="387"/>
      <c r="I24" s="1749" t="s">
        <v>3941</v>
      </c>
      <c r="J24" s="387"/>
      <c r="K24" s="541"/>
      <c r="L24" s="2487"/>
      <c r="M24" s="2482"/>
      <c r="N24" s="2482"/>
      <c r="O24" s="2482"/>
      <c r="P24" s="3427"/>
      <c r="Q24" s="1260"/>
      <c r="R24" s="666"/>
      <c r="S24" s="667"/>
      <c r="T24" s="666"/>
      <c r="U24" s="667"/>
      <c r="V24" s="666"/>
      <c r="W24" s="667"/>
      <c r="X24" s="1262"/>
      <c r="Y24" s="3429"/>
      <c r="Z24" s="1261"/>
      <c r="AA24" s="1261">
        <v>1</v>
      </c>
      <c r="AB24" s="1261">
        <v>1</v>
      </c>
      <c r="AC24" s="1261">
        <v>1</v>
      </c>
    </row>
    <row r="25" spans="1:29" ht="15">
      <c r="A25" s="367"/>
      <c r="B25" s="364" t="s">
        <v>1780</v>
      </c>
      <c r="C25" s="542" t="s">
        <v>3943</v>
      </c>
      <c r="D25" s="374">
        <v>100</v>
      </c>
      <c r="E25" s="542" t="s">
        <v>3945</v>
      </c>
      <c r="F25" s="400">
        <f>SUMIF(86:86,E25,87:87)-SUMIF(86:86,C25,87:87)+100</f>
        <v>97</v>
      </c>
      <c r="G25" s="542" t="s">
        <v>3945</v>
      </c>
      <c r="H25" s="374">
        <f>SUMIF(86:86,G25,87:87)-SUMIF(86:86,C25,87:87)+100</f>
        <v>97</v>
      </c>
      <c r="I25" s="542" t="s">
        <v>3943</v>
      </c>
      <c r="J25" s="374">
        <f>SUMIF(86:86,I25,87:87)-SUMIF(86:86,C25,87:87)+100</f>
        <v>100</v>
      </c>
      <c r="K25" s="538">
        <v>3</v>
      </c>
      <c r="L25" s="2487"/>
      <c r="M25" s="2482"/>
      <c r="N25" s="2482"/>
      <c r="O25" s="2482"/>
      <c r="P25" s="3427"/>
      <c r="Q25" s="1260" t="str">
        <f t="shared" ref="Q25:Q46" si="11">B25</f>
        <v>临街状况</v>
      </c>
      <c r="R25" s="666" t="s">
        <v>14</v>
      </c>
      <c r="S25" s="667">
        <f>F25</f>
        <v>97</v>
      </c>
      <c r="T25" s="666" t="s">
        <v>14</v>
      </c>
      <c r="U25" s="667">
        <f>H25</f>
        <v>97</v>
      </c>
      <c r="V25" s="666" t="s">
        <v>14</v>
      </c>
      <c r="W25" s="667">
        <f>J25</f>
        <v>100</v>
      </c>
      <c r="X25" s="1262"/>
      <c r="Y25" s="3429"/>
      <c r="Z25" s="1261" t="str">
        <f>Q25</f>
        <v>临街状况</v>
      </c>
      <c r="AA25" s="1261">
        <f t="shared" si="3"/>
        <v>1.0309278350515463</v>
      </c>
      <c r="AB25" s="1261">
        <f t="shared" si="4"/>
        <v>1.0309278350515463</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27"/>
      <c r="Q26" s="1260" t="str">
        <f t="shared" si="11"/>
        <v>平面位置/可视性</v>
      </c>
      <c r="R26" s="666" t="s">
        <v>14</v>
      </c>
      <c r="S26" s="667">
        <f>F26</f>
        <v>100</v>
      </c>
      <c r="T26" s="666" t="s">
        <v>14</v>
      </c>
      <c r="U26" s="667">
        <f>H26</f>
        <v>100</v>
      </c>
      <c r="V26" s="666" t="s">
        <v>14</v>
      </c>
      <c r="W26" s="667">
        <f>J26</f>
        <v>100</v>
      </c>
      <c r="X26" s="1262"/>
      <c r="Y26" s="3429"/>
      <c r="Z26" s="1261" t="str">
        <f>Q26</f>
        <v>平面位置/可视性</v>
      </c>
      <c r="AA26" s="1261">
        <f t="shared" si="3"/>
        <v>1</v>
      </c>
      <c r="AB26" s="1261">
        <f t="shared" si="4"/>
        <v>1</v>
      </c>
      <c r="AC26" s="1261">
        <f t="shared" si="5"/>
        <v>1</v>
      </c>
    </row>
    <row r="27" spans="1:29" s="102" customFormat="1" ht="15">
      <c r="A27" s="370"/>
      <c r="B27" s="390" t="s">
        <v>1782</v>
      </c>
      <c r="C27" s="1804" t="s">
        <v>3961</v>
      </c>
      <c r="D27" s="401">
        <v>100</v>
      </c>
      <c r="E27" s="1804" t="s">
        <v>3961</v>
      </c>
      <c r="F27" s="395">
        <f>SUMIF(90:90,E27,91:91)-SUMIF(90:90,C27,91:91)+100</f>
        <v>100</v>
      </c>
      <c r="G27" s="1804" t="s">
        <v>3961</v>
      </c>
      <c r="H27" s="401">
        <f>SUMIF(90:90,G27,91:91)-SUMIF(90:90,C27,91:91)+100</f>
        <v>100</v>
      </c>
      <c r="I27" s="386" t="s">
        <v>3941</v>
      </c>
      <c r="J27" s="401">
        <f>SUMIF(90:90,I27,91:91)-SUMIF(90:90,C27,91:91)+100</f>
        <v>97</v>
      </c>
      <c r="K27" s="538">
        <v>3</v>
      </c>
      <c r="L27" s="2483"/>
      <c r="M27" s="2435"/>
      <c r="N27" s="2435"/>
      <c r="O27" s="2435"/>
      <c r="P27" s="3427"/>
      <c r="Q27" s="530" t="str">
        <f t="shared" si="11"/>
        <v>人流量</v>
      </c>
      <c r="R27" s="663" t="s">
        <v>14</v>
      </c>
      <c r="S27" s="664">
        <f>F27</f>
        <v>100</v>
      </c>
      <c r="T27" s="663" t="s">
        <v>14</v>
      </c>
      <c r="U27" s="664">
        <f>H27</f>
        <v>100</v>
      </c>
      <c r="V27" s="663" t="s">
        <v>14</v>
      </c>
      <c r="W27" s="664">
        <f>J27</f>
        <v>97</v>
      </c>
      <c r="X27" s="665"/>
      <c r="Y27" s="3429"/>
      <c r="Z27" s="50" t="str">
        <f>Q27</f>
        <v>人流量</v>
      </c>
      <c r="AA27" s="1261">
        <f>D27/F27</f>
        <v>1</v>
      </c>
      <c r="AB27" s="1261">
        <f>D27/H27</f>
        <v>1</v>
      </c>
      <c r="AC27" s="1261">
        <f>D27/J27</f>
        <v>1.0309278350515463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27"/>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29"/>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27"/>
      <c r="Q29" s="1260">
        <f t="shared" si="11"/>
        <v>111</v>
      </c>
      <c r="R29" s="666" t="s">
        <v>14</v>
      </c>
      <c r="S29" s="667">
        <f t="shared" si="12"/>
        <v>100</v>
      </c>
      <c r="T29" s="666" t="s">
        <v>14</v>
      </c>
      <c r="U29" s="667">
        <f t="shared" si="13"/>
        <v>100</v>
      </c>
      <c r="V29" s="666" t="s">
        <v>14</v>
      </c>
      <c r="W29" s="667">
        <f t="shared" si="14"/>
        <v>100</v>
      </c>
      <c r="X29" s="1262"/>
      <c r="Y29" s="3429"/>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27"/>
      <c r="Q30" s="1260">
        <f t="shared" si="11"/>
        <v>111</v>
      </c>
      <c r="R30" s="666" t="s">
        <v>14</v>
      </c>
      <c r="S30" s="667">
        <f t="shared" si="12"/>
        <v>100</v>
      </c>
      <c r="T30" s="666" t="s">
        <v>14</v>
      </c>
      <c r="U30" s="667">
        <f t="shared" si="13"/>
        <v>100</v>
      </c>
      <c r="V30" s="666" t="s">
        <v>14</v>
      </c>
      <c r="W30" s="667">
        <f t="shared" si="14"/>
        <v>100</v>
      </c>
      <c r="X30" s="1262"/>
      <c r="Y30" s="3429"/>
      <c r="Z30" s="1261">
        <f t="shared" si="15"/>
        <v>111</v>
      </c>
      <c r="AA30" s="1261">
        <f t="shared" si="3"/>
        <v>1</v>
      </c>
      <c r="AB30" s="1261">
        <f t="shared" si="4"/>
        <v>1</v>
      </c>
      <c r="AC30" s="1261">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27"/>
      <c r="Q31" s="1260">
        <f t="shared" si="11"/>
        <v>111</v>
      </c>
      <c r="R31" s="666" t="s">
        <v>14</v>
      </c>
      <c r="S31" s="667">
        <f t="shared" si="12"/>
        <v>100</v>
      </c>
      <c r="T31" s="666" t="s">
        <v>14</v>
      </c>
      <c r="U31" s="667">
        <f t="shared" si="13"/>
        <v>100</v>
      </c>
      <c r="V31" s="666" t="s">
        <v>14</v>
      </c>
      <c r="W31" s="667">
        <f t="shared" si="14"/>
        <v>100</v>
      </c>
      <c r="X31" s="1262"/>
      <c r="Y31" s="3429"/>
      <c r="Z31" s="1261">
        <f t="shared" si="15"/>
        <v>111</v>
      </c>
      <c r="AA31" s="1261">
        <f t="shared" si="3"/>
        <v>1</v>
      </c>
      <c r="AB31" s="1261">
        <f t="shared" si="4"/>
        <v>1</v>
      </c>
      <c r="AC31" s="1261">
        <f t="shared" si="5"/>
        <v>1</v>
      </c>
    </row>
    <row r="32" spans="1:29" ht="15">
      <c r="A32" s="379" t="s">
        <v>1694</v>
      </c>
      <c r="B32" s="60" t="s">
        <v>1784</v>
      </c>
      <c r="C32" s="1761" t="s">
        <v>3968</v>
      </c>
      <c r="D32" s="405">
        <v>100</v>
      </c>
      <c r="E32" s="1761" t="s">
        <v>3968</v>
      </c>
      <c r="F32" s="400">
        <f>SUMIF(100:100,E32,101:101)-SUMIF(100:100,C32,101:101)+100</f>
        <v>100</v>
      </c>
      <c r="G32" s="1761" t="s">
        <v>3968</v>
      </c>
      <c r="H32" s="374">
        <f>SUMIF(100:100,G32,101:101)-SUMIF(100:100,C32,101:101)+100</f>
        <v>100</v>
      </c>
      <c r="I32" s="1761" t="s">
        <v>3968</v>
      </c>
      <c r="J32" s="405">
        <f>SUMIF(100:100,I32,101:101)-SUMIF(100:100,C32,101:101)+100</f>
        <v>100</v>
      </c>
      <c r="K32" s="538"/>
      <c r="L32" s="2487"/>
      <c r="M32" s="2482"/>
      <c r="N32" s="2482"/>
      <c r="O32" s="2482"/>
      <c r="P32" s="3430" t="s">
        <v>1696</v>
      </c>
      <c r="Q32" s="1260" t="str">
        <f t="shared" si="11"/>
        <v>商业类型</v>
      </c>
      <c r="R32" s="666" t="s">
        <v>14</v>
      </c>
      <c r="S32" s="667">
        <f t="shared" si="12"/>
        <v>100</v>
      </c>
      <c r="T32" s="666" t="s">
        <v>14</v>
      </c>
      <c r="U32" s="667">
        <f t="shared" si="13"/>
        <v>100</v>
      </c>
      <c r="V32" s="666" t="s">
        <v>14</v>
      </c>
      <c r="W32" s="667">
        <f t="shared" si="14"/>
        <v>100</v>
      </c>
      <c r="X32" s="1262"/>
      <c r="Y32" s="3433"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15259.08</v>
      </c>
      <c r="D33" s="119">
        <v>100</v>
      </c>
      <c r="E33" s="369">
        <f>商业!J12</f>
        <v>10965.63</v>
      </c>
      <c r="F33" s="364">
        <f>LOOKUP(E33,103:103,104:104)-LOOKUP(C33,103:103,104:104)+100</f>
        <v>100</v>
      </c>
      <c r="G33" s="368">
        <f>商业!J18</f>
        <v>15106.53</v>
      </c>
      <c r="H33" s="119">
        <f>LOOKUP(G33,103:103,104:104)-LOOKUP(C33,103:103,104:104)+100</f>
        <v>100</v>
      </c>
      <c r="I33" s="368">
        <f>商业!J48</f>
        <v>16877.5</v>
      </c>
      <c r="J33" s="119">
        <f>LOOKUP(I33,103:103,104:104)-LOOKUP(C33,103:103,104:104)+100</f>
        <v>100</v>
      </c>
      <c r="K33" s="539"/>
      <c r="L33" s="2486"/>
      <c r="M33" s="2488"/>
      <c r="N33" s="2488"/>
      <c r="O33" s="2488"/>
      <c r="P33" s="3431"/>
      <c r="Q33" s="531" t="str">
        <f t="shared" si="11"/>
        <v>项目建筑规模</v>
      </c>
      <c r="R33" s="668" t="s">
        <v>14</v>
      </c>
      <c r="S33" s="669">
        <f t="shared" si="12"/>
        <v>100</v>
      </c>
      <c r="T33" s="668" t="s">
        <v>14</v>
      </c>
      <c r="U33" s="669">
        <f t="shared" si="13"/>
        <v>100</v>
      </c>
      <c r="V33" s="668" t="s">
        <v>14</v>
      </c>
      <c r="W33" s="669">
        <f t="shared" si="14"/>
        <v>100</v>
      </c>
      <c r="X33" s="670"/>
      <c r="Y33" s="3433"/>
      <c r="Z33" s="671" t="str">
        <f t="shared" si="15"/>
        <v>项目建筑规模</v>
      </c>
      <c r="AA33" s="1261">
        <f t="shared" si="3"/>
        <v>1</v>
      </c>
      <c r="AB33" s="1261">
        <f t="shared" si="4"/>
        <v>1</v>
      </c>
      <c r="AC33" s="1261">
        <f t="shared" si="5"/>
        <v>1</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87"/>
      <c r="M34" s="2482"/>
      <c r="N34" s="2482"/>
      <c r="O34" s="2482"/>
      <c r="P34" s="3431"/>
      <c r="Q34" s="1260" t="str">
        <f t="shared" si="11"/>
        <v>建筑结构</v>
      </c>
      <c r="R34" s="666" t="s">
        <v>14</v>
      </c>
      <c r="S34" s="667">
        <f t="shared" si="12"/>
        <v>100</v>
      </c>
      <c r="T34" s="666" t="s">
        <v>14</v>
      </c>
      <c r="U34" s="667">
        <f t="shared" si="13"/>
        <v>100</v>
      </c>
      <c r="V34" s="666" t="s">
        <v>14</v>
      </c>
      <c r="W34" s="667">
        <f t="shared" si="14"/>
        <v>100</v>
      </c>
      <c r="X34" s="1262"/>
      <c r="Y34" s="3433"/>
      <c r="Z34" s="1261" t="str">
        <f t="shared" si="15"/>
        <v>建筑结构</v>
      </c>
      <c r="AA34" s="1261">
        <f t="shared" si="3"/>
        <v>1</v>
      </c>
      <c r="AB34" s="1261">
        <f t="shared" si="4"/>
        <v>1</v>
      </c>
      <c r="AC34" s="1261">
        <f t="shared" si="5"/>
        <v>1</v>
      </c>
    </row>
    <row r="35" spans="1:29" ht="15">
      <c r="A35" s="409"/>
      <c r="B35" s="364" t="s">
        <v>1785</v>
      </c>
      <c r="C35" s="1757" t="s">
        <v>3951</v>
      </c>
      <c r="D35" s="374">
        <v>100</v>
      </c>
      <c r="E35" s="1757" t="s">
        <v>3951</v>
      </c>
      <c r="F35" s="400">
        <f>SUMIF(107:107,E35,108:108)-SUMIF(107:107,C35,108:108)+100</f>
        <v>100</v>
      </c>
      <c r="G35" s="1757" t="s">
        <v>3951</v>
      </c>
      <c r="H35" s="374">
        <f>SUMIF(107:107,G35,108:108)-SUMIF(107:107,C35,108:108)+100</f>
        <v>100</v>
      </c>
      <c r="I35" s="1757" t="s">
        <v>3951</v>
      </c>
      <c r="J35" s="374">
        <f>SUMIF(107:107,I35,108:108)-SUMIF(107:107,C35,108:108)+100</f>
        <v>100</v>
      </c>
      <c r="K35" s="538">
        <v>2</v>
      </c>
      <c r="L35" s="2487"/>
      <c r="M35" s="2482"/>
      <c r="N35" s="2482"/>
      <c r="O35" s="2482"/>
      <c r="P35" s="3431"/>
      <c r="Q35" s="1260" t="str">
        <f t="shared" si="11"/>
        <v>公共部分装修</v>
      </c>
      <c r="R35" s="666" t="s">
        <v>14</v>
      </c>
      <c r="S35" s="667">
        <f t="shared" si="12"/>
        <v>100</v>
      </c>
      <c r="T35" s="666" t="s">
        <v>14</v>
      </c>
      <c r="U35" s="667">
        <f t="shared" si="13"/>
        <v>100</v>
      </c>
      <c r="V35" s="666" t="s">
        <v>14</v>
      </c>
      <c r="W35" s="667">
        <f t="shared" si="14"/>
        <v>100</v>
      </c>
      <c r="X35" s="1262"/>
      <c r="Y35" s="3433"/>
      <c r="Z35" s="1261" t="str">
        <f t="shared" si="15"/>
        <v>公共部分装修</v>
      </c>
      <c r="AA35" s="1261">
        <f t="shared" si="3"/>
        <v>1</v>
      </c>
      <c r="AB35" s="1261">
        <f t="shared" si="4"/>
        <v>1</v>
      </c>
      <c r="AC35" s="1261">
        <f t="shared" si="5"/>
        <v>1</v>
      </c>
    </row>
    <row r="36" spans="1:29" ht="15">
      <c r="A36" s="409"/>
      <c r="B36" s="364" t="s">
        <v>1786</v>
      </c>
      <c r="C36" s="411">
        <f>'数据-取费表'!N6</f>
        <v>0.88</v>
      </c>
      <c r="D36" s="374">
        <v>100</v>
      </c>
      <c r="E36" s="411">
        <f>ROUND(1-(2025-2022)/60,2)</f>
        <v>0.95</v>
      </c>
      <c r="F36" s="400">
        <f>LOOKUP(E36,110:110,111:111)-LOOKUP(C36,110:110,111:111)+100</f>
        <v>101</v>
      </c>
      <c r="G36" s="411">
        <f>ROUND(1-(2025-2021)/60,2)</f>
        <v>0.93</v>
      </c>
      <c r="H36" s="400">
        <f>LOOKUP(G36,110:110,111:111)-LOOKUP(C36,110:110,111:111)+100</f>
        <v>101</v>
      </c>
      <c r="I36" s="411">
        <f>ROUND(1-(2025-2022)/60,2)</f>
        <v>0.95</v>
      </c>
      <c r="J36" s="374">
        <f>LOOKUP(I36,110:110,111:111)-LOOKUP(C36,110:110,111:111)+100</f>
        <v>101</v>
      </c>
      <c r="K36" s="538">
        <v>1</v>
      </c>
      <c r="L36" s="2487"/>
      <c r="M36" s="2482"/>
      <c r="N36" s="2482"/>
      <c r="O36" s="2482"/>
      <c r="P36" s="3431"/>
      <c r="Q36" s="1260" t="str">
        <f t="shared" si="11"/>
        <v>成新度</v>
      </c>
      <c r="R36" s="666" t="s">
        <v>14</v>
      </c>
      <c r="S36" s="667">
        <f t="shared" si="12"/>
        <v>101</v>
      </c>
      <c r="T36" s="666" t="s">
        <v>14</v>
      </c>
      <c r="U36" s="667">
        <f t="shared" si="13"/>
        <v>101</v>
      </c>
      <c r="V36" s="666" t="s">
        <v>14</v>
      </c>
      <c r="W36" s="667">
        <f t="shared" si="14"/>
        <v>101</v>
      </c>
      <c r="X36" s="1262"/>
      <c r="Y36" s="3433"/>
      <c r="Z36" s="1261" t="str">
        <f t="shared" si="15"/>
        <v>成新度</v>
      </c>
      <c r="AA36" s="1261">
        <f t="shared" si="3"/>
        <v>0.99009900990099009</v>
      </c>
      <c r="AB36" s="1261">
        <f t="shared" si="4"/>
        <v>0.99009900990099009</v>
      </c>
      <c r="AC36" s="1261">
        <f t="shared" si="5"/>
        <v>0.99009900990099009</v>
      </c>
    </row>
    <row r="37" spans="1:29" s="102" customFormat="1" ht="15">
      <c r="A37" s="410"/>
      <c r="B37" s="364" t="s">
        <v>1787</v>
      </c>
      <c r="C37" s="1757" t="s">
        <v>3956</v>
      </c>
      <c r="D37" s="119">
        <v>100</v>
      </c>
      <c r="E37" s="1757" t="s">
        <v>3956</v>
      </c>
      <c r="F37" s="400">
        <f>SUMIF(112:112,E37,113:113)-SUMIF(112:112,C37,113:113)+100</f>
        <v>100</v>
      </c>
      <c r="G37" s="1757" t="s">
        <v>3956</v>
      </c>
      <c r="H37" s="374">
        <f>SUMIF(112:112,G37,113:113)-SUMIF(112:112,C37,113:113)+100</f>
        <v>100</v>
      </c>
      <c r="I37" s="1757" t="s">
        <v>3956</v>
      </c>
      <c r="J37" s="374">
        <f>SUMIF(112:112,I37,113:113)-SUMIF(112:112,C37,113:113)+100</f>
        <v>100</v>
      </c>
      <c r="K37" s="538"/>
      <c r="L37" s="2483"/>
      <c r="M37" s="2435"/>
      <c r="N37" s="2435"/>
      <c r="O37" s="2435"/>
      <c r="P37" s="3431"/>
      <c r="Q37" s="530" t="str">
        <f t="shared" si="11"/>
        <v>市政基础设施</v>
      </c>
      <c r="R37" s="663" t="s">
        <v>14</v>
      </c>
      <c r="S37" s="664">
        <f t="shared" si="12"/>
        <v>100</v>
      </c>
      <c r="T37" s="663" t="s">
        <v>14</v>
      </c>
      <c r="U37" s="664">
        <f t="shared" si="13"/>
        <v>100</v>
      </c>
      <c r="V37" s="663" t="s">
        <v>14</v>
      </c>
      <c r="W37" s="664">
        <f t="shared" si="14"/>
        <v>100</v>
      </c>
      <c r="X37" s="665"/>
      <c r="Y37" s="3433"/>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7"/>
      <c r="M38" s="2482"/>
      <c r="N38" s="2482"/>
      <c r="O38" s="2482"/>
      <c r="P38" s="3431" t="s">
        <v>1696</v>
      </c>
      <c r="Q38" s="1260" t="str">
        <f t="shared" si="11"/>
        <v>业态</v>
      </c>
      <c r="R38" s="666" t="s">
        <v>14</v>
      </c>
      <c r="S38" s="667">
        <f t="shared" si="12"/>
        <v>100</v>
      </c>
      <c r="T38" s="666" t="s">
        <v>14</v>
      </c>
      <c r="U38" s="667">
        <f t="shared" si="13"/>
        <v>100</v>
      </c>
      <c r="V38" s="666" t="s">
        <v>14</v>
      </c>
      <c r="W38" s="667">
        <f t="shared" si="14"/>
        <v>100</v>
      </c>
      <c r="X38" s="1262"/>
      <c r="Y38" s="3433" t="s">
        <v>1696</v>
      </c>
      <c r="Z38" s="1261" t="str">
        <f t="shared" si="15"/>
        <v>业态</v>
      </c>
      <c r="AA38" s="1261">
        <f t="shared" si="3"/>
        <v>1</v>
      </c>
      <c r="AB38" s="1261">
        <f t="shared" si="4"/>
        <v>1</v>
      </c>
      <c r="AC38" s="1261">
        <f t="shared" si="5"/>
        <v>1</v>
      </c>
    </row>
    <row r="39" spans="1:29" ht="15">
      <c r="A39" s="409"/>
      <c r="B39" s="364" t="s">
        <v>1789</v>
      </c>
      <c r="C39" s="1757" t="s">
        <v>3969</v>
      </c>
      <c r="D39" s="374">
        <v>100</v>
      </c>
      <c r="E39" s="1757" t="s">
        <v>3969</v>
      </c>
      <c r="F39" s="400">
        <f>SUMIF(116:116,E39,117:117)-SUMIF(116:116,C39,117:117)+100</f>
        <v>100</v>
      </c>
      <c r="G39" s="1757" t="s">
        <v>3969</v>
      </c>
      <c r="H39" s="374">
        <f>SUMIF(116:116,G39,117:117)-SUMIF(116:116,C39,117:117)+100</f>
        <v>100</v>
      </c>
      <c r="I39" s="1757" t="s">
        <v>3969</v>
      </c>
      <c r="J39" s="374">
        <f>SUMIF(116:116,I39,117:117)-SUMIF(116:116,C39,117:117)+100</f>
        <v>100</v>
      </c>
      <c r="K39" s="538"/>
      <c r="L39" s="2487"/>
      <c r="M39" s="2482"/>
      <c r="N39" s="2482"/>
      <c r="O39" s="2482"/>
      <c r="P39" s="3431"/>
      <c r="Q39" s="1260" t="str">
        <f t="shared" si="11"/>
        <v>层高</v>
      </c>
      <c r="R39" s="666" t="s">
        <v>14</v>
      </c>
      <c r="S39" s="667">
        <f t="shared" si="12"/>
        <v>100</v>
      </c>
      <c r="T39" s="666" t="s">
        <v>14</v>
      </c>
      <c r="U39" s="667">
        <f t="shared" si="13"/>
        <v>100</v>
      </c>
      <c r="V39" s="666" t="s">
        <v>14</v>
      </c>
      <c r="W39" s="667">
        <f t="shared" si="14"/>
        <v>100</v>
      </c>
      <c r="X39" s="1262"/>
      <c r="Y39" s="3433"/>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31"/>
      <c r="Q40" s="1260" t="str">
        <f t="shared" si="11"/>
        <v>单套建筑面积</v>
      </c>
      <c r="R40" s="666" t="s">
        <v>14</v>
      </c>
      <c r="S40" s="667">
        <f t="shared" si="12"/>
        <v>100</v>
      </c>
      <c r="T40" s="666" t="s">
        <v>14</v>
      </c>
      <c r="U40" s="667">
        <f t="shared" si="13"/>
        <v>100</v>
      </c>
      <c r="V40" s="666" t="s">
        <v>14</v>
      </c>
      <c r="W40" s="667">
        <f t="shared" si="14"/>
        <v>100</v>
      </c>
      <c r="X40" s="1262"/>
      <c r="Y40" s="3433"/>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31"/>
      <c r="Q41" s="531" t="str">
        <f t="shared" si="11"/>
        <v>进深比</v>
      </c>
      <c r="R41" s="668" t="s">
        <v>14</v>
      </c>
      <c r="S41" s="669">
        <f t="shared" si="12"/>
        <v>100</v>
      </c>
      <c r="T41" s="668" t="s">
        <v>14</v>
      </c>
      <c r="U41" s="669">
        <f t="shared" si="13"/>
        <v>100</v>
      </c>
      <c r="V41" s="668" t="s">
        <v>14</v>
      </c>
      <c r="W41" s="669">
        <f t="shared" si="14"/>
        <v>100</v>
      </c>
      <c r="X41" s="670"/>
      <c r="Y41" s="3433"/>
      <c r="Z41" s="671" t="str">
        <f t="shared" si="15"/>
        <v>进深比</v>
      </c>
      <c r="AA41" s="1261">
        <f t="shared" si="3"/>
        <v>1</v>
      </c>
      <c r="AB41" s="1261">
        <f t="shared" si="4"/>
        <v>1</v>
      </c>
      <c r="AC41" s="1261">
        <f t="shared" si="5"/>
        <v>1</v>
      </c>
    </row>
    <row r="42" spans="1:29" ht="15">
      <c r="A42" s="409"/>
      <c r="B42" s="364" t="s">
        <v>1792</v>
      </c>
      <c r="C42" s="1757" t="s">
        <v>3951</v>
      </c>
      <c r="D42" s="374">
        <v>100</v>
      </c>
      <c r="E42" s="1757" t="s">
        <v>3951</v>
      </c>
      <c r="F42" s="400">
        <f>SUMIF(122:122,E42,123:123)-SUMIF(122:122,C42,123:123)+100</f>
        <v>100</v>
      </c>
      <c r="G42" s="1757" t="s">
        <v>3951</v>
      </c>
      <c r="H42" s="374">
        <f>SUMIF(122:122,G42,123:123)-SUMIF(122:122,C42,123:123)+100</f>
        <v>100</v>
      </c>
      <c r="I42" s="1757" t="s">
        <v>3951</v>
      </c>
      <c r="J42" s="374">
        <f>SUMIF(122:122,I42,123:123)-SUMIF(122:122,C42,123:123)+100</f>
        <v>100</v>
      </c>
      <c r="K42" s="538">
        <v>2</v>
      </c>
      <c r="L42" s="2487"/>
      <c r="M42" s="2482"/>
      <c r="N42" s="2482"/>
      <c r="O42" s="2482"/>
      <c r="P42" s="3431"/>
      <c r="Q42" s="1260" t="str">
        <f t="shared" si="11"/>
        <v>内部装修</v>
      </c>
      <c r="R42" s="666" t="s">
        <v>14</v>
      </c>
      <c r="S42" s="667">
        <f t="shared" si="12"/>
        <v>100</v>
      </c>
      <c r="T42" s="666" t="s">
        <v>14</v>
      </c>
      <c r="U42" s="667">
        <f t="shared" si="13"/>
        <v>100</v>
      </c>
      <c r="V42" s="666" t="s">
        <v>14</v>
      </c>
      <c r="W42" s="667">
        <f t="shared" si="14"/>
        <v>100</v>
      </c>
      <c r="X42" s="1262"/>
      <c r="Y42" s="3433"/>
      <c r="Z42" s="1261" t="str">
        <f t="shared" si="15"/>
        <v>内部装修</v>
      </c>
      <c r="AA42" s="1261">
        <f t="shared" si="3"/>
        <v>1</v>
      </c>
      <c r="AB42" s="1261">
        <f t="shared" si="4"/>
        <v>1</v>
      </c>
      <c r="AC42" s="1261">
        <f t="shared" si="5"/>
        <v>1</v>
      </c>
    </row>
    <row r="43" spans="1:29" ht="29.4" thickBot="1">
      <c r="A43" s="409"/>
      <c r="B43" s="364" t="s">
        <v>1707</v>
      </c>
      <c r="C43" s="1757" t="s">
        <v>3431</v>
      </c>
      <c r="D43" s="374">
        <v>100</v>
      </c>
      <c r="E43" s="1757" t="s">
        <v>3431</v>
      </c>
      <c r="F43" s="400">
        <f>SUMIF(124:124,E43,125:125)-SUMIF(124:124,C43,125:125)+100</f>
        <v>100</v>
      </c>
      <c r="G43" s="1757" t="s">
        <v>3431</v>
      </c>
      <c r="H43" s="374">
        <f>SUMIF(124:124,G43,125:125)-SUMIF(124:124,C43,125:125)+100</f>
        <v>100</v>
      </c>
      <c r="I43" s="1757" t="s">
        <v>3431</v>
      </c>
      <c r="J43" s="374">
        <f>SUMIF(124:124,I43,125:125)-SUMIF(124:124,C43,125:125)+100</f>
        <v>100</v>
      </c>
      <c r="K43" s="538">
        <v>2</v>
      </c>
      <c r="L43" s="2487"/>
      <c r="M43" s="2482"/>
      <c r="N43" s="2482"/>
      <c r="O43" s="2482"/>
      <c r="P43" s="3431"/>
      <c r="Q43" s="1260" t="str">
        <f t="shared" si="11"/>
        <v>内部装修维护情况</v>
      </c>
      <c r="R43" s="666" t="s">
        <v>14</v>
      </c>
      <c r="S43" s="667">
        <f t="shared" si="12"/>
        <v>100</v>
      </c>
      <c r="T43" s="666" t="s">
        <v>14</v>
      </c>
      <c r="U43" s="667">
        <f t="shared" si="13"/>
        <v>100</v>
      </c>
      <c r="V43" s="666" t="s">
        <v>14</v>
      </c>
      <c r="W43" s="667">
        <f t="shared" si="14"/>
        <v>100</v>
      </c>
      <c r="X43" s="1262"/>
      <c r="Y43" s="3433"/>
      <c r="Z43" s="1261" t="str">
        <f t="shared" si="15"/>
        <v>内部装修维护情况</v>
      </c>
      <c r="AA43" s="1261">
        <f t="shared" si="3"/>
        <v>1</v>
      </c>
      <c r="AB43" s="1261">
        <f t="shared" si="4"/>
        <v>1</v>
      </c>
      <c r="AC43" s="1261">
        <f t="shared" si="5"/>
        <v>1</v>
      </c>
    </row>
    <row r="44" spans="1:29" s="102" customFormat="1" ht="15.6" thickTop="1">
      <c r="A44" s="410"/>
      <c r="B44" s="3233" t="s">
        <v>3977</v>
      </c>
      <c r="C44" s="485" t="s">
        <v>3978</v>
      </c>
      <c r="D44" s="119">
        <v>100</v>
      </c>
      <c r="E44" s="485" t="s">
        <v>3981</v>
      </c>
      <c r="F44" s="364">
        <f>SUMIF(126:126,E44,127:127)-SUMIF(126:126,C44,127:127)+100</f>
        <v>106</v>
      </c>
      <c r="G44" s="485" t="s">
        <v>3978</v>
      </c>
      <c r="H44" s="119">
        <f>SUMIF(126:126,G44,127:127)-SUMIF(126:126,C44,127:127)+100</f>
        <v>100</v>
      </c>
      <c r="I44" s="485" t="s">
        <v>3980</v>
      </c>
      <c r="J44" s="119">
        <f>SUMIF(126:126,I44,127:127)-SUMIF(126:126,C44,127:127)+100</f>
        <v>104</v>
      </c>
      <c r="K44" s="539"/>
      <c r="L44" s="2483"/>
      <c r="M44" s="2435"/>
      <c r="N44" s="2435"/>
      <c r="O44" s="2435"/>
      <c r="P44" s="3431"/>
      <c r="Q44" s="530" t="str">
        <f t="shared" si="11"/>
        <v>地下占比</v>
      </c>
      <c r="R44" s="663" t="s">
        <v>14</v>
      </c>
      <c r="S44" s="664">
        <f t="shared" si="12"/>
        <v>106</v>
      </c>
      <c r="T44" s="663" t="s">
        <v>14</v>
      </c>
      <c r="U44" s="664">
        <f t="shared" si="13"/>
        <v>100</v>
      </c>
      <c r="V44" s="663" t="s">
        <v>14</v>
      </c>
      <c r="W44" s="664">
        <f t="shared" si="14"/>
        <v>104</v>
      </c>
      <c r="X44" s="665"/>
      <c r="Y44" s="3433"/>
      <c r="Z44" s="50" t="str">
        <f t="shared" si="15"/>
        <v>地下占比</v>
      </c>
      <c r="AA44" s="50">
        <f t="shared" si="3"/>
        <v>0.94339622641509435</v>
      </c>
      <c r="AB44" s="50">
        <f t="shared" si="4"/>
        <v>1</v>
      </c>
      <c r="AC44" s="50">
        <f t="shared" si="5"/>
        <v>0.96153846153846156</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31"/>
      <c r="Q45" s="1260">
        <f t="shared" si="11"/>
        <v>111</v>
      </c>
      <c r="R45" s="666" t="s">
        <v>14</v>
      </c>
      <c r="S45" s="667">
        <f t="shared" si="12"/>
        <v>100</v>
      </c>
      <c r="T45" s="666" t="s">
        <v>14</v>
      </c>
      <c r="U45" s="667">
        <f t="shared" si="13"/>
        <v>100</v>
      </c>
      <c r="V45" s="666" t="s">
        <v>14</v>
      </c>
      <c r="W45" s="667">
        <f t="shared" si="14"/>
        <v>100</v>
      </c>
      <c r="X45" s="1262"/>
      <c r="Y45" s="3433"/>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32"/>
      <c r="Q46" s="1260">
        <f t="shared" si="11"/>
        <v>111</v>
      </c>
      <c r="R46" s="666" t="s">
        <v>14</v>
      </c>
      <c r="S46" s="667">
        <f t="shared" si="12"/>
        <v>100</v>
      </c>
      <c r="T46" s="666" t="s">
        <v>14</v>
      </c>
      <c r="U46" s="667">
        <f t="shared" si="13"/>
        <v>100</v>
      </c>
      <c r="V46" s="666" t="s">
        <v>14</v>
      </c>
      <c r="W46" s="667">
        <f t="shared" si="14"/>
        <v>100</v>
      </c>
      <c r="X46" s="1262"/>
      <c r="Y46" s="3434"/>
      <c r="Z46" s="1261">
        <f t="shared" si="15"/>
        <v>111</v>
      </c>
      <c r="AA46" s="1261">
        <f t="shared" si="3"/>
        <v>1</v>
      </c>
      <c r="AB46" s="1261">
        <f t="shared" si="4"/>
        <v>1</v>
      </c>
      <c r="AC46" s="1261">
        <f t="shared" si="5"/>
        <v>1</v>
      </c>
    </row>
    <row r="47" spans="1:29" ht="14.4">
      <c r="A47" s="416" t="s">
        <v>1708</v>
      </c>
      <c r="B47" s="417"/>
      <c r="C47" s="1078" t="s">
        <v>0</v>
      </c>
      <c r="D47" s="418"/>
      <c r="E47" s="3223">
        <f>商业!N12</f>
        <v>45028.269401758036</v>
      </c>
      <c r="F47" s="420"/>
      <c r="G47" s="3224">
        <f>商业!N18</f>
        <v>42597.307257192748</v>
      </c>
      <c r="H47" s="422"/>
      <c r="I47" s="3223">
        <v>46500</v>
      </c>
      <c r="J47" s="422"/>
      <c r="K47" s="673"/>
      <c r="L47" s="2489"/>
      <c r="M47" s="2482"/>
      <c r="N47" s="2482"/>
      <c r="O47" s="2482"/>
      <c r="P47" s="3421" t="str">
        <f>A47</f>
        <v>成交单价（元/平方米）</v>
      </c>
      <c r="Q47" s="3421"/>
      <c r="R47" s="3422">
        <f>E47</f>
        <v>45028.269401758036</v>
      </c>
      <c r="S47" s="3422"/>
      <c r="T47" s="3422">
        <f>G47</f>
        <v>42597.307257192748</v>
      </c>
      <c r="U47" s="3422"/>
      <c r="V47" s="3422">
        <f>I47</f>
        <v>46500</v>
      </c>
      <c r="W47" s="3422"/>
      <c r="X47" s="385"/>
      <c r="Y47" s="672"/>
      <c r="Z47" s="385"/>
      <c r="AA47" s="385"/>
      <c r="AB47" s="385"/>
      <c r="AC47" s="385"/>
    </row>
    <row r="48" spans="1:29" ht="15" thickBot="1">
      <c r="A48" s="423" t="s">
        <v>1793</v>
      </c>
      <c r="B48" s="424"/>
      <c r="C48" s="1079">
        <f>R49</f>
        <v>47591</v>
      </c>
      <c r="D48" s="2138" t="s">
        <v>2138</v>
      </c>
      <c r="E48" s="1080">
        <f>R48</f>
        <v>44719</v>
      </c>
      <c r="F48" s="2139"/>
      <c r="G48" s="1079">
        <f>T48</f>
        <v>45310</v>
      </c>
      <c r="H48" s="2139"/>
      <c r="I48" s="1080">
        <f>V48</f>
        <v>52744</v>
      </c>
      <c r="J48" s="2139"/>
      <c r="K48" s="2141">
        <f>F48+H48+J48</f>
        <v>0</v>
      </c>
      <c r="L48" s="2489"/>
      <c r="M48" s="2482"/>
      <c r="N48" s="2482"/>
      <c r="O48" s="2482"/>
      <c r="P48" s="3421" t="str">
        <f>A48</f>
        <v>比较价值（元/平方米）</v>
      </c>
      <c r="Q48" s="3421"/>
      <c r="R48" s="3422">
        <f>IF(F1="售价",ROUND(PRODUCT(R47,AA7:AA46),0),ROUND(PRODUCT(R47,AA7:AA46),1))</f>
        <v>44719</v>
      </c>
      <c r="S48" s="3422"/>
      <c r="T48" s="3422">
        <f>IF(F1="售价",ROUND(PRODUCT(T47,AB7:AB46),0),ROUND(PRODUCT(T47,AB7:AB46),1))</f>
        <v>45310</v>
      </c>
      <c r="U48" s="3422"/>
      <c r="V48" s="3422">
        <f>IF(F1="售价",ROUND(PRODUCT(V47,AC7:AC46),0),ROUND(PRODUCT(V47,AC7:AC46),1))</f>
        <v>52744</v>
      </c>
      <c r="W48" s="3422"/>
      <c r="X48" s="385"/>
      <c r="Y48" s="385"/>
      <c r="Z48" s="385"/>
      <c r="AA48" s="385"/>
      <c r="AB48" s="385"/>
      <c r="AC48" s="385"/>
    </row>
    <row r="49" spans="1:29" ht="15" thickBot="1">
      <c r="A49" s="427" t="s">
        <v>1794</v>
      </c>
      <c r="B49" s="428"/>
      <c r="C49" s="351">
        <f>R49</f>
        <v>47591</v>
      </c>
      <c r="D49" s="351"/>
      <c r="E49" s="351"/>
      <c r="F49" s="351"/>
      <c r="G49" s="351"/>
      <c r="H49" s="351"/>
      <c r="I49" s="351"/>
      <c r="J49" s="351"/>
      <c r="K49" s="674"/>
      <c r="L49" s="2489"/>
      <c r="M49" s="2482"/>
      <c r="N49" s="2482"/>
      <c r="O49" s="2482"/>
      <c r="P49" s="3423" t="str">
        <f>A49</f>
        <v>估价对象XX用房的比较价值（楼面单价，元/平方米）</v>
      </c>
      <c r="Q49" s="3424"/>
      <c r="R49" s="3425">
        <f>IF(F1="售价",ROUND(IF(D48="简单平均",AVERAGE(R48:V48),R48*F48+T48*H48+V48*J48),0),ROUND(IF(D48="简单平均",AVERAGE(R48:V48),R48*F48+T48*H48+V48*J48),1))</f>
        <v>47591</v>
      </c>
      <c r="S49" s="3425"/>
      <c r="T49" s="3425"/>
      <c r="U49" s="3425"/>
      <c r="V49" s="3425"/>
      <c r="W49" s="342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6.915838944476338E-3</v>
      </c>
      <c r="F52" s="435" t="str">
        <f>IF(OR(E52&gt;=0.3,E52&lt;=-0.3),"超过30%","")</f>
        <v/>
      </c>
      <c r="G52" s="434">
        <f>IF(G47&lt;G48,G48/G47-1,G47/G48-1)</f>
        <v>6.3682258750034082E-2</v>
      </c>
      <c r="H52" s="435" t="str">
        <f>IF(OR(G52&gt;=0.3,G52&lt;=-0.3),"超过30%","")</f>
        <v/>
      </c>
      <c r="I52" s="434">
        <f>IF(I47&lt;I48,I48/I47-1,I47/I48-1)</f>
        <v>0.13427956989247303</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1.3215859030837107E-2</v>
      </c>
      <c r="F53" s="435" t="str">
        <f>IF(OR(E53&gt;=0.2,E53&lt;=-0.2),"超过20%","")</f>
        <v/>
      </c>
      <c r="G53" s="434">
        <f>IF(G48&lt;I48,I48/G48-1,G48/I48-1)</f>
        <v>0.1640697417788568</v>
      </c>
      <c r="H53" s="435" t="str">
        <f>IF(OR(G53&gt;=0.2,G53&lt;=-0.2),"超过20%","")</f>
        <v/>
      </c>
      <c r="I53" s="434">
        <f>IF(I48&lt;E48,E48/I48-1,I48/E48-1)</f>
        <v>0.17945392338826904</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5.7068446366520309E-2</v>
      </c>
      <c r="F54" s="435" t="str">
        <f>IF(OR(E54&gt;=0.3,E54&lt;=-0.3),"超过30%","")</f>
        <v/>
      </c>
      <c r="G54" s="434">
        <f>IF(G47&lt;I47,I47/G47-1,G47/I47-1)</f>
        <v>9.1618296885380257E-2</v>
      </c>
      <c r="H54" s="435" t="str">
        <f>IF(OR(G54&gt;=0.3,G54&lt;=-0.3),"超过30%","")</f>
        <v/>
      </c>
      <c r="I54" s="434">
        <f>IF(I47&lt;E47,E47/I47-1,I47/E47-1)</f>
        <v>3.2684591653093786E-2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29" s="442" customFormat="1" ht="14.4">
      <c r="A58" s="440" t="s">
        <v>1679</v>
      </c>
      <c r="B58" s="441"/>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3219">
        <f t="shared" ref="P58:Q58" si="17">EDATE(O58,-1)</f>
        <v>45352</v>
      </c>
      <c r="Q58" s="3219">
        <f t="shared" si="17"/>
        <v>45323</v>
      </c>
      <c r="R58" s="3219">
        <f t="shared" ref="R58:S58" si="18">EDATE(Q58,-1)</f>
        <v>45292</v>
      </c>
      <c r="S58" s="3219">
        <f t="shared" si="18"/>
        <v>45261</v>
      </c>
      <c r="T58" s="3219">
        <f t="shared" ref="T58:U58" si="19">EDATE(S58,-1)</f>
        <v>45231</v>
      </c>
      <c r="U58" s="3219">
        <f t="shared" si="19"/>
        <v>45200</v>
      </c>
      <c r="V58" s="3219">
        <f t="shared" ref="V58:W58" si="20">EDATE(U58,-1)</f>
        <v>45170</v>
      </c>
      <c r="W58" s="3219">
        <f t="shared" si="20"/>
        <v>45139</v>
      </c>
      <c r="X58" s="3219">
        <f t="shared" ref="X58:Y58" si="21">EDATE(W58,-1)</f>
        <v>45108</v>
      </c>
      <c r="Y58" s="3219">
        <f t="shared" si="21"/>
        <v>45078</v>
      </c>
      <c r="Z58" s="2504"/>
      <c r="AA58" s="2504"/>
      <c r="AB58" s="2504"/>
      <c r="AC58" s="2504"/>
    </row>
    <row r="59" spans="1:29" s="102" customFormat="1">
      <c r="A59" s="443"/>
      <c r="B59" s="444"/>
      <c r="C59" s="1099">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5"/>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4"/>
      <c r="O61" s="2514"/>
      <c r="P61" s="2506"/>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4"/>
      <c r="O62" s="2514"/>
      <c r="P62" s="2505"/>
      <c r="Q62" s="2503"/>
      <c r="R62" s="2435"/>
      <c r="S62" s="2435"/>
      <c r="T62" s="2435"/>
      <c r="U62" s="2435"/>
      <c r="V62" s="2435"/>
      <c r="W62" s="2435"/>
      <c r="X62" s="2435"/>
      <c r="Y62" s="2435"/>
      <c r="Z62" s="2435"/>
      <c r="AA62" s="2435"/>
      <c r="AB62" s="2435"/>
      <c r="AC62" s="2435"/>
    </row>
    <row r="63" spans="1:29" ht="14.4">
      <c r="A63" s="379" t="s">
        <v>1719</v>
      </c>
      <c r="B63" s="460" t="s">
        <v>1685</v>
      </c>
      <c r="C63" s="461" t="str">
        <f>C9</f>
        <v>商业</v>
      </c>
      <c r="D63" s="3221" t="s">
        <v>3983</v>
      </c>
      <c r="E63" s="3221" t="s">
        <v>3976</v>
      </c>
      <c r="F63" s="462"/>
      <c r="G63" s="462"/>
      <c r="H63" s="462"/>
      <c r="I63" s="462"/>
      <c r="J63" s="462"/>
      <c r="K63" s="463"/>
      <c r="L63" s="464"/>
      <c r="M63" s="465"/>
      <c r="N63" s="2515"/>
      <c r="O63" s="2515"/>
      <c r="P63" s="2507"/>
      <c r="Q63" s="2503"/>
      <c r="R63" s="2482"/>
      <c r="S63" s="2482"/>
      <c r="T63" s="2482"/>
      <c r="U63" s="2482"/>
      <c r="V63" s="2482"/>
      <c r="W63" s="2482"/>
      <c r="X63" s="2482"/>
      <c r="Y63" s="2482"/>
      <c r="Z63" s="2482"/>
      <c r="AA63" s="2482"/>
      <c r="AB63" s="2482"/>
      <c r="AC63" s="2482"/>
    </row>
    <row r="64" spans="1:29" ht="14.4" thickBot="1">
      <c r="A64" s="367"/>
      <c r="B64" s="466"/>
      <c r="C64" s="467">
        <v>100</v>
      </c>
      <c r="D64" s="467">
        <f>C64-4</f>
        <v>96</v>
      </c>
      <c r="E64" s="467">
        <f>D64-4</f>
        <v>92</v>
      </c>
      <c r="F64" s="467"/>
      <c r="G64" s="467"/>
      <c r="H64" s="467"/>
      <c r="I64" s="467"/>
      <c r="J64" s="467"/>
      <c r="K64" s="467"/>
      <c r="L64" s="467"/>
      <c r="M64" s="468"/>
      <c r="N64" s="2516"/>
      <c r="O64" s="2516"/>
      <c r="P64" s="2507"/>
      <c r="Q64" s="2503"/>
      <c r="R64" s="2482"/>
      <c r="S64" s="2482"/>
      <c r="T64" s="2482"/>
      <c r="U64" s="2482"/>
      <c r="V64" s="2482"/>
      <c r="W64" s="2482"/>
      <c r="X64" s="2482"/>
      <c r="Y64" s="2482"/>
      <c r="Z64" s="2482"/>
      <c r="AA64" s="2482"/>
      <c r="AB64" s="2482"/>
      <c r="AC64" s="2482"/>
    </row>
    <row r="65" spans="1:29" ht="29.4" thickTop="1">
      <c r="A65" s="367"/>
      <c r="B65" s="469" t="s">
        <v>1688</v>
      </c>
      <c r="C65" s="513" t="s">
        <v>3971</v>
      </c>
      <c r="D65" s="513" t="s">
        <v>3972</v>
      </c>
      <c r="E65" s="513" t="s">
        <v>3973</v>
      </c>
      <c r="F65" s="513"/>
      <c r="G65" s="513"/>
      <c r="H65" s="513"/>
      <c r="I65" s="513"/>
      <c r="J65" s="513"/>
      <c r="K65" s="514"/>
      <c r="L65" s="515"/>
      <c r="M65" s="516"/>
      <c r="N65" s="2515"/>
      <c r="O65" s="2515"/>
      <c r="P65" s="2507"/>
      <c r="Q65" s="2503"/>
      <c r="R65" s="2482"/>
      <c r="S65" s="2482"/>
      <c r="T65" s="2482"/>
      <c r="U65" s="2482"/>
      <c r="V65" s="2482"/>
      <c r="W65" s="2482"/>
      <c r="X65" s="2482"/>
      <c r="Y65" s="2482"/>
      <c r="Z65" s="2482"/>
      <c r="AA65" s="2482"/>
      <c r="AB65" s="2482"/>
      <c r="AC65" s="2482"/>
    </row>
    <row r="66" spans="1:29" ht="14.4" thickBot="1">
      <c r="A66" s="367"/>
      <c r="B66" s="474"/>
      <c r="C66" s="467">
        <v>100</v>
      </c>
      <c r="D66" s="467">
        <v>101</v>
      </c>
      <c r="E66" s="467">
        <v>102</v>
      </c>
      <c r="F66" s="467"/>
      <c r="G66" s="467"/>
      <c r="H66" s="467"/>
      <c r="I66" s="467"/>
      <c r="J66" s="467"/>
      <c r="K66" s="467"/>
      <c r="L66" s="467"/>
      <c r="M66" s="468"/>
      <c r="N66" s="2516"/>
      <c r="O66" s="2516"/>
      <c r="P66" s="2507"/>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0（含）-3</v>
      </c>
      <c r="D67" s="478" t="str">
        <f t="shared" ref="D67:L67" si="22">D68&amp;"（含）"&amp;"-"&amp;E68</f>
        <v>3（含）-</v>
      </c>
      <c r="E67" s="478" t="str">
        <f t="shared" si="22"/>
        <v>（含）-</v>
      </c>
      <c r="F67" s="478" t="str">
        <f t="shared" si="22"/>
        <v>（含）-</v>
      </c>
      <c r="G67" s="478" t="str">
        <f t="shared" si="22"/>
        <v>（含）-</v>
      </c>
      <c r="H67" s="478" t="str">
        <f t="shared" si="22"/>
        <v>（含）-</v>
      </c>
      <c r="I67" s="478" t="str">
        <f t="shared" si="22"/>
        <v>（含）-</v>
      </c>
      <c r="J67" s="478" t="str">
        <f t="shared" si="22"/>
        <v>（含）-</v>
      </c>
      <c r="K67" s="478" t="str">
        <f t="shared" si="22"/>
        <v>（含）-</v>
      </c>
      <c r="L67" s="478" t="str">
        <f t="shared" si="22"/>
        <v>（含）-</v>
      </c>
      <c r="M67" s="387" t="str">
        <f>M68&amp;"（含）"&amp;"-"&amp;P68</f>
        <v>（含）-</v>
      </c>
      <c r="N67" s="2516"/>
      <c r="O67" s="2516"/>
      <c r="P67" s="2507"/>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5"/>
      <c r="O68" s="2515"/>
      <c r="P68" s="2507"/>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23">C69-$K11</f>
        <v>99</v>
      </c>
      <c r="E69" s="475">
        <f t="shared" si="23"/>
        <v>98</v>
      </c>
      <c r="F69" s="475">
        <f t="shared" si="23"/>
        <v>97</v>
      </c>
      <c r="G69" s="475">
        <f t="shared" si="23"/>
        <v>96</v>
      </c>
      <c r="H69" s="475">
        <f t="shared" si="23"/>
        <v>95</v>
      </c>
      <c r="I69" s="475">
        <f t="shared" si="23"/>
        <v>94</v>
      </c>
      <c r="J69" s="475">
        <f t="shared" si="23"/>
        <v>93</v>
      </c>
      <c r="K69" s="475">
        <f t="shared" si="23"/>
        <v>92</v>
      </c>
      <c r="L69" s="475">
        <f t="shared" si="23"/>
        <v>91</v>
      </c>
      <c r="M69" s="476">
        <f t="shared" si="23"/>
        <v>90</v>
      </c>
      <c r="N69" s="2516"/>
      <c r="O69" s="2516"/>
      <c r="P69" s="2507"/>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6"/>
      <c r="O71" s="2516"/>
      <c r="P71" s="2508"/>
      <c r="Q71" s="2509"/>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7"/>
      <c r="O73" s="2517"/>
      <c r="P73" s="2508"/>
      <c r="Q73" s="2509"/>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7"/>
      <c r="O75" s="2517"/>
      <c r="P75" s="2508"/>
      <c r="Q75" s="2509"/>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3"/>
      <c r="R80" s="2482"/>
      <c r="S80" s="2482"/>
      <c r="T80" s="2482"/>
      <c r="U80" s="2482"/>
      <c r="V80" s="2482"/>
      <c r="W80" s="2482"/>
      <c r="X80" s="2482"/>
      <c r="Y80" s="2482"/>
      <c r="Z80" s="2482"/>
      <c r="AA80" s="2482"/>
      <c r="AB80" s="2482"/>
      <c r="AC80" s="2482"/>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3"/>
      <c r="R81" s="2482"/>
      <c r="S81" s="2482"/>
      <c r="T81" s="2482"/>
      <c r="U81" s="2482"/>
      <c r="V81" s="2482"/>
      <c r="W81" s="2482"/>
      <c r="X81" s="2482"/>
      <c r="Y81" s="2482"/>
      <c r="Z81" s="2482"/>
      <c r="AA81" s="2482"/>
      <c r="AB81" s="2482"/>
      <c r="AC81" s="2482"/>
    </row>
    <row r="82" spans="1:29" ht="15" thickTop="1">
      <c r="A82" s="367"/>
      <c r="B82" s="477" t="s">
        <v>1779</v>
      </c>
      <c r="C82" s="580" t="s">
        <v>1799</v>
      </c>
      <c r="D82" s="580" t="s">
        <v>1800</v>
      </c>
      <c r="E82" s="580" t="s">
        <v>1801</v>
      </c>
      <c r="F82" s="580" t="s">
        <v>1802</v>
      </c>
      <c r="G82" s="580" t="s">
        <v>1803</v>
      </c>
      <c r="H82" s="470"/>
      <c r="I82" s="470"/>
      <c r="J82" s="470"/>
      <c r="K82" s="470"/>
      <c r="L82" s="470"/>
      <c r="M82" s="1060"/>
      <c r="N82" s="2516"/>
      <c r="O82" s="2516"/>
      <c r="P82" s="2507"/>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24">D83-$K21</f>
        <v>98</v>
      </c>
      <c r="F83" s="475">
        <f t="shared" si="24"/>
        <v>97</v>
      </c>
      <c r="G83" s="475">
        <f t="shared" si="24"/>
        <v>96</v>
      </c>
      <c r="H83" s="580"/>
      <c r="I83" s="580"/>
      <c r="J83" s="580"/>
      <c r="K83" s="580"/>
      <c r="L83" s="580"/>
      <c r="M83" s="389"/>
      <c r="N83" s="2516"/>
      <c r="O83" s="2516"/>
      <c r="P83" s="2507"/>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3"/>
      <c r="R84" s="2482"/>
      <c r="S84" s="2482"/>
      <c r="T84" s="2482"/>
      <c r="U84" s="2482"/>
      <c r="V84" s="2482"/>
      <c r="W84" s="2482"/>
      <c r="X84" s="2482"/>
      <c r="Y84" s="2482"/>
      <c r="Z84" s="2482"/>
      <c r="AA84" s="2482"/>
      <c r="AB84" s="2482"/>
      <c r="AC84" s="2482"/>
    </row>
    <row r="85" spans="1:29" ht="14.4" thickBot="1">
      <c r="A85" s="367"/>
      <c r="B85" s="474"/>
      <c r="C85" s="475">
        <v>100</v>
      </c>
      <c r="D85" s="475">
        <f>C85-$K23</f>
        <v>97</v>
      </c>
      <c r="E85" s="475">
        <f>D85-$K23</f>
        <v>94</v>
      </c>
      <c r="F85" s="475">
        <f>E85-$K23</f>
        <v>91</v>
      </c>
      <c r="G85" s="475">
        <f>F85-$K23</f>
        <v>88</v>
      </c>
      <c r="H85" s="475"/>
      <c r="I85" s="475"/>
      <c r="J85" s="475"/>
      <c r="K85" s="475"/>
      <c r="L85" s="475"/>
      <c r="M85" s="476"/>
      <c r="N85" s="2516"/>
      <c r="O85" s="2516"/>
      <c r="P85" s="2507"/>
      <c r="Q85" s="2503"/>
      <c r="R85" s="2482"/>
      <c r="S85" s="2482"/>
      <c r="T85" s="2482"/>
      <c r="U85" s="2482"/>
      <c r="V85" s="2482"/>
      <c r="W85" s="2482"/>
      <c r="X85" s="2482"/>
      <c r="Y85" s="2482"/>
      <c r="Z85" s="2482"/>
      <c r="AA85" s="2482"/>
      <c r="AB85" s="2482"/>
      <c r="AC85" s="2482"/>
    </row>
    <row r="86" spans="1:29" s="102" customFormat="1" ht="15" thickTop="1">
      <c r="A86" s="370"/>
      <c r="B86" s="469" t="s">
        <v>1804</v>
      </c>
      <c r="C86" s="3220" t="s">
        <v>3944</v>
      </c>
      <c r="D86" s="3220" t="s">
        <v>3946</v>
      </c>
      <c r="E86" s="3220" t="s">
        <v>3947</v>
      </c>
      <c r="F86" s="485"/>
      <c r="G86" s="485"/>
      <c r="H86" s="485"/>
      <c r="I86" s="485"/>
      <c r="J86" s="485"/>
      <c r="K86" s="485"/>
      <c r="L86" s="510"/>
      <c r="M86" s="511"/>
      <c r="N86" s="2514"/>
      <c r="O86" s="2514"/>
      <c r="P86" s="2507"/>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5">C87-$K25</f>
        <v>97</v>
      </c>
      <c r="E87" s="475">
        <f t="shared" si="25"/>
        <v>94</v>
      </c>
      <c r="F87" s="475">
        <f t="shared" si="25"/>
        <v>91</v>
      </c>
      <c r="G87" s="475">
        <f t="shared" si="25"/>
        <v>88</v>
      </c>
      <c r="H87" s="475">
        <f t="shared" si="25"/>
        <v>85</v>
      </c>
      <c r="I87" s="475">
        <f t="shared" si="25"/>
        <v>82</v>
      </c>
      <c r="J87" s="475">
        <f t="shared" si="25"/>
        <v>79</v>
      </c>
      <c r="K87" s="475">
        <f t="shared" si="25"/>
        <v>76</v>
      </c>
      <c r="L87" s="475">
        <f t="shared" si="25"/>
        <v>73</v>
      </c>
      <c r="M87" s="475">
        <f t="shared" si="25"/>
        <v>70</v>
      </c>
      <c r="N87" s="2516"/>
      <c r="O87" s="2516"/>
      <c r="P87" s="2507"/>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220" t="s">
        <v>3964</v>
      </c>
      <c r="D88" s="485"/>
      <c r="E88" s="485"/>
      <c r="F88" s="1777"/>
      <c r="G88" s="485"/>
      <c r="H88" s="485"/>
      <c r="I88" s="485"/>
      <c r="J88" s="485"/>
      <c r="K88" s="485"/>
      <c r="L88" s="485"/>
      <c r="M88" s="511"/>
      <c r="N88" s="2514"/>
      <c r="O88" s="2514"/>
      <c r="P88" s="2507"/>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c r="E89" s="467"/>
      <c r="F89" s="467"/>
      <c r="G89" s="467"/>
      <c r="H89" s="467"/>
      <c r="I89" s="467"/>
      <c r="J89" s="467"/>
      <c r="K89" s="467"/>
      <c r="L89" s="467"/>
      <c r="M89" s="467"/>
      <c r="N89" s="2516"/>
      <c r="O89" s="2516"/>
      <c r="P89" s="2507"/>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t="s">
        <v>3960</v>
      </c>
      <c r="D90" s="485" t="s">
        <v>3961</v>
      </c>
      <c r="E90" s="485" t="s">
        <v>3941</v>
      </c>
      <c r="F90" s="485" t="s">
        <v>3962</v>
      </c>
      <c r="G90" s="485" t="s">
        <v>3963</v>
      </c>
      <c r="H90" s="486"/>
      <c r="I90" s="486"/>
      <c r="J90" s="486"/>
      <c r="K90" s="486"/>
      <c r="L90" s="487"/>
      <c r="M90" s="488"/>
      <c r="N90" s="2517"/>
      <c r="O90" s="2517"/>
      <c r="P90" s="2508"/>
      <c r="Q90" s="2509"/>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26">D91-$K27</f>
        <v>94</v>
      </c>
      <c r="F91" s="475">
        <f t="shared" si="26"/>
        <v>91</v>
      </c>
      <c r="G91" s="475">
        <f t="shared" si="26"/>
        <v>88</v>
      </c>
      <c r="H91" s="475">
        <f t="shared" si="26"/>
        <v>85</v>
      </c>
      <c r="I91" s="475">
        <f t="shared" si="26"/>
        <v>82</v>
      </c>
      <c r="J91" s="475">
        <f t="shared" si="26"/>
        <v>79</v>
      </c>
      <c r="K91" s="475">
        <f t="shared" si="26"/>
        <v>76</v>
      </c>
      <c r="L91" s="475">
        <f t="shared" si="26"/>
        <v>73</v>
      </c>
      <c r="M91" s="475">
        <f t="shared" si="26"/>
        <v>70</v>
      </c>
      <c r="N91" s="2517"/>
      <c r="O91" s="2517"/>
      <c r="P91" s="2508"/>
      <c r="Q91" s="2509"/>
      <c r="R91" s="2488"/>
      <c r="S91" s="2488"/>
      <c r="T91" s="2488"/>
      <c r="U91" s="2488"/>
      <c r="V91" s="2488"/>
      <c r="W91" s="2488"/>
      <c r="X91" s="2488"/>
      <c r="Y91" s="2488"/>
      <c r="Z91" s="2488"/>
      <c r="AA91" s="2488"/>
      <c r="AB91" s="2488"/>
      <c r="AC91" s="2488"/>
    </row>
    <row r="92" spans="1:29" ht="15" thickTop="1">
      <c r="A92" s="367"/>
      <c r="B92" s="469" t="str">
        <f>B28</f>
        <v>楼层</v>
      </c>
      <c r="C92" s="3220" t="s">
        <v>3965</v>
      </c>
      <c r="D92" s="485"/>
      <c r="E92" s="485"/>
      <c r="F92" s="485"/>
      <c r="G92" s="485"/>
      <c r="H92" s="485"/>
      <c r="I92" s="485"/>
      <c r="J92" s="485"/>
      <c r="K92" s="485"/>
      <c r="L92" s="510"/>
      <c r="M92" s="511"/>
      <c r="N92" s="2515"/>
      <c r="O92" s="2515"/>
      <c r="P92" s="2507"/>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6"/>
      <c r="O93" s="2516"/>
      <c r="P93" s="2507"/>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5"/>
      <c r="O94" s="2515"/>
      <c r="P94" s="2507"/>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6"/>
      <c r="O95" s="2516"/>
      <c r="P95" s="2507"/>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5"/>
      <c r="O96" s="2515"/>
      <c r="P96" s="2507"/>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6"/>
      <c r="O97" s="2516"/>
      <c r="P97" s="2507"/>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5"/>
      <c r="O98" s="2515"/>
      <c r="P98" s="2507"/>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6"/>
      <c r="O99" s="2516"/>
      <c r="P99" s="2507"/>
      <c r="Q99" s="2503"/>
      <c r="R99" s="2482"/>
      <c r="S99" s="2482"/>
      <c r="T99" s="2482"/>
      <c r="U99" s="2482"/>
      <c r="V99" s="2482"/>
      <c r="W99" s="2482"/>
      <c r="X99" s="2482"/>
      <c r="Y99" s="2482"/>
      <c r="Z99" s="2482"/>
      <c r="AA99" s="2482"/>
      <c r="AB99" s="2482"/>
      <c r="AC99" s="2482"/>
    </row>
    <row r="100" spans="1:29" ht="14.4">
      <c r="A100" s="379" t="s">
        <v>1694</v>
      </c>
      <c r="B100" s="460" t="s">
        <v>1805</v>
      </c>
      <c r="C100" s="3221" t="s">
        <v>3948</v>
      </c>
      <c r="D100" s="3221" t="s">
        <v>2778</v>
      </c>
      <c r="E100" s="3221" t="s">
        <v>3949</v>
      </c>
      <c r="F100" s="462"/>
      <c r="G100" s="462"/>
      <c r="H100" s="462"/>
      <c r="I100" s="462"/>
      <c r="J100" s="462"/>
      <c r="K100" s="463"/>
      <c r="L100" s="464"/>
      <c r="M100" s="465"/>
      <c r="N100" s="2515"/>
      <c r="O100" s="2515"/>
      <c r="P100" s="2507"/>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7">C101-$K32</f>
        <v>100</v>
      </c>
      <c r="E101" s="475">
        <f t="shared" si="27"/>
        <v>100</v>
      </c>
      <c r="F101" s="475">
        <f t="shared" si="27"/>
        <v>100</v>
      </c>
      <c r="G101" s="475">
        <f t="shared" si="27"/>
        <v>100</v>
      </c>
      <c r="H101" s="475">
        <f t="shared" si="27"/>
        <v>100</v>
      </c>
      <c r="I101" s="475">
        <f t="shared" si="27"/>
        <v>100</v>
      </c>
      <c r="J101" s="475">
        <f t="shared" si="27"/>
        <v>100</v>
      </c>
      <c r="K101" s="475">
        <f t="shared" si="27"/>
        <v>100</v>
      </c>
      <c r="L101" s="475">
        <f t="shared" si="27"/>
        <v>100</v>
      </c>
      <c r="M101" s="476">
        <f t="shared" si="27"/>
        <v>100</v>
      </c>
      <c r="N101" s="2516"/>
      <c r="O101" s="2516"/>
      <c r="P101" s="2507"/>
      <c r="Q101" s="2503"/>
      <c r="R101" s="2482"/>
      <c r="S101" s="2482"/>
      <c r="T101" s="2482"/>
      <c r="U101" s="2482"/>
      <c r="V101" s="2482"/>
      <c r="W101" s="2482"/>
      <c r="X101" s="2482"/>
      <c r="Y101" s="2482"/>
      <c r="Z101" s="2482"/>
      <c r="AA101" s="2482"/>
      <c r="AB101" s="2482"/>
      <c r="AC101" s="2482"/>
    </row>
    <row r="102" spans="1:29" ht="28.2" thickTop="1">
      <c r="A102" s="367"/>
      <c r="B102" s="469" t="s">
        <v>1737</v>
      </c>
      <c r="C102" s="509" t="str">
        <f>C103&amp;"(含)"&amp;"-"&amp;D103</f>
        <v>0(含)-10000</v>
      </c>
      <c r="D102" s="509" t="str">
        <f t="shared" ref="D102:L102" si="28">D103&amp;"(含)"&amp;"-"&amp;E103</f>
        <v>10000(含)-20000</v>
      </c>
      <c r="E102" s="509" t="str">
        <f t="shared" si="28"/>
        <v>20000(含)-50000</v>
      </c>
      <c r="F102" s="509" t="str">
        <f t="shared" si="28"/>
        <v>50000(含)-100000</v>
      </c>
      <c r="G102" s="509" t="str">
        <f t="shared" si="28"/>
        <v>100000(含)-</v>
      </c>
      <c r="H102" s="509" t="str">
        <f t="shared" si="28"/>
        <v>(含)-</v>
      </c>
      <c r="I102" s="509" t="str">
        <f t="shared" si="28"/>
        <v>(含)-</v>
      </c>
      <c r="J102" s="509" t="str">
        <f t="shared" si="28"/>
        <v>(含)-</v>
      </c>
      <c r="K102" s="509" t="str">
        <f t="shared" si="28"/>
        <v>(含)-</v>
      </c>
      <c r="L102" s="509" t="str">
        <f t="shared" si="28"/>
        <v>(含)-</v>
      </c>
      <c r="M102" s="546" t="str">
        <f>M103&amp;"(含)"&amp;"-"&amp;P103</f>
        <v>(含)-</v>
      </c>
      <c r="N102" s="2514"/>
      <c r="O102" s="2514"/>
      <c r="P102" s="2507"/>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10000</v>
      </c>
      <c r="E103" s="6">
        <v>20000</v>
      </c>
      <c r="F103" s="6">
        <v>50000</v>
      </c>
      <c r="G103" s="6">
        <v>100000</v>
      </c>
      <c r="H103" s="6"/>
      <c r="I103" s="6"/>
      <c r="J103" s="524"/>
      <c r="K103" s="524"/>
      <c r="L103" s="525"/>
      <c r="M103" s="526"/>
      <c r="N103" s="2517"/>
      <c r="O103" s="2517"/>
      <c r="P103" s="2508"/>
      <c r="Q103" s="2509"/>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v>95</v>
      </c>
      <c r="E104" s="467">
        <v>90</v>
      </c>
      <c r="F104" s="467">
        <v>85</v>
      </c>
      <c r="G104" s="467">
        <v>80</v>
      </c>
      <c r="H104" s="467"/>
      <c r="I104" s="467"/>
      <c r="J104" s="467"/>
      <c r="K104" s="467"/>
      <c r="L104" s="467"/>
      <c r="M104" s="468"/>
      <c r="N104" s="2516"/>
      <c r="O104" s="2516"/>
      <c r="P104" s="2508"/>
      <c r="Q104" s="2509"/>
      <c r="R104" s="2488"/>
      <c r="S104" s="2488"/>
      <c r="T104" s="2488"/>
      <c r="U104" s="2488"/>
      <c r="V104" s="2488"/>
      <c r="W104" s="2488"/>
      <c r="X104" s="2488"/>
      <c r="Y104" s="2488"/>
      <c r="Z104" s="2488"/>
      <c r="AA104" s="2488"/>
      <c r="AB104" s="2488"/>
      <c r="AC104" s="2488"/>
    </row>
    <row r="105" spans="1:29" ht="15" thickTop="1">
      <c r="A105" s="409"/>
      <c r="B105" s="469" t="s">
        <v>1738</v>
      </c>
      <c r="C105" s="3220" t="s">
        <v>3950</v>
      </c>
      <c r="D105" s="485"/>
      <c r="E105" s="513"/>
      <c r="F105" s="513"/>
      <c r="G105" s="513"/>
      <c r="H105" s="513"/>
      <c r="I105" s="513"/>
      <c r="J105" s="513"/>
      <c r="K105" s="514"/>
      <c r="L105" s="515"/>
      <c r="M105" s="516"/>
      <c r="N105" s="2515"/>
      <c r="O105" s="2515"/>
      <c r="P105" s="2507"/>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6">
        <f t="shared" si="29"/>
        <v>80</v>
      </c>
      <c r="N106" s="2516"/>
      <c r="O106" s="2516"/>
      <c r="P106" s="2507"/>
      <c r="Q106" s="2503"/>
      <c r="R106" s="2482"/>
      <c r="S106" s="2482"/>
      <c r="T106" s="2482"/>
      <c r="U106" s="2482"/>
      <c r="V106" s="2482"/>
      <c r="W106" s="2482"/>
      <c r="X106" s="2482"/>
      <c r="Y106" s="2482"/>
      <c r="Z106" s="2482"/>
      <c r="AA106" s="2482"/>
      <c r="AB106" s="2482"/>
      <c r="AC106" s="2482"/>
    </row>
    <row r="107" spans="1:29" ht="15" thickTop="1">
      <c r="A107" s="409"/>
      <c r="B107" s="469" t="s">
        <v>1740</v>
      </c>
      <c r="C107" s="3220" t="s">
        <v>3952</v>
      </c>
      <c r="D107" s="3220" t="s">
        <v>3953</v>
      </c>
      <c r="E107" s="3220" t="s">
        <v>3954</v>
      </c>
      <c r="F107" s="3222" t="s">
        <v>3955</v>
      </c>
      <c r="G107" s="513"/>
      <c r="H107" s="513"/>
      <c r="I107" s="513"/>
      <c r="J107" s="513"/>
      <c r="K107" s="514"/>
      <c r="L107" s="515"/>
      <c r="M107" s="516"/>
      <c r="N107" s="2515"/>
      <c r="O107" s="2515"/>
      <c r="P107" s="2507"/>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30">C108-$K35</f>
        <v>98</v>
      </c>
      <c r="E108" s="475">
        <f t="shared" si="30"/>
        <v>96</v>
      </c>
      <c r="F108" s="475">
        <f t="shared" si="30"/>
        <v>94</v>
      </c>
      <c r="G108" s="475">
        <f t="shared" si="30"/>
        <v>92</v>
      </c>
      <c r="H108" s="475">
        <f t="shared" si="30"/>
        <v>90</v>
      </c>
      <c r="I108" s="475">
        <f t="shared" si="30"/>
        <v>88</v>
      </c>
      <c r="J108" s="475">
        <f t="shared" si="30"/>
        <v>86</v>
      </c>
      <c r="K108" s="475">
        <f t="shared" si="30"/>
        <v>84</v>
      </c>
      <c r="L108" s="475">
        <f t="shared" si="30"/>
        <v>82</v>
      </c>
      <c r="M108" s="476">
        <f t="shared" si="30"/>
        <v>80</v>
      </c>
      <c r="N108" s="2516"/>
      <c r="O108" s="2516"/>
      <c r="P108" s="2507"/>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31">D111+$K36</f>
        <v>102</v>
      </c>
      <c r="F111" s="475">
        <f t="shared" si="31"/>
        <v>103</v>
      </c>
      <c r="G111" s="475">
        <f t="shared" si="31"/>
        <v>104</v>
      </c>
      <c r="H111" s="475">
        <f t="shared" si="31"/>
        <v>105</v>
      </c>
      <c r="I111" s="475">
        <f t="shared" si="31"/>
        <v>106</v>
      </c>
      <c r="J111" s="475">
        <f t="shared" si="31"/>
        <v>107</v>
      </c>
      <c r="K111" s="475">
        <f t="shared" si="31"/>
        <v>108</v>
      </c>
      <c r="L111" s="475">
        <f t="shared" si="31"/>
        <v>109</v>
      </c>
      <c r="M111" s="475">
        <f t="shared" si="31"/>
        <v>110</v>
      </c>
      <c r="N111" s="2516"/>
      <c r="O111" s="2516"/>
      <c r="P111" s="2507"/>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t="s">
        <v>3942</v>
      </c>
      <c r="D112" s="485" t="s">
        <v>3956</v>
      </c>
      <c r="E112" s="485" t="s">
        <v>3957</v>
      </c>
      <c r="F112" s="485" t="s">
        <v>3958</v>
      </c>
      <c r="G112" s="485" t="s">
        <v>3959</v>
      </c>
      <c r="H112" s="513"/>
      <c r="I112" s="513"/>
      <c r="J112" s="513"/>
      <c r="K112" s="514"/>
      <c r="L112" s="515"/>
      <c r="M112" s="516"/>
      <c r="N112" s="2517"/>
      <c r="O112" s="2517"/>
      <c r="P112" s="2508"/>
      <c r="Q112" s="2509"/>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32">D113-$K37</f>
        <v>100</v>
      </c>
      <c r="F113" s="475">
        <f t="shared" si="32"/>
        <v>100</v>
      </c>
      <c r="G113" s="475">
        <f t="shared" si="32"/>
        <v>100</v>
      </c>
      <c r="H113" s="475">
        <f t="shared" si="32"/>
        <v>100</v>
      </c>
      <c r="I113" s="475">
        <f t="shared" si="32"/>
        <v>100</v>
      </c>
      <c r="J113" s="475">
        <f t="shared" si="32"/>
        <v>100</v>
      </c>
      <c r="K113" s="475">
        <f t="shared" si="32"/>
        <v>100</v>
      </c>
      <c r="L113" s="475">
        <f t="shared" si="32"/>
        <v>100</v>
      </c>
      <c r="M113" s="475">
        <f t="shared" si="32"/>
        <v>100</v>
      </c>
      <c r="N113" s="2517"/>
      <c r="O113" s="2517"/>
      <c r="P113" s="2508"/>
      <c r="Q113" s="2509"/>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5"/>
      <c r="O114" s="2515"/>
      <c r="P114" s="2507"/>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6">
        <f t="shared" si="33"/>
        <v>100</v>
      </c>
      <c r="N115" s="2516"/>
      <c r="O115" s="2516"/>
      <c r="P115" s="2507"/>
      <c r="Q115" s="2503"/>
      <c r="R115" s="2482"/>
      <c r="S115" s="2482"/>
      <c r="T115" s="2482"/>
      <c r="U115" s="2482"/>
      <c r="V115" s="2482"/>
      <c r="W115" s="2482"/>
      <c r="X115" s="2482"/>
      <c r="Y115" s="2482"/>
      <c r="Z115" s="2482"/>
      <c r="AA115" s="2482"/>
      <c r="AB115" s="2482"/>
      <c r="AC115" s="2482"/>
    </row>
    <row r="116" spans="1:29" ht="15" thickTop="1">
      <c r="A116" s="409"/>
      <c r="B116" s="469" t="s">
        <v>1807</v>
      </c>
      <c r="C116" s="3220" t="s">
        <v>3970</v>
      </c>
      <c r="D116" s="485"/>
      <c r="E116" s="485"/>
      <c r="F116" s="485"/>
      <c r="G116" s="485"/>
      <c r="H116" s="513"/>
      <c r="I116" s="513"/>
      <c r="J116" s="513"/>
      <c r="K116" s="514"/>
      <c r="L116" s="515"/>
      <c r="M116" s="516"/>
      <c r="N116" s="2515"/>
      <c r="O116" s="2515"/>
      <c r="P116" s="2507"/>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3"/>
      <c r="R117" s="2482"/>
      <c r="S117" s="2482"/>
      <c r="T117" s="2482"/>
      <c r="U117" s="2482"/>
      <c r="V117" s="2482"/>
      <c r="W117" s="2482"/>
      <c r="X117" s="2482"/>
      <c r="Y117" s="2482"/>
      <c r="Z117" s="2482"/>
      <c r="AA117" s="2482"/>
      <c r="AB117" s="2482"/>
      <c r="AC117" s="2482"/>
    </row>
    <row r="118" spans="1:29" ht="15" thickTop="1">
      <c r="A118" s="409"/>
      <c r="B118" s="469" t="s">
        <v>1808</v>
      </c>
      <c r="C118" s="551"/>
      <c r="D118" s="551"/>
      <c r="E118" s="551"/>
      <c r="F118" s="551"/>
      <c r="G118" s="551"/>
      <c r="H118" s="486"/>
      <c r="I118" s="486"/>
      <c r="J118" s="486"/>
      <c r="K118" s="486"/>
      <c r="L118" s="487"/>
      <c r="M118" s="488"/>
      <c r="N118" s="2515"/>
      <c r="O118" s="2515"/>
      <c r="P118" s="2507"/>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6"/>
      <c r="O119" s="2516"/>
      <c r="P119" s="2507"/>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4">D121-$K41</f>
        <v>100</v>
      </c>
      <c r="F121" s="475">
        <f t="shared" si="34"/>
        <v>100</v>
      </c>
      <c r="G121" s="475">
        <f t="shared" si="34"/>
        <v>100</v>
      </c>
      <c r="H121" s="475">
        <f t="shared" si="34"/>
        <v>100</v>
      </c>
      <c r="I121" s="475">
        <f t="shared" si="34"/>
        <v>100</v>
      </c>
      <c r="J121" s="475">
        <f t="shared" si="34"/>
        <v>100</v>
      </c>
      <c r="K121" s="475">
        <f t="shared" si="34"/>
        <v>100</v>
      </c>
      <c r="L121" s="475">
        <f t="shared" si="34"/>
        <v>100</v>
      </c>
      <c r="M121" s="476">
        <f t="shared" si="34"/>
        <v>100</v>
      </c>
      <c r="N121" s="2517"/>
      <c r="O121" s="2517"/>
      <c r="P121" s="2508"/>
      <c r="Q121" s="2509"/>
      <c r="R121" s="2488"/>
      <c r="S121" s="2488"/>
      <c r="T121" s="2488"/>
      <c r="U121" s="2488"/>
      <c r="V121" s="2488"/>
      <c r="W121" s="2488"/>
      <c r="X121" s="2488"/>
      <c r="Y121" s="2488"/>
      <c r="Z121" s="2488"/>
      <c r="AA121" s="2488"/>
      <c r="AB121" s="2488"/>
      <c r="AC121" s="2488"/>
    </row>
    <row r="122" spans="1:29" ht="15" thickTop="1">
      <c r="A122" s="409"/>
      <c r="B122" s="469" t="s">
        <v>1744</v>
      </c>
      <c r="C122" s="3220" t="s">
        <v>3952</v>
      </c>
      <c r="D122" s="3220" t="s">
        <v>3953</v>
      </c>
      <c r="E122" s="3220" t="s">
        <v>3954</v>
      </c>
      <c r="F122" s="3222" t="s">
        <v>3955</v>
      </c>
      <c r="G122" s="513"/>
      <c r="H122" s="513"/>
      <c r="I122" s="513"/>
      <c r="J122" s="513"/>
      <c r="K122" s="514"/>
      <c r="L122" s="515"/>
      <c r="M122" s="516"/>
      <c r="N122" s="2515"/>
      <c r="O122" s="2515"/>
      <c r="P122" s="2507"/>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5">C123-$K42</f>
        <v>98</v>
      </c>
      <c r="E123" s="475">
        <f t="shared" si="35"/>
        <v>96</v>
      </c>
      <c r="F123" s="475">
        <f t="shared" si="35"/>
        <v>94</v>
      </c>
      <c r="G123" s="475">
        <f t="shared" si="35"/>
        <v>92</v>
      </c>
      <c r="H123" s="475">
        <f t="shared" si="35"/>
        <v>90</v>
      </c>
      <c r="I123" s="475">
        <f t="shared" si="35"/>
        <v>88</v>
      </c>
      <c r="J123" s="475">
        <f t="shared" si="35"/>
        <v>86</v>
      </c>
      <c r="K123" s="475">
        <f t="shared" si="35"/>
        <v>84</v>
      </c>
      <c r="L123" s="475">
        <f t="shared" si="35"/>
        <v>82</v>
      </c>
      <c r="M123" s="476">
        <f t="shared" si="35"/>
        <v>80</v>
      </c>
      <c r="N123" s="2516"/>
      <c r="O123" s="2516"/>
      <c r="P123" s="2507"/>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3"/>
      <c r="R125" s="2482"/>
      <c r="S125" s="2482"/>
      <c r="T125" s="2482"/>
      <c r="U125" s="2482"/>
      <c r="V125" s="2482"/>
      <c r="W125" s="2482"/>
      <c r="X125" s="2482"/>
      <c r="Y125" s="2482"/>
      <c r="Z125" s="2482"/>
      <c r="AA125" s="2482"/>
      <c r="AB125" s="2482"/>
      <c r="AC125" s="2482"/>
    </row>
    <row r="126" spans="1:29" s="408" customFormat="1" ht="14.4" thickTop="1">
      <c r="A126" s="406"/>
      <c r="B126" s="469" t="str">
        <f>B44</f>
        <v>地下占比</v>
      </c>
      <c r="C126" s="485" t="s">
        <v>3978</v>
      </c>
      <c r="D126" s="485" t="s">
        <v>3979</v>
      </c>
      <c r="E126" s="485" t="s">
        <v>3980</v>
      </c>
      <c r="F126" s="485" t="s">
        <v>3981</v>
      </c>
      <c r="G126" s="485"/>
      <c r="H126" s="486"/>
      <c r="I126" s="486"/>
      <c r="J126" s="486"/>
      <c r="K126" s="486"/>
      <c r="L126" s="487"/>
      <c r="M126" s="488"/>
      <c r="N126" s="2517"/>
      <c r="O126" s="2517"/>
      <c r="P126" s="2508"/>
      <c r="Q126" s="2509"/>
      <c r="R126" s="2488"/>
      <c r="S126" s="2488"/>
      <c r="T126" s="2488"/>
      <c r="U126" s="2488"/>
      <c r="V126" s="2488"/>
      <c r="W126" s="2488"/>
      <c r="X126" s="2488"/>
      <c r="Y126" s="2488"/>
      <c r="Z126" s="2488"/>
      <c r="AA126" s="2488"/>
      <c r="AB126" s="2488"/>
      <c r="AC126" s="2488"/>
    </row>
    <row r="127" spans="1:29" s="408" customFormat="1" ht="14.4" thickBot="1">
      <c r="A127" s="484"/>
      <c r="B127" s="474"/>
      <c r="C127" s="467">
        <v>100</v>
      </c>
      <c r="D127" s="467">
        <f>C127+2</f>
        <v>102</v>
      </c>
      <c r="E127" s="467">
        <f t="shared" ref="E127:F127" si="36">D127+2</f>
        <v>104</v>
      </c>
      <c r="F127" s="467">
        <f t="shared" si="36"/>
        <v>106</v>
      </c>
      <c r="G127" s="491"/>
      <c r="H127" s="493"/>
      <c r="I127" s="493"/>
      <c r="J127" s="493"/>
      <c r="K127" s="493"/>
      <c r="L127" s="493"/>
      <c r="M127" s="494"/>
      <c r="N127" s="2517"/>
      <c r="O127" s="2517"/>
      <c r="P127" s="2508"/>
      <c r="Q127" s="2509"/>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5"/>
      <c r="O128" s="2515"/>
      <c r="P128" s="2507"/>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6"/>
      <c r="O129" s="2516"/>
      <c r="P129" s="2507"/>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5"/>
      <c r="O130" s="2515"/>
      <c r="P130" s="2507"/>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6"/>
      <c r="O131" s="2516"/>
      <c r="P131" s="2507"/>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83B3-238F-4A2A-8B34-F659C69CFF6F}">
  <sheetPr filterMode="1"/>
  <dimension ref="A1:W60"/>
  <sheetViews>
    <sheetView workbookViewId="0">
      <pane xSplit="2" ySplit="1" topLeftCell="C17" activePane="bottomRight" state="frozen"/>
      <selection pane="topRight" activeCell="C1" sqref="C1"/>
      <selection pane="bottomLeft" activeCell="A2" sqref="A2"/>
      <selection pane="bottomRight" activeCell="B22" sqref="B22"/>
    </sheetView>
  </sheetViews>
  <sheetFormatPr defaultRowHeight="14.4"/>
  <cols>
    <col min="1" max="8" width="8.88671875" style="3180"/>
    <col min="9" max="9" width="12.5546875" style="3180" customWidth="1"/>
    <col min="10" max="11" width="11.77734375" style="3180" customWidth="1"/>
    <col min="12" max="13" width="8.88671875" style="3180"/>
    <col min="14" max="14" width="8.88671875" style="3201"/>
    <col min="15" max="15" width="8.88671875" style="3180"/>
    <col min="16" max="16" width="15.44140625" style="3180" customWidth="1"/>
    <col min="17" max="17" width="53.88671875" style="3180" customWidth="1"/>
    <col min="18" max="16384" width="8.88671875" style="3180"/>
  </cols>
  <sheetData>
    <row r="1" spans="1:23" ht="60">
      <c r="A1" s="3176" t="s">
        <v>2640</v>
      </c>
      <c r="B1" s="3176" t="s">
        <v>3539</v>
      </c>
      <c r="C1" s="3176" t="s">
        <v>3540</v>
      </c>
      <c r="D1" s="3176" t="s">
        <v>3541</v>
      </c>
      <c r="E1" s="3176" t="s">
        <v>3542</v>
      </c>
      <c r="F1" s="3176" t="s">
        <v>3543</v>
      </c>
      <c r="G1" s="3176" t="s">
        <v>3544</v>
      </c>
      <c r="H1" s="3176" t="s">
        <v>3545</v>
      </c>
      <c r="I1" s="3176" t="s">
        <v>3546</v>
      </c>
      <c r="J1" s="3177" t="s">
        <v>3547</v>
      </c>
      <c r="K1" s="3176" t="s">
        <v>3548</v>
      </c>
      <c r="L1" s="3176" t="s">
        <v>3549</v>
      </c>
      <c r="M1" s="3176" t="s">
        <v>3550</v>
      </c>
      <c r="N1" s="3178" t="s">
        <v>3551</v>
      </c>
      <c r="O1" s="3176" t="s">
        <v>3552</v>
      </c>
      <c r="P1" s="3179" t="s">
        <v>3553</v>
      </c>
      <c r="Q1" s="3176" t="s">
        <v>3554</v>
      </c>
      <c r="R1" s="3176" t="s">
        <v>3555</v>
      </c>
      <c r="S1" s="3176" t="s">
        <v>3556</v>
      </c>
      <c r="T1" s="3176" t="s">
        <v>3557</v>
      </c>
      <c r="U1" s="3176" t="s">
        <v>3558</v>
      </c>
      <c r="V1" s="3176" t="s">
        <v>3559</v>
      </c>
      <c r="W1" s="3176" t="s">
        <v>3560</v>
      </c>
    </row>
    <row r="2" spans="1:23" ht="60" customHeight="1">
      <c r="A2" s="3176">
        <v>515</v>
      </c>
      <c r="B2" s="3176" t="s">
        <v>3561</v>
      </c>
      <c r="C2" s="3181" t="s">
        <v>3562</v>
      </c>
      <c r="D2" s="3181" t="s">
        <v>2742</v>
      </c>
      <c r="E2" s="3181" t="s">
        <v>3563</v>
      </c>
      <c r="F2" s="3181" t="s">
        <v>3564</v>
      </c>
      <c r="G2" s="3176" t="s">
        <v>3565</v>
      </c>
      <c r="H2" s="3181"/>
      <c r="I2" s="3181">
        <v>11420.48</v>
      </c>
      <c r="J2" s="3182">
        <v>11420.48</v>
      </c>
      <c r="K2" s="3181"/>
      <c r="L2" s="3181">
        <v>43794.81</v>
      </c>
      <c r="M2" s="3183">
        <v>38348</v>
      </c>
      <c r="N2" s="3184">
        <v>38347.608857070809</v>
      </c>
      <c r="O2" s="3181" t="s">
        <v>3566</v>
      </c>
      <c r="P2" s="3185">
        <v>44958</v>
      </c>
      <c r="Q2" s="3176" t="s">
        <v>3567</v>
      </c>
      <c r="R2" s="3181" t="s">
        <v>3568</v>
      </c>
      <c r="S2" s="3181"/>
      <c r="T2" s="3186">
        <v>0</v>
      </c>
      <c r="U2" s="3181"/>
      <c r="V2" s="3187" t="e">
        <v>#DIV/0!</v>
      </c>
      <c r="W2" s="3181" t="s">
        <v>3569</v>
      </c>
    </row>
    <row r="3" spans="1:23" s="3201" customFormat="1" ht="60" customHeight="1">
      <c r="A3" s="3178">
        <v>519</v>
      </c>
      <c r="B3" s="3178" t="s">
        <v>3570</v>
      </c>
      <c r="C3" s="3178" t="s">
        <v>3571</v>
      </c>
      <c r="D3" s="3197" t="s">
        <v>2717</v>
      </c>
      <c r="E3" s="3197" t="s">
        <v>3572</v>
      </c>
      <c r="F3" s="3178" t="s">
        <v>3573</v>
      </c>
      <c r="G3" s="3178" t="s">
        <v>3574</v>
      </c>
      <c r="H3" s="3197">
        <v>13052.13</v>
      </c>
      <c r="I3" s="3198">
        <v>85161.1</v>
      </c>
      <c r="J3" s="3198">
        <v>56789.34</v>
      </c>
      <c r="K3" s="3197">
        <v>28371.760000000009</v>
      </c>
      <c r="L3" s="3197">
        <v>281000</v>
      </c>
      <c r="M3" s="3178">
        <v>32996</v>
      </c>
      <c r="N3" s="3184">
        <v>49481.117406893623</v>
      </c>
      <c r="O3" s="3197" t="s">
        <v>3575</v>
      </c>
      <c r="P3" s="3211" t="s">
        <v>3576</v>
      </c>
      <c r="Q3" s="3176" t="s">
        <v>3577</v>
      </c>
      <c r="R3" s="3197" t="s">
        <v>3578</v>
      </c>
      <c r="S3" s="3197"/>
      <c r="T3" s="3184">
        <v>0</v>
      </c>
      <c r="U3" s="3197" t="s">
        <v>3579</v>
      </c>
      <c r="V3" s="3200" t="e">
        <v>#DIV/0!</v>
      </c>
      <c r="W3" s="3197" t="s">
        <v>3580</v>
      </c>
    </row>
    <row r="4" spans="1:23" ht="60" hidden="1" customHeight="1">
      <c r="A4" s="3176">
        <v>524</v>
      </c>
      <c r="B4" s="3176" t="s">
        <v>3581</v>
      </c>
      <c r="C4" s="3176" t="s">
        <v>3582</v>
      </c>
      <c r="D4" s="3181" t="s">
        <v>2717</v>
      </c>
      <c r="E4" s="3181" t="s">
        <v>3583</v>
      </c>
      <c r="F4" s="3176" t="s">
        <v>3584</v>
      </c>
      <c r="G4" s="3176" t="s">
        <v>2603</v>
      </c>
      <c r="H4" s="3181"/>
      <c r="I4" s="3181">
        <v>1665.1</v>
      </c>
      <c r="J4" s="3182">
        <v>1665.1</v>
      </c>
      <c r="K4" s="3181"/>
      <c r="L4" s="3181">
        <v>5516.6790000000001</v>
      </c>
      <c r="M4" s="3183">
        <v>33131</v>
      </c>
      <c r="N4" s="3184">
        <v>33131.217344303644</v>
      </c>
      <c r="O4" s="3176" t="s">
        <v>3585</v>
      </c>
      <c r="P4" s="3188">
        <v>44986</v>
      </c>
      <c r="Q4" s="3176" t="s">
        <v>3586</v>
      </c>
      <c r="R4" s="3181" t="s">
        <v>3587</v>
      </c>
      <c r="S4" s="3181">
        <v>6050.97</v>
      </c>
      <c r="T4" s="3186">
        <v>36339.979580805964</v>
      </c>
      <c r="U4" s="3181"/>
      <c r="V4" s="3187">
        <v>0.9117015949508922</v>
      </c>
      <c r="W4" s="3181" t="s">
        <v>3588</v>
      </c>
    </row>
    <row r="5" spans="1:23" ht="60" hidden="1" customHeight="1">
      <c r="A5" s="3176">
        <v>535</v>
      </c>
      <c r="B5" s="3176" t="s">
        <v>3589</v>
      </c>
      <c r="C5" s="3181" t="s">
        <v>3590</v>
      </c>
      <c r="D5" s="3181" t="s">
        <v>2682</v>
      </c>
      <c r="E5" s="3181" t="s">
        <v>3591</v>
      </c>
      <c r="F5" s="3176" t="s">
        <v>3592</v>
      </c>
      <c r="G5" s="3176" t="s">
        <v>2603</v>
      </c>
      <c r="H5" s="3181">
        <v>977.33</v>
      </c>
      <c r="I5" s="3181">
        <v>5258.2</v>
      </c>
      <c r="J5" s="3182">
        <v>5066.3</v>
      </c>
      <c r="K5" s="3181">
        <v>191.9</v>
      </c>
      <c r="L5" s="3181">
        <v>12603.776</v>
      </c>
      <c r="M5" s="3183">
        <v>23970</v>
      </c>
      <c r="N5" s="3184">
        <v>24877.674042200422</v>
      </c>
      <c r="O5" s="3181" t="s">
        <v>3593</v>
      </c>
      <c r="P5" s="3189">
        <v>45072</v>
      </c>
      <c r="Q5" s="3176" t="s">
        <v>3594</v>
      </c>
      <c r="R5" s="3181" t="s">
        <v>3595</v>
      </c>
      <c r="S5" s="3181">
        <v>12599.68</v>
      </c>
      <c r="T5" s="3186">
        <v>24869.589246590214</v>
      </c>
      <c r="U5" s="3181"/>
      <c r="V5" s="3187">
        <v>1.0003250876212728</v>
      </c>
      <c r="W5" s="3181" t="s">
        <v>3588</v>
      </c>
    </row>
    <row r="6" spans="1:23" ht="60" hidden="1" customHeight="1">
      <c r="A6" s="3176">
        <v>536</v>
      </c>
      <c r="B6" s="3176" t="s">
        <v>3596</v>
      </c>
      <c r="C6" s="3176" t="s">
        <v>3596</v>
      </c>
      <c r="D6" s="3181" t="s">
        <v>2682</v>
      </c>
      <c r="E6" s="3181" t="s">
        <v>3597</v>
      </c>
      <c r="F6" s="3176" t="s">
        <v>3598</v>
      </c>
      <c r="G6" s="3176" t="s">
        <v>2603</v>
      </c>
      <c r="H6" s="3181"/>
      <c r="I6" s="3181">
        <v>1055.3800000000001</v>
      </c>
      <c r="J6" s="3182">
        <v>1055.3800000000001</v>
      </c>
      <c r="K6" s="3181"/>
      <c r="L6" s="3181">
        <v>6101.2779</v>
      </c>
      <c r="M6" s="3183">
        <v>57811</v>
      </c>
      <c r="N6" s="3184">
        <v>57811.195019803286</v>
      </c>
      <c r="O6" s="3176" t="s">
        <v>3599</v>
      </c>
      <c r="P6" s="3189">
        <v>45072</v>
      </c>
      <c r="Q6" s="3176" t="s">
        <v>3600</v>
      </c>
      <c r="R6" s="3181" t="s">
        <v>3601</v>
      </c>
      <c r="S6" s="3181">
        <v>6130.3968999999997</v>
      </c>
      <c r="T6" s="3186">
        <v>58087.105118535495</v>
      </c>
      <c r="U6" s="3181"/>
      <c r="V6" s="3187">
        <v>0.99525006284666495</v>
      </c>
      <c r="W6" s="3181" t="s">
        <v>3588</v>
      </c>
    </row>
    <row r="7" spans="1:23" ht="60" customHeight="1">
      <c r="A7" s="3176">
        <v>537</v>
      </c>
      <c r="B7" s="3181" t="s">
        <v>3602</v>
      </c>
      <c r="C7" s="3176" t="s">
        <v>3603</v>
      </c>
      <c r="D7" s="3181" t="s">
        <v>2717</v>
      </c>
      <c r="E7" s="3181" t="s">
        <v>3604</v>
      </c>
      <c r="F7" s="3176" t="s">
        <v>3605</v>
      </c>
      <c r="G7" s="3176" t="s">
        <v>3606</v>
      </c>
      <c r="H7" s="3181"/>
      <c r="I7" s="3181">
        <v>37639.69</v>
      </c>
      <c r="J7" s="3182">
        <v>22888.36</v>
      </c>
      <c r="K7" s="3181">
        <v>14751.33</v>
      </c>
      <c r="L7" s="3181">
        <v>114800</v>
      </c>
      <c r="M7" s="3183">
        <v>30500</v>
      </c>
      <c r="N7" s="3184">
        <v>50156.498761816045</v>
      </c>
      <c r="O7" s="3176" t="s">
        <v>3607</v>
      </c>
      <c r="P7" s="3189" t="s">
        <v>3576</v>
      </c>
      <c r="Q7" s="3176" t="s">
        <v>3608</v>
      </c>
      <c r="R7" s="3181" t="s">
        <v>3609</v>
      </c>
      <c r="S7" s="3181"/>
      <c r="T7" s="3186">
        <v>0</v>
      </c>
      <c r="U7" s="3181"/>
      <c r="V7" s="3187" t="e">
        <v>#DIV/0!</v>
      </c>
      <c r="W7" s="3181" t="s">
        <v>3610</v>
      </c>
    </row>
    <row r="8" spans="1:23" ht="60" customHeight="1">
      <c r="A8" s="3176">
        <v>538</v>
      </c>
      <c r="B8" s="3176" t="s">
        <v>3611</v>
      </c>
      <c r="C8" s="3181" t="s">
        <v>3612</v>
      </c>
      <c r="D8" s="3181" t="s">
        <v>2717</v>
      </c>
      <c r="E8" s="3181" t="s">
        <v>3604</v>
      </c>
      <c r="F8" s="3181" t="s">
        <v>3613</v>
      </c>
      <c r="G8" s="3176" t="s">
        <v>3614</v>
      </c>
      <c r="H8" s="3190">
        <v>35886.519999999997</v>
      </c>
      <c r="I8" s="3181">
        <v>64978.17</v>
      </c>
      <c r="J8" s="3182">
        <v>50193.57</v>
      </c>
      <c r="K8" s="3182">
        <v>14784.599999999999</v>
      </c>
      <c r="L8" s="3181">
        <v>196317</v>
      </c>
      <c r="M8" s="3176">
        <v>30213</v>
      </c>
      <c r="N8" s="3186">
        <v>39111.981873375415</v>
      </c>
      <c r="O8" s="3181" t="s">
        <v>3615</v>
      </c>
      <c r="P8" s="3188">
        <v>45047</v>
      </c>
      <c r="Q8" s="3176" t="s">
        <v>3616</v>
      </c>
      <c r="R8" s="3181" t="s">
        <v>3617</v>
      </c>
      <c r="S8" s="3181"/>
      <c r="T8" s="3186">
        <v>0</v>
      </c>
      <c r="U8" s="3176" t="s">
        <v>3618</v>
      </c>
      <c r="V8" s="3214" t="e">
        <v>#DIV/0!</v>
      </c>
      <c r="W8" s="3181" t="s">
        <v>3580</v>
      </c>
    </row>
    <row r="9" spans="1:23" ht="60" customHeight="1">
      <c r="A9" s="3176">
        <v>547</v>
      </c>
      <c r="B9" s="3176" t="s">
        <v>3619</v>
      </c>
      <c r="C9" s="3176" t="s">
        <v>3620</v>
      </c>
      <c r="D9" s="3181" t="s">
        <v>2717</v>
      </c>
      <c r="E9" s="3181" t="s">
        <v>3621</v>
      </c>
      <c r="F9" s="3181" t="s">
        <v>3622</v>
      </c>
      <c r="G9" s="3176" t="s">
        <v>3623</v>
      </c>
      <c r="H9" s="3181"/>
      <c r="I9" s="3181">
        <v>10575.42</v>
      </c>
      <c r="J9" s="3182">
        <v>8879.14</v>
      </c>
      <c r="K9" s="3181">
        <v>1696.2800000000002</v>
      </c>
      <c r="L9" s="3181">
        <v>46940.2</v>
      </c>
      <c r="M9" s="3183">
        <v>44386</v>
      </c>
      <c r="N9" s="3184">
        <v>52865.705462465958</v>
      </c>
      <c r="O9" s="3181" t="s">
        <v>3624</v>
      </c>
      <c r="P9" s="3188">
        <v>45078</v>
      </c>
      <c r="Q9" s="3176" t="s">
        <v>3625</v>
      </c>
      <c r="R9" s="3181" t="s">
        <v>3626</v>
      </c>
      <c r="S9" s="3181"/>
      <c r="T9" s="3186">
        <v>0</v>
      </c>
      <c r="U9" s="3181"/>
      <c r="V9" s="3187" t="e">
        <v>#DIV/0!</v>
      </c>
      <c r="W9" s="3181" t="s">
        <v>3627</v>
      </c>
    </row>
    <row r="10" spans="1:23" ht="60" hidden="1" customHeight="1">
      <c r="A10" s="3191">
        <v>5360.09</v>
      </c>
      <c r="B10" s="3183" t="s">
        <v>3628</v>
      </c>
      <c r="C10" s="3183" t="s">
        <v>3629</v>
      </c>
      <c r="D10" s="3183" t="s">
        <v>2717</v>
      </c>
      <c r="E10" s="3192" t="s">
        <v>3630</v>
      </c>
      <c r="F10" s="3192" t="s">
        <v>3631</v>
      </c>
      <c r="G10" s="3183" t="s">
        <v>2603</v>
      </c>
      <c r="H10" s="3192"/>
      <c r="I10" s="3192">
        <v>1062.74</v>
      </c>
      <c r="J10" s="3193">
        <v>1062.74</v>
      </c>
      <c r="K10" s="3192"/>
      <c r="L10" s="3192">
        <v>3029.6</v>
      </c>
      <c r="M10" s="3183">
        <v>28507</v>
      </c>
      <c r="N10" s="3184">
        <v>28507.443024634435</v>
      </c>
      <c r="O10" s="3183" t="s">
        <v>3632</v>
      </c>
      <c r="P10" s="3194">
        <v>45139</v>
      </c>
      <c r="Q10" s="3183" t="s">
        <v>3633</v>
      </c>
      <c r="R10" s="3192" t="s">
        <v>3634</v>
      </c>
      <c r="S10" s="3192">
        <v>3462</v>
      </c>
      <c r="T10" s="3195">
        <v>32576.171029602727</v>
      </c>
      <c r="U10" s="3192"/>
      <c r="V10" s="3196">
        <v>0.87510109763142685</v>
      </c>
      <c r="W10" s="3192" t="s">
        <v>3588</v>
      </c>
    </row>
    <row r="11" spans="1:23" ht="60" hidden="1" customHeight="1">
      <c r="A11" s="3176">
        <v>570</v>
      </c>
      <c r="B11" s="3181" t="s">
        <v>3635</v>
      </c>
      <c r="C11" s="3176" t="s">
        <v>3636</v>
      </c>
      <c r="D11" s="3181" t="s">
        <v>2717</v>
      </c>
      <c r="E11" s="3181" t="s">
        <v>3637</v>
      </c>
      <c r="F11" s="3181" t="s">
        <v>3593</v>
      </c>
      <c r="G11" s="3176" t="s">
        <v>2603</v>
      </c>
      <c r="H11" s="3181"/>
      <c r="I11" s="3181">
        <v>2240.2199999999998</v>
      </c>
      <c r="J11" s="3182">
        <v>2240.2199999999998</v>
      </c>
      <c r="K11" s="3181"/>
      <c r="L11" s="3181">
        <v>6973.8</v>
      </c>
      <c r="M11" s="3183">
        <v>31130</v>
      </c>
      <c r="N11" s="3184">
        <v>31129.978305702123</v>
      </c>
      <c r="O11" s="3176" t="s">
        <v>3638</v>
      </c>
      <c r="P11" s="3189">
        <v>45174</v>
      </c>
      <c r="Q11" s="3176" t="s">
        <v>3639</v>
      </c>
      <c r="R11" s="3181"/>
      <c r="S11" s="3181">
        <v>10748.61</v>
      </c>
      <c r="T11" s="3186">
        <v>47980.15373490104</v>
      </c>
      <c r="U11" s="3181"/>
      <c r="V11" s="3187">
        <v>0.64880947396919231</v>
      </c>
      <c r="W11" s="3192" t="s">
        <v>3588</v>
      </c>
    </row>
    <row r="12" spans="1:23" s="3201" customFormat="1" ht="60" customHeight="1">
      <c r="A12" s="3178">
        <v>573</v>
      </c>
      <c r="B12" s="3178" t="s">
        <v>3640</v>
      </c>
      <c r="C12" s="3178" t="s">
        <v>3641</v>
      </c>
      <c r="D12" s="3197" t="s">
        <v>2717</v>
      </c>
      <c r="E12" s="3197" t="s">
        <v>3637</v>
      </c>
      <c r="F12" s="3178" t="s">
        <v>3642</v>
      </c>
      <c r="G12" s="3178" t="s">
        <v>2603</v>
      </c>
      <c r="H12" s="3197"/>
      <c r="I12" s="3198">
        <v>17065.64</v>
      </c>
      <c r="J12" s="3198">
        <v>10965.63</v>
      </c>
      <c r="K12" s="3197">
        <v>6100.01</v>
      </c>
      <c r="L12" s="3197">
        <v>49376.334179999998</v>
      </c>
      <c r="M12" s="3178">
        <v>28933</v>
      </c>
      <c r="N12" s="3184">
        <v>45028.269401758036</v>
      </c>
      <c r="O12" s="3197" t="s">
        <v>3643</v>
      </c>
      <c r="P12" s="3211">
        <v>45170</v>
      </c>
      <c r="Q12" s="3197" t="s">
        <v>3644</v>
      </c>
      <c r="R12" s="3197" t="s">
        <v>3568</v>
      </c>
      <c r="S12" s="3197">
        <v>51799.726999999999</v>
      </c>
      <c r="T12" s="3184">
        <v>47238.258996519129</v>
      </c>
      <c r="U12" s="3197"/>
      <c r="V12" s="3200">
        <v>0.95321610826250103</v>
      </c>
      <c r="W12" s="3197" t="s">
        <v>3645</v>
      </c>
    </row>
    <row r="13" spans="1:23" ht="60" customHeight="1">
      <c r="A13" s="3176">
        <v>580</v>
      </c>
      <c r="B13" s="3176" t="s">
        <v>3646</v>
      </c>
      <c r="C13" s="3181" t="s">
        <v>3647</v>
      </c>
      <c r="D13" s="3181" t="s">
        <v>2717</v>
      </c>
      <c r="E13" s="3181" t="s">
        <v>3648</v>
      </c>
      <c r="F13" s="3181" t="s">
        <v>3649</v>
      </c>
      <c r="G13" s="3176" t="s">
        <v>3650</v>
      </c>
      <c r="H13" s="3181"/>
      <c r="I13" s="3182">
        <v>26969.93</v>
      </c>
      <c r="J13" s="3182">
        <v>17023.25</v>
      </c>
      <c r="K13" s="3181">
        <v>9946.68</v>
      </c>
      <c r="L13" s="3181">
        <v>68966.4856</v>
      </c>
      <c r="M13" s="3183">
        <v>25572</v>
      </c>
      <c r="N13" s="3184">
        <v>40513.11330092667</v>
      </c>
      <c r="O13" s="3181" t="s">
        <v>3643</v>
      </c>
      <c r="P13" s="3189">
        <v>45208</v>
      </c>
      <c r="Q13" s="3176" t="s">
        <v>3651</v>
      </c>
      <c r="R13" s="3181" t="s">
        <v>3652</v>
      </c>
      <c r="S13" s="3181"/>
      <c r="T13" s="3186">
        <v>0</v>
      </c>
      <c r="U13" s="3181" t="s">
        <v>3579</v>
      </c>
      <c r="V13" s="3187" t="e">
        <v>#DIV/0!</v>
      </c>
      <c r="W13" s="3181" t="s">
        <v>3653</v>
      </c>
    </row>
    <row r="14" spans="1:23" ht="60" customHeight="1">
      <c r="A14" s="3176">
        <v>595</v>
      </c>
      <c r="B14" s="3176" t="s">
        <v>3654</v>
      </c>
      <c r="C14" s="3176" t="s">
        <v>3655</v>
      </c>
      <c r="D14" s="3181" t="s">
        <v>2737</v>
      </c>
      <c r="E14" s="3181" t="s">
        <v>3656</v>
      </c>
      <c r="F14" s="3181" t="s">
        <v>3657</v>
      </c>
      <c r="G14" s="3176" t="s">
        <v>3658</v>
      </c>
      <c r="H14" s="3181"/>
      <c r="I14" s="3181">
        <v>10758.33</v>
      </c>
      <c r="J14" s="3182">
        <v>10758.33</v>
      </c>
      <c r="K14" s="3181"/>
      <c r="L14" s="3181">
        <v>35999.89</v>
      </c>
      <c r="M14" s="3183">
        <v>33462</v>
      </c>
      <c r="N14" s="3184">
        <v>33462.340344644566</v>
      </c>
      <c r="O14" s="3181" t="s">
        <v>0</v>
      </c>
      <c r="P14" s="3189">
        <v>45287</v>
      </c>
      <c r="Q14" s="3176" t="s">
        <v>3659</v>
      </c>
      <c r="R14" s="3181" t="s">
        <v>3660</v>
      </c>
      <c r="S14" s="3181">
        <v>36889.193399189993</v>
      </c>
      <c r="T14" s="3186">
        <v>34288.958787460499</v>
      </c>
      <c r="U14" s="3181"/>
      <c r="V14" s="3187">
        <v>0.97589257673469432</v>
      </c>
      <c r="W14" s="3181" t="s">
        <v>3645</v>
      </c>
    </row>
    <row r="15" spans="1:23" ht="60" hidden="1" customHeight="1">
      <c r="A15" s="3176">
        <v>596</v>
      </c>
      <c r="B15" s="3176" t="s">
        <v>3661</v>
      </c>
      <c r="C15" s="3176" t="s">
        <v>3662</v>
      </c>
      <c r="D15" s="3181" t="s">
        <v>2717</v>
      </c>
      <c r="E15" s="3181" t="s">
        <v>3663</v>
      </c>
      <c r="F15" s="3181" t="s">
        <v>0</v>
      </c>
      <c r="G15" s="3176" t="s">
        <v>2603</v>
      </c>
      <c r="H15" s="3181"/>
      <c r="I15" s="3181">
        <v>339.71</v>
      </c>
      <c r="J15" s="3182">
        <v>339.71</v>
      </c>
      <c r="K15" s="3181"/>
      <c r="L15" s="3181">
        <v>2816.2</v>
      </c>
      <c r="M15" s="3183">
        <v>82900</v>
      </c>
      <c r="N15" s="3184">
        <v>82900.12069117777</v>
      </c>
      <c r="O15" s="3176" t="s">
        <v>3664</v>
      </c>
      <c r="P15" s="3189">
        <v>45295</v>
      </c>
      <c r="Q15" s="3176" t="s">
        <v>3665</v>
      </c>
      <c r="R15" s="3181" t="s">
        <v>3666</v>
      </c>
      <c r="S15" s="3181">
        <v>1323.0686000000001</v>
      </c>
      <c r="T15" s="3186">
        <v>38947.001854522976</v>
      </c>
      <c r="U15" s="3181"/>
      <c r="V15" s="3187">
        <v>2.128536645794481</v>
      </c>
      <c r="W15" s="3181" t="s">
        <v>3588</v>
      </c>
    </row>
    <row r="16" spans="1:23" ht="60" hidden="1" customHeight="1">
      <c r="A16" s="3176">
        <v>600</v>
      </c>
      <c r="B16" s="3176" t="s">
        <v>3667</v>
      </c>
      <c r="C16" s="3176" t="s">
        <v>3668</v>
      </c>
      <c r="D16" s="3181" t="s">
        <v>2737</v>
      </c>
      <c r="E16" s="3181" t="s">
        <v>3669</v>
      </c>
      <c r="F16" s="3176" t="s">
        <v>3670</v>
      </c>
      <c r="G16" s="3176" t="s">
        <v>2603</v>
      </c>
      <c r="H16" s="3181"/>
      <c r="I16" s="3181">
        <v>106.39</v>
      </c>
      <c r="J16" s="3182">
        <v>106.39</v>
      </c>
      <c r="K16" s="3181"/>
      <c r="L16" s="3181">
        <v>1609.0308600000001</v>
      </c>
      <c r="M16" s="3183">
        <v>151239</v>
      </c>
      <c r="N16" s="3184">
        <v>151238.91907134131</v>
      </c>
      <c r="O16" s="3181" t="s">
        <v>3593</v>
      </c>
      <c r="P16" s="3189">
        <v>45306</v>
      </c>
      <c r="Q16" s="3176" t="s">
        <v>3671</v>
      </c>
      <c r="R16" s="3181" t="s">
        <v>3617</v>
      </c>
      <c r="S16" s="3181">
        <v>644.32979999999998</v>
      </c>
      <c r="T16" s="3186">
        <v>60563.004041733242</v>
      </c>
      <c r="U16" s="3181"/>
      <c r="V16" s="3187">
        <v>2.4972162703013274</v>
      </c>
      <c r="W16" s="3181" t="s">
        <v>3588</v>
      </c>
    </row>
    <row r="17" spans="1:23" ht="60" customHeight="1">
      <c r="A17" s="3176">
        <v>604</v>
      </c>
      <c r="B17" s="3176" t="s">
        <v>3672</v>
      </c>
      <c r="C17" s="3181" t="s">
        <v>3673</v>
      </c>
      <c r="D17" s="3181" t="s">
        <v>2717</v>
      </c>
      <c r="E17" s="3181" t="s">
        <v>3674</v>
      </c>
      <c r="F17" s="3176" t="s">
        <v>3675</v>
      </c>
      <c r="G17" s="3176" t="s">
        <v>2603</v>
      </c>
      <c r="H17" s="3181">
        <v>30704.67</v>
      </c>
      <c r="I17" s="3182">
        <v>49462.65</v>
      </c>
      <c r="J17" s="3182">
        <v>36955.57</v>
      </c>
      <c r="K17" s="3181">
        <v>12507.08</v>
      </c>
      <c r="L17" s="3181">
        <v>84200</v>
      </c>
      <c r="M17" s="3183">
        <v>17023</v>
      </c>
      <c r="N17" s="3184">
        <v>22784.116169768182</v>
      </c>
      <c r="O17" s="3181" t="s">
        <v>3676</v>
      </c>
      <c r="P17" s="3189" t="s">
        <v>3677</v>
      </c>
      <c r="Q17" s="3176" t="s">
        <v>3678</v>
      </c>
      <c r="R17" s="3181" t="s">
        <v>3679</v>
      </c>
      <c r="S17" s="3181"/>
      <c r="T17" s="3186">
        <v>0</v>
      </c>
      <c r="U17" s="3181"/>
      <c r="V17" s="3187" t="e">
        <v>#DIV/0!</v>
      </c>
      <c r="W17" s="3181" t="s">
        <v>3610</v>
      </c>
    </row>
    <row r="18" spans="1:23" s="3201" customFormat="1" ht="60" customHeight="1">
      <c r="A18" s="3178">
        <v>605</v>
      </c>
      <c r="B18" s="3178" t="s">
        <v>3680</v>
      </c>
      <c r="C18" s="3178" t="s">
        <v>3681</v>
      </c>
      <c r="D18" s="3197" t="s">
        <v>2737</v>
      </c>
      <c r="E18" s="3197" t="s">
        <v>3656</v>
      </c>
      <c r="F18" s="3197" t="s">
        <v>3657</v>
      </c>
      <c r="G18" s="3178" t="s">
        <v>3682</v>
      </c>
      <c r="H18" s="3197"/>
      <c r="I18" s="3197">
        <v>15106.53</v>
      </c>
      <c r="J18" s="3198">
        <v>15106.53</v>
      </c>
      <c r="K18" s="3197"/>
      <c r="L18" s="3197">
        <v>64349.75</v>
      </c>
      <c r="M18" s="3178">
        <v>42597</v>
      </c>
      <c r="N18" s="3184">
        <v>42597.307257192748</v>
      </c>
      <c r="O18" s="3197" t="s">
        <v>0</v>
      </c>
      <c r="P18" s="3199">
        <v>45292</v>
      </c>
      <c r="Q18" s="3178" t="s">
        <v>3683</v>
      </c>
      <c r="R18" s="3197" t="s">
        <v>3660</v>
      </c>
      <c r="S18" s="3197">
        <v>78939.879110649985</v>
      </c>
      <c r="T18" s="3184">
        <v>52255.46774186394</v>
      </c>
      <c r="U18" s="3197"/>
      <c r="V18" s="3200">
        <v>0.81517416450310232</v>
      </c>
      <c r="W18" s="3197" t="s">
        <v>3645</v>
      </c>
    </row>
    <row r="19" spans="1:23" ht="60" hidden="1" customHeight="1">
      <c r="A19" s="3176">
        <v>606</v>
      </c>
      <c r="B19" s="3181" t="s">
        <v>3684</v>
      </c>
      <c r="C19" s="3181" t="s">
        <v>3685</v>
      </c>
      <c r="D19" s="3181" t="s">
        <v>2730</v>
      </c>
      <c r="E19" s="3181" t="s">
        <v>3686</v>
      </c>
      <c r="F19" s="3176" t="s">
        <v>3687</v>
      </c>
      <c r="G19" s="3176" t="s">
        <v>3688</v>
      </c>
      <c r="H19" s="3202"/>
      <c r="I19" s="3181">
        <v>1748.02</v>
      </c>
      <c r="J19" s="3182">
        <v>1748.02</v>
      </c>
      <c r="K19" s="3181"/>
      <c r="L19" s="3181">
        <v>3309</v>
      </c>
      <c r="M19" s="3183">
        <v>18930</v>
      </c>
      <c r="N19" s="3184">
        <v>18929.989359389481</v>
      </c>
      <c r="O19" s="3176" t="s">
        <v>3689</v>
      </c>
      <c r="P19" s="3185">
        <v>45292</v>
      </c>
      <c r="Q19" s="3181" t="s">
        <v>3690</v>
      </c>
      <c r="R19" s="3181" t="s">
        <v>3691</v>
      </c>
      <c r="S19" s="3181">
        <v>4726.1216999999997</v>
      </c>
      <c r="T19" s="3186">
        <v>27037.000148739713</v>
      </c>
      <c r="U19" s="3181"/>
      <c r="V19" s="3187">
        <v>0.7001512466342118</v>
      </c>
      <c r="W19" s="3181" t="s">
        <v>3588</v>
      </c>
    </row>
    <row r="20" spans="1:23" ht="60" hidden="1" customHeight="1">
      <c r="A20" s="3176">
        <v>607</v>
      </c>
      <c r="B20" s="3176" t="s">
        <v>3692</v>
      </c>
      <c r="C20" s="3181" t="s">
        <v>3693</v>
      </c>
      <c r="D20" s="3181" t="s">
        <v>2730</v>
      </c>
      <c r="E20" s="3181" t="s">
        <v>3686</v>
      </c>
      <c r="F20" s="3176" t="s">
        <v>3687</v>
      </c>
      <c r="G20" s="3176" t="s">
        <v>2603</v>
      </c>
      <c r="H20" s="3202"/>
      <c r="I20" s="3181">
        <v>291.92</v>
      </c>
      <c r="J20" s="3181">
        <v>291.92</v>
      </c>
      <c r="K20" s="3181"/>
      <c r="L20" s="3181">
        <v>1277.5</v>
      </c>
      <c r="M20" s="3183">
        <v>43762</v>
      </c>
      <c r="N20" s="3184">
        <v>43761.989586187992</v>
      </c>
      <c r="O20" s="3176" t="s">
        <v>3694</v>
      </c>
      <c r="P20" s="3185">
        <v>45292</v>
      </c>
      <c r="Q20" s="3181" t="s">
        <v>3690</v>
      </c>
      <c r="R20" s="3181" t="s">
        <v>3691</v>
      </c>
      <c r="S20" s="3181">
        <v>814.61249999999995</v>
      </c>
      <c r="T20" s="3186">
        <v>27905.33365305563</v>
      </c>
      <c r="U20" s="3181"/>
      <c r="V20" s="3187">
        <v>1.5682302935444767</v>
      </c>
      <c r="W20" s="3181" t="s">
        <v>3588</v>
      </c>
    </row>
    <row r="21" spans="1:23" ht="60" hidden="1" customHeight="1">
      <c r="A21" s="3176">
        <v>608</v>
      </c>
      <c r="B21" s="3176" t="s">
        <v>3695</v>
      </c>
      <c r="C21" s="3181" t="s">
        <v>3696</v>
      </c>
      <c r="D21" s="3181" t="s">
        <v>2730</v>
      </c>
      <c r="E21" s="3181" t="s">
        <v>3686</v>
      </c>
      <c r="F21" s="3176" t="s">
        <v>3687</v>
      </c>
      <c r="G21" s="3176" t="s">
        <v>2603</v>
      </c>
      <c r="H21" s="3202"/>
      <c r="I21" s="3181">
        <v>231.49</v>
      </c>
      <c r="J21" s="3181">
        <v>231.49</v>
      </c>
      <c r="K21" s="3181"/>
      <c r="L21" s="3181">
        <v>974</v>
      </c>
      <c r="M21" s="3183">
        <v>42075</v>
      </c>
      <c r="N21" s="3184">
        <v>42075.251630739993</v>
      </c>
      <c r="O21" s="3176" t="s">
        <v>3697</v>
      </c>
      <c r="P21" s="3185">
        <v>45292</v>
      </c>
      <c r="Q21" s="3181" t="s">
        <v>3690</v>
      </c>
      <c r="R21" s="3181" t="s">
        <v>3691</v>
      </c>
      <c r="S21" s="3181">
        <v>646.01139999999998</v>
      </c>
      <c r="T21" s="3186">
        <v>27906.665514709057</v>
      </c>
      <c r="U21" s="3181"/>
      <c r="V21" s="3187">
        <v>1.5077133313746476</v>
      </c>
      <c r="W21" s="3181" t="s">
        <v>3588</v>
      </c>
    </row>
    <row r="22" spans="1:23" ht="60" customHeight="1">
      <c r="A22" s="3176">
        <v>614</v>
      </c>
      <c r="B22" s="3176" t="s">
        <v>3698</v>
      </c>
      <c r="C22" s="3181" t="s">
        <v>3699</v>
      </c>
      <c r="D22" s="3181" t="s">
        <v>2730</v>
      </c>
      <c r="E22" s="3181" t="s">
        <v>3700</v>
      </c>
      <c r="F22" s="3181" t="s">
        <v>3701</v>
      </c>
      <c r="G22" s="3176" t="s">
        <v>2603</v>
      </c>
      <c r="H22" s="3181"/>
      <c r="I22" s="3181">
        <v>6871.92</v>
      </c>
      <c r="J22" s="3182"/>
      <c r="K22" s="3181"/>
      <c r="L22" s="3181">
        <v>23500</v>
      </c>
      <c r="M22" s="3183">
        <v>34197</v>
      </c>
      <c r="N22" s="3184" t="e">
        <v>#DIV/0!</v>
      </c>
      <c r="O22" s="3181" t="s">
        <v>0</v>
      </c>
      <c r="P22" s="3185">
        <v>45323</v>
      </c>
      <c r="Q22" s="3181" t="s">
        <v>3702</v>
      </c>
      <c r="R22" s="3181" t="s">
        <v>3703</v>
      </c>
      <c r="S22" s="3181"/>
      <c r="T22" s="3186" t="e">
        <v>#DIV/0!</v>
      </c>
      <c r="U22" s="3181"/>
      <c r="V22" s="3187" t="e">
        <v>#DIV/0!</v>
      </c>
      <c r="W22" s="3181" t="s">
        <v>3645</v>
      </c>
    </row>
    <row r="23" spans="1:23" ht="60" hidden="1" customHeight="1">
      <c r="A23" s="3176">
        <v>616</v>
      </c>
      <c r="B23" s="3176" t="s">
        <v>3704</v>
      </c>
      <c r="C23" s="3181" t="s">
        <v>3705</v>
      </c>
      <c r="D23" s="3181" t="s">
        <v>2717</v>
      </c>
      <c r="E23" s="3181" t="s">
        <v>3706</v>
      </c>
      <c r="F23" s="3176" t="s">
        <v>3707</v>
      </c>
      <c r="G23" s="3176" t="s">
        <v>3708</v>
      </c>
      <c r="H23" s="3181"/>
      <c r="I23" s="3182">
        <v>25597.410000000003</v>
      </c>
      <c r="J23" s="3182">
        <v>10003.280000000001</v>
      </c>
      <c r="K23" s="3182">
        <v>15594.130000000001</v>
      </c>
      <c r="L23" s="3181">
        <v>28000</v>
      </c>
      <c r="M23" s="3183">
        <v>10939</v>
      </c>
      <c r="N23" s="3184">
        <v>27990.81901136427</v>
      </c>
      <c r="O23" s="3176" t="s">
        <v>3709</v>
      </c>
      <c r="P23" s="3189">
        <v>45329</v>
      </c>
      <c r="Q23" s="3176" t="s">
        <v>3710</v>
      </c>
      <c r="R23" s="3181" t="s">
        <v>3711</v>
      </c>
      <c r="S23" s="3181">
        <v>35000</v>
      </c>
      <c r="T23" s="3186">
        <v>34988.52376420534</v>
      </c>
      <c r="U23" s="3181" t="s">
        <v>3712</v>
      </c>
      <c r="V23" s="3187">
        <v>0.8</v>
      </c>
      <c r="W23" s="3181" t="s">
        <v>3588</v>
      </c>
    </row>
    <row r="24" spans="1:23" ht="60" hidden="1" customHeight="1">
      <c r="A24" s="3176">
        <v>617</v>
      </c>
      <c r="B24" s="3181" t="s">
        <v>3713</v>
      </c>
      <c r="C24" s="3181" t="s">
        <v>3714</v>
      </c>
      <c r="D24" s="3181" t="s">
        <v>2647</v>
      </c>
      <c r="E24" s="3181" t="s">
        <v>3715</v>
      </c>
      <c r="F24" s="3181" t="s">
        <v>3593</v>
      </c>
      <c r="G24" s="3176" t="s">
        <v>2603</v>
      </c>
      <c r="H24" s="3181">
        <v>740.52</v>
      </c>
      <c r="I24" s="3181">
        <v>878.04</v>
      </c>
      <c r="J24" s="3182"/>
      <c r="K24" s="3181"/>
      <c r="L24" s="3181">
        <v>10940.248</v>
      </c>
      <c r="M24" s="3183">
        <v>124599</v>
      </c>
      <c r="N24" s="3184" t="e">
        <v>#DIV/0!</v>
      </c>
      <c r="O24" s="3176" t="s">
        <v>3716</v>
      </c>
      <c r="P24" s="3189">
        <v>45342</v>
      </c>
      <c r="Q24" s="3176" t="s">
        <v>3717</v>
      </c>
      <c r="R24" s="3181"/>
      <c r="S24" s="3181">
        <v>13675.31</v>
      </c>
      <c r="T24" s="3186" t="e">
        <v>#DIV/0!</v>
      </c>
      <c r="U24" s="3181"/>
      <c r="V24" s="3187">
        <v>0.8</v>
      </c>
      <c r="W24" s="3181" t="s">
        <v>3588</v>
      </c>
    </row>
    <row r="25" spans="1:23" ht="60" customHeight="1">
      <c r="A25" s="3176">
        <v>619</v>
      </c>
      <c r="B25" s="3176" t="s">
        <v>3718</v>
      </c>
      <c r="C25" s="3181" t="s">
        <v>3719</v>
      </c>
      <c r="D25" s="3181" t="s">
        <v>2737</v>
      </c>
      <c r="E25" s="3181" t="s">
        <v>3720</v>
      </c>
      <c r="F25" s="3181" t="s">
        <v>3721</v>
      </c>
      <c r="G25" s="3176" t="s">
        <v>2603</v>
      </c>
      <c r="H25" s="3181"/>
      <c r="I25" s="3182">
        <v>4848.05</v>
      </c>
      <c r="J25" s="3182">
        <v>4848.05</v>
      </c>
      <c r="K25" s="3181"/>
      <c r="L25" s="3181">
        <v>15028.96</v>
      </c>
      <c r="M25" s="3183">
        <v>31000</v>
      </c>
      <c r="N25" s="3184">
        <v>31000.01031342498</v>
      </c>
      <c r="O25" s="3181" t="s">
        <v>0</v>
      </c>
      <c r="P25" s="3185">
        <v>45231</v>
      </c>
      <c r="Q25" s="3181" t="s">
        <v>3722</v>
      </c>
      <c r="R25" s="3181" t="s">
        <v>3568</v>
      </c>
      <c r="S25" s="3181"/>
      <c r="T25" s="3186">
        <v>0</v>
      </c>
      <c r="U25" s="3181"/>
      <c r="V25" s="3187" t="e">
        <v>#DIV/0!</v>
      </c>
      <c r="W25" s="3181" t="s">
        <v>3645</v>
      </c>
    </row>
    <row r="26" spans="1:23" ht="60" customHeight="1">
      <c r="A26" s="3176">
        <v>624</v>
      </c>
      <c r="B26" s="3176" t="s">
        <v>3723</v>
      </c>
      <c r="C26" s="3176" t="s">
        <v>3724</v>
      </c>
      <c r="D26" s="3176" t="s">
        <v>2730</v>
      </c>
      <c r="E26" s="3181" t="s">
        <v>3725</v>
      </c>
      <c r="F26" s="3176" t="s">
        <v>3726</v>
      </c>
      <c r="G26" s="3176" t="s">
        <v>2603</v>
      </c>
      <c r="H26" s="3181"/>
      <c r="I26" s="3181">
        <v>5054.5200000000004</v>
      </c>
      <c r="J26" s="3182">
        <v>1430.31</v>
      </c>
      <c r="K26" s="3182">
        <v>3624.2100000000005</v>
      </c>
      <c r="L26" s="3181">
        <v>34427.32</v>
      </c>
      <c r="M26" s="3176">
        <v>68112</v>
      </c>
      <c r="N26" s="3197">
        <v>240698</v>
      </c>
      <c r="O26" s="3176" t="s">
        <v>0</v>
      </c>
      <c r="P26" s="3188">
        <v>45352</v>
      </c>
      <c r="Q26" s="3176" t="s">
        <v>3727</v>
      </c>
      <c r="R26" s="3203" t="s">
        <v>3703</v>
      </c>
      <c r="S26" s="3181"/>
      <c r="T26" s="3181"/>
      <c r="U26" s="3181"/>
      <c r="V26" s="3181"/>
      <c r="W26" s="3181" t="s">
        <v>3645</v>
      </c>
    </row>
    <row r="27" spans="1:23" ht="60" customHeight="1">
      <c r="A27" s="3176">
        <v>625</v>
      </c>
      <c r="B27" s="3176" t="s">
        <v>3728</v>
      </c>
      <c r="C27" s="3181" t="s">
        <v>3729</v>
      </c>
      <c r="D27" s="3181" t="s">
        <v>2682</v>
      </c>
      <c r="E27" s="3181" t="s">
        <v>3730</v>
      </c>
      <c r="F27" s="3181" t="s">
        <v>3731</v>
      </c>
      <c r="G27" s="3176" t="s">
        <v>3565</v>
      </c>
      <c r="H27" s="3181"/>
      <c r="I27" s="3190">
        <v>28571.759999999998</v>
      </c>
      <c r="J27" s="3182">
        <v>18033</v>
      </c>
      <c r="K27" s="3181">
        <v>10538.76</v>
      </c>
      <c r="L27" s="3181">
        <v>110090</v>
      </c>
      <c r="M27" s="3181">
        <v>38531</v>
      </c>
      <c r="N27" s="3197">
        <v>61049</v>
      </c>
      <c r="O27" s="3176" t="s">
        <v>3732</v>
      </c>
      <c r="P27" s="3189" t="s">
        <v>3733</v>
      </c>
      <c r="Q27" s="3176" t="s">
        <v>3734</v>
      </c>
      <c r="R27" s="3203" t="s">
        <v>3735</v>
      </c>
      <c r="S27" s="3181"/>
      <c r="T27" s="3181"/>
      <c r="U27" s="3181"/>
      <c r="V27" s="3181"/>
      <c r="W27" s="3176" t="s">
        <v>3736</v>
      </c>
    </row>
    <row r="28" spans="1:23" ht="60" customHeight="1">
      <c r="A28" s="3183">
        <v>626</v>
      </c>
      <c r="B28" s="3183" t="s">
        <v>3737</v>
      </c>
      <c r="C28" s="3192" t="s">
        <v>3738</v>
      </c>
      <c r="D28" s="3192" t="s">
        <v>2730</v>
      </c>
      <c r="E28" s="3192" t="s">
        <v>3686</v>
      </c>
      <c r="F28" s="3192" t="s">
        <v>3739</v>
      </c>
      <c r="G28" s="3183" t="s">
        <v>2603</v>
      </c>
      <c r="H28" s="3192"/>
      <c r="I28" s="3193">
        <v>10082.83</v>
      </c>
      <c r="J28" s="3193">
        <v>10082.83</v>
      </c>
      <c r="K28" s="3192"/>
      <c r="L28" s="3204">
        <v>59069.251270000001</v>
      </c>
      <c r="M28" s="3183">
        <v>58584</v>
      </c>
      <c r="N28" s="3184">
        <v>58583.999998016428</v>
      </c>
      <c r="O28" s="3183" t="s">
        <v>3740</v>
      </c>
      <c r="P28" s="3205" t="s">
        <v>3741</v>
      </c>
      <c r="Q28" s="3183" t="s">
        <v>3742</v>
      </c>
      <c r="R28" s="3192" t="s">
        <v>3743</v>
      </c>
      <c r="S28" s="3192"/>
      <c r="T28" s="3195">
        <v>0</v>
      </c>
      <c r="U28" s="3192"/>
      <c r="V28" s="3196" t="e">
        <v>#DIV/0!</v>
      </c>
      <c r="W28" s="3192" t="s">
        <v>3645</v>
      </c>
    </row>
    <row r="29" spans="1:23" ht="60" hidden="1" customHeight="1">
      <c r="A29" s="3176">
        <v>627</v>
      </c>
      <c r="B29" s="3176" t="s">
        <v>3744</v>
      </c>
      <c r="C29" s="3176" t="s">
        <v>3745</v>
      </c>
      <c r="D29" s="3176" t="s">
        <v>2717</v>
      </c>
      <c r="E29" s="3176" t="s">
        <v>3746</v>
      </c>
      <c r="F29" s="3176" t="s">
        <v>3747</v>
      </c>
      <c r="G29" s="3176" t="s">
        <v>3748</v>
      </c>
      <c r="H29" s="3176"/>
      <c r="I29" s="3206">
        <v>6158.34</v>
      </c>
      <c r="J29" s="3177">
        <v>6029.51</v>
      </c>
      <c r="K29" s="3207">
        <v>128.83000000000001</v>
      </c>
      <c r="L29" s="3208">
        <v>35188.322</v>
      </c>
      <c r="M29" s="3176">
        <v>57139</v>
      </c>
      <c r="N29" s="3178">
        <v>58360</v>
      </c>
      <c r="O29" s="3209" t="s">
        <v>3749</v>
      </c>
      <c r="P29" s="3179">
        <v>45401</v>
      </c>
      <c r="Q29" s="3209" t="s">
        <v>3750</v>
      </c>
      <c r="R29" s="3203" t="s">
        <v>3751</v>
      </c>
      <c r="S29" s="3176">
        <v>32680.46</v>
      </c>
      <c r="T29" s="3176">
        <v>53067</v>
      </c>
      <c r="U29" s="3176"/>
      <c r="V29" s="3187">
        <v>1.08</v>
      </c>
      <c r="W29" s="3176" t="s">
        <v>3588</v>
      </c>
    </row>
    <row r="30" spans="1:23" ht="60" hidden="1" customHeight="1">
      <c r="A30" s="3176">
        <v>628</v>
      </c>
      <c r="B30" s="3176" t="s">
        <v>3752</v>
      </c>
      <c r="C30" s="3176" t="s">
        <v>3752</v>
      </c>
      <c r="D30" s="3176" t="s">
        <v>2717</v>
      </c>
      <c r="E30" s="3176" t="s">
        <v>3746</v>
      </c>
      <c r="F30" s="3176" t="s">
        <v>3747</v>
      </c>
      <c r="G30" s="3176" t="s">
        <v>2603</v>
      </c>
      <c r="H30" s="3181"/>
      <c r="I30" s="3181">
        <v>2773.32</v>
      </c>
      <c r="J30" s="3182">
        <v>2773.32</v>
      </c>
      <c r="K30" s="3181"/>
      <c r="L30" s="3181">
        <v>22441.69</v>
      </c>
      <c r="M30" s="3183">
        <v>80920</v>
      </c>
      <c r="N30" s="3184">
        <v>80919.944326655401</v>
      </c>
      <c r="O30" s="3176" t="s">
        <v>3753</v>
      </c>
      <c r="P30" s="3189">
        <v>45272</v>
      </c>
      <c r="Q30" s="3210" t="s">
        <v>3754</v>
      </c>
      <c r="R30" s="3203" t="s">
        <v>3751</v>
      </c>
      <c r="S30" s="3181">
        <v>14671.69</v>
      </c>
      <c r="T30" s="3186">
        <v>52902.982706647628</v>
      </c>
      <c r="U30" s="3181"/>
      <c r="V30" s="3187">
        <v>1.5295913422380105</v>
      </c>
      <c r="W30" s="3176" t="s">
        <v>3588</v>
      </c>
    </row>
    <row r="31" spans="1:23" ht="60" customHeight="1">
      <c r="A31" s="3176">
        <v>631</v>
      </c>
      <c r="B31" s="3181" t="s">
        <v>3755</v>
      </c>
      <c r="C31" s="3176" t="s">
        <v>3756</v>
      </c>
      <c r="D31" s="3181" t="s">
        <v>3757</v>
      </c>
      <c r="E31" s="3181" t="s">
        <v>3758</v>
      </c>
      <c r="F31" s="3181" t="s">
        <v>3759</v>
      </c>
      <c r="G31" s="3176" t="s">
        <v>2603</v>
      </c>
      <c r="H31" s="3181"/>
      <c r="I31" s="3182">
        <v>4077.59</v>
      </c>
      <c r="J31" s="3182">
        <v>4077.59</v>
      </c>
      <c r="K31" s="3181"/>
      <c r="L31" s="3181">
        <v>9786.2160000000003</v>
      </c>
      <c r="M31" s="3183">
        <v>24000</v>
      </c>
      <c r="N31" s="3184">
        <v>24000</v>
      </c>
      <c r="O31" s="3181" t="s">
        <v>43</v>
      </c>
      <c r="P31" s="3189">
        <v>45393</v>
      </c>
      <c r="Q31" s="3181" t="s">
        <v>3760</v>
      </c>
      <c r="R31" s="3181" t="s">
        <v>3761</v>
      </c>
      <c r="S31" s="3181"/>
      <c r="T31" s="3186">
        <v>0</v>
      </c>
      <c r="U31" s="3181"/>
      <c r="V31" s="3187" t="e">
        <v>#DIV/0!</v>
      </c>
      <c r="W31" s="3181" t="s">
        <v>3762</v>
      </c>
    </row>
    <row r="32" spans="1:23" ht="60" hidden="1" customHeight="1">
      <c r="A32" s="3176">
        <v>637</v>
      </c>
      <c r="B32" s="3176" t="s">
        <v>3763</v>
      </c>
      <c r="C32" s="3176" t="s">
        <v>3764</v>
      </c>
      <c r="D32" s="3181" t="s">
        <v>2730</v>
      </c>
      <c r="E32" s="3181" t="s">
        <v>3765</v>
      </c>
      <c r="F32" s="3176" t="s">
        <v>3766</v>
      </c>
      <c r="G32" s="3176" t="s">
        <v>2603</v>
      </c>
      <c r="H32" s="3181"/>
      <c r="I32" s="3181">
        <v>10088.49</v>
      </c>
      <c r="J32" s="3182">
        <v>10088.49</v>
      </c>
      <c r="K32" s="3181"/>
      <c r="L32" s="3181">
        <v>45327</v>
      </c>
      <c r="M32" s="3176">
        <v>44929</v>
      </c>
      <c r="N32" s="3184">
        <v>44929.419566258184</v>
      </c>
      <c r="O32" s="3176" t="s">
        <v>3767</v>
      </c>
      <c r="P32" s="3189">
        <v>45440</v>
      </c>
      <c r="Q32" s="3176" t="s">
        <v>3768</v>
      </c>
      <c r="R32" s="3181" t="s">
        <v>3769</v>
      </c>
      <c r="S32" s="3181">
        <v>80939.75</v>
      </c>
      <c r="T32" s="3186">
        <v>80229.796530501597</v>
      </c>
      <c r="U32" s="3181"/>
      <c r="V32" s="3214">
        <v>0.56000914260298551</v>
      </c>
      <c r="W32" s="3181" t="s">
        <v>3588</v>
      </c>
    </row>
    <row r="33" spans="1:23" ht="60" customHeight="1">
      <c r="A33" s="3176">
        <v>643</v>
      </c>
      <c r="B33" s="3176" t="s">
        <v>3770</v>
      </c>
      <c r="C33" s="3176" t="s">
        <v>3771</v>
      </c>
      <c r="D33" s="3181" t="s">
        <v>2717</v>
      </c>
      <c r="E33" s="3181" t="s">
        <v>3772</v>
      </c>
      <c r="F33" s="3181" t="s">
        <v>3773</v>
      </c>
      <c r="G33" s="3176" t="s">
        <v>3623</v>
      </c>
      <c r="H33" s="3181"/>
      <c r="I33" s="3181">
        <v>32091.49</v>
      </c>
      <c r="J33" s="3182">
        <v>32091.49</v>
      </c>
      <c r="K33" s="3181"/>
      <c r="L33" s="3181">
        <v>55855.01</v>
      </c>
      <c r="M33" s="3183">
        <v>17405</v>
      </c>
      <c r="N33" s="3184">
        <v>17404.928845622311</v>
      </c>
      <c r="O33" s="3181" t="s">
        <v>3774</v>
      </c>
      <c r="P33" s="3189">
        <v>45449</v>
      </c>
      <c r="Q33" s="3176" t="s">
        <v>3775</v>
      </c>
      <c r="R33" s="3181" t="s">
        <v>3568</v>
      </c>
      <c r="S33" s="3181"/>
      <c r="T33" s="3186">
        <v>0</v>
      </c>
      <c r="U33" s="3181"/>
      <c r="V33" s="3187" t="e">
        <v>#DIV/0!</v>
      </c>
      <c r="W33" s="3181" t="s">
        <v>3645</v>
      </c>
    </row>
    <row r="34" spans="1:23" s="3232" customFormat="1" ht="60" customHeight="1">
      <c r="A34" s="3225">
        <v>654</v>
      </c>
      <c r="B34" s="3225" t="s">
        <v>3776</v>
      </c>
      <c r="C34" s="3226" t="s">
        <v>3777</v>
      </c>
      <c r="D34" s="3226" t="s">
        <v>2730</v>
      </c>
      <c r="E34" s="3226" t="s">
        <v>3778</v>
      </c>
      <c r="F34" s="3227" t="s">
        <v>3779</v>
      </c>
      <c r="G34" s="3225" t="s">
        <v>3780</v>
      </c>
      <c r="H34" s="3226"/>
      <c r="I34" s="3226">
        <v>48853.919999999998</v>
      </c>
      <c r="J34" s="3228">
        <v>24544.17</v>
      </c>
      <c r="K34" s="3228">
        <v>24309.75</v>
      </c>
      <c r="L34" s="3226">
        <v>117635.26</v>
      </c>
      <c r="M34" s="3225">
        <v>24079</v>
      </c>
      <c r="N34" s="3229">
        <v>47927.984527486566</v>
      </c>
      <c r="O34" s="3226" t="s">
        <v>0</v>
      </c>
      <c r="P34" s="3230">
        <v>45504</v>
      </c>
      <c r="Q34" s="3225" t="s">
        <v>3781</v>
      </c>
      <c r="R34" s="3226" t="s">
        <v>3617</v>
      </c>
      <c r="S34" s="3226"/>
      <c r="T34" s="3229">
        <v>0</v>
      </c>
      <c r="U34" s="3226"/>
      <c r="V34" s="3231" t="e">
        <v>#DIV/0!</v>
      </c>
      <c r="W34" s="3226" t="s">
        <v>3645</v>
      </c>
    </row>
    <row r="35" spans="1:23" ht="60" hidden="1" customHeight="1">
      <c r="A35" s="3176">
        <v>663</v>
      </c>
      <c r="B35" s="3176" t="s">
        <v>3782</v>
      </c>
      <c r="C35" s="3176" t="s">
        <v>3783</v>
      </c>
      <c r="D35" s="3176" t="s">
        <v>2647</v>
      </c>
      <c r="E35" s="3176" t="s">
        <v>3784</v>
      </c>
      <c r="F35" s="3176" t="s">
        <v>3785</v>
      </c>
      <c r="G35" s="3176" t="s">
        <v>3614</v>
      </c>
      <c r="H35" s="3176">
        <v>1361.86</v>
      </c>
      <c r="I35" s="3177">
        <v>9875.33</v>
      </c>
      <c r="J35" s="3177">
        <v>3761.79</v>
      </c>
      <c r="K35" s="3176">
        <v>6113.54</v>
      </c>
      <c r="L35" s="3176">
        <v>18027</v>
      </c>
      <c r="M35" s="3176">
        <v>18255</v>
      </c>
      <c r="N35" s="3178">
        <v>47921.335321748425</v>
      </c>
      <c r="O35" s="3176" t="s">
        <v>3786</v>
      </c>
      <c r="P35" s="3179">
        <v>45538</v>
      </c>
      <c r="Q35" s="3176" t="s">
        <v>3787</v>
      </c>
      <c r="R35" s="3203" t="s">
        <v>3788</v>
      </c>
      <c r="S35" s="3176">
        <v>25752.6</v>
      </c>
      <c r="T35" s="3186">
        <v>68458.366894483741</v>
      </c>
      <c r="U35" s="3176"/>
      <c r="V35" s="3187">
        <v>0.70000698958551766</v>
      </c>
      <c r="W35" s="3181" t="s">
        <v>3588</v>
      </c>
    </row>
    <row r="36" spans="1:23" ht="60" hidden="1" customHeight="1">
      <c r="A36" s="3176">
        <v>664</v>
      </c>
      <c r="B36" s="3176" t="s">
        <v>3789</v>
      </c>
      <c r="C36" s="3176" t="s">
        <v>3790</v>
      </c>
      <c r="D36" s="3176" t="s">
        <v>2717</v>
      </c>
      <c r="E36" s="3176" t="s">
        <v>3791</v>
      </c>
      <c r="F36" s="3176" t="s">
        <v>3593</v>
      </c>
      <c r="G36" s="3176" t="s">
        <v>3614</v>
      </c>
      <c r="H36" s="3176"/>
      <c r="I36" s="3177">
        <v>551.31999999999994</v>
      </c>
      <c r="J36" s="3177">
        <v>428.9</v>
      </c>
      <c r="K36" s="3176">
        <v>122.42</v>
      </c>
      <c r="L36" s="3176">
        <v>1800.0001</v>
      </c>
      <c r="M36" s="3176">
        <v>32649</v>
      </c>
      <c r="N36" s="3178">
        <v>41968</v>
      </c>
      <c r="O36" s="3176" t="s">
        <v>3792</v>
      </c>
      <c r="P36" s="3179">
        <v>45518</v>
      </c>
      <c r="Q36" s="3176" t="s">
        <v>3793</v>
      </c>
      <c r="R36" s="3203" t="s">
        <v>3794</v>
      </c>
      <c r="S36" s="3176">
        <v>4140.32</v>
      </c>
      <c r="T36" s="3186">
        <v>96533.457682443463</v>
      </c>
      <c r="U36" s="3176"/>
      <c r="V36" s="3187">
        <v>0.43474902906055574</v>
      </c>
      <c r="W36" s="3181" t="s">
        <v>3588</v>
      </c>
    </row>
    <row r="37" spans="1:23" ht="60" hidden="1" customHeight="1">
      <c r="A37" s="3176">
        <v>665</v>
      </c>
      <c r="B37" s="3176" t="s">
        <v>3795</v>
      </c>
      <c r="C37" s="3176" t="s">
        <v>3796</v>
      </c>
      <c r="D37" s="3176" t="s">
        <v>2717</v>
      </c>
      <c r="E37" s="3181" t="s">
        <v>3797</v>
      </c>
      <c r="F37" s="3176" t="s">
        <v>3798</v>
      </c>
      <c r="G37" s="3176" t="s">
        <v>2603</v>
      </c>
      <c r="H37" s="3181"/>
      <c r="I37" s="3181">
        <v>3797.1</v>
      </c>
      <c r="J37" s="3181">
        <v>3797.1</v>
      </c>
      <c r="K37" s="3181"/>
      <c r="L37" s="3181">
        <v>5536.7184999999999</v>
      </c>
      <c r="M37" s="3183">
        <v>14581</v>
      </c>
      <c r="N37" s="3184">
        <v>14581.439782992285</v>
      </c>
      <c r="O37" s="3176" t="s">
        <v>3799</v>
      </c>
      <c r="P37" s="3189">
        <v>45534</v>
      </c>
      <c r="Q37" s="3210" t="s">
        <v>3800</v>
      </c>
      <c r="R37" s="3181" t="s">
        <v>3788</v>
      </c>
      <c r="S37" s="3181">
        <v>9329.8544000000002</v>
      </c>
      <c r="T37" s="3186">
        <v>24570.999973664111</v>
      </c>
      <c r="U37" s="3181"/>
      <c r="V37" s="3187">
        <v>0.59344104019458221</v>
      </c>
      <c r="W37" s="3181" t="s">
        <v>3588</v>
      </c>
    </row>
    <row r="38" spans="1:23" ht="60" hidden="1" customHeight="1">
      <c r="A38" s="3176">
        <v>666</v>
      </c>
      <c r="B38" s="3176" t="s">
        <v>3801</v>
      </c>
      <c r="C38" s="3176" t="s">
        <v>3802</v>
      </c>
      <c r="D38" s="3181" t="s">
        <v>2682</v>
      </c>
      <c r="E38" s="3181" t="s">
        <v>3730</v>
      </c>
      <c r="F38" s="3176" t="s">
        <v>3803</v>
      </c>
      <c r="G38" s="3176" t="s">
        <v>2603</v>
      </c>
      <c r="H38" s="3181"/>
      <c r="I38" s="3181">
        <v>1203.2</v>
      </c>
      <c r="J38" s="3182">
        <v>143.20000000000005</v>
      </c>
      <c r="K38" s="3181">
        <v>1060</v>
      </c>
      <c r="L38" s="3181">
        <v>2937.5360000000001</v>
      </c>
      <c r="M38" s="3183">
        <v>24414</v>
      </c>
      <c r="N38" s="3184">
        <v>205135.1955307262</v>
      </c>
      <c r="O38" s="3176" t="s">
        <v>3804</v>
      </c>
      <c r="P38" s="3189">
        <v>45541</v>
      </c>
      <c r="Q38" s="3176" t="s">
        <v>3805</v>
      </c>
      <c r="R38" s="3181" t="s">
        <v>3806</v>
      </c>
      <c r="S38" s="3181">
        <v>5245.6</v>
      </c>
      <c r="T38" s="3186">
        <v>366312.84916201112</v>
      </c>
      <c r="U38" s="3181"/>
      <c r="V38" s="3187">
        <v>0.55999999999999994</v>
      </c>
      <c r="W38" s="3181" t="s">
        <v>3588</v>
      </c>
    </row>
    <row r="39" spans="1:23" ht="60" customHeight="1">
      <c r="A39" s="3176">
        <v>668</v>
      </c>
      <c r="B39" s="3176" t="s">
        <v>3807</v>
      </c>
      <c r="C39" s="3176" t="s">
        <v>3808</v>
      </c>
      <c r="D39" s="3181" t="s">
        <v>2647</v>
      </c>
      <c r="E39" s="3181" t="s">
        <v>3809</v>
      </c>
      <c r="F39" s="3181" t="s">
        <v>3810</v>
      </c>
      <c r="G39" s="3176" t="s">
        <v>3811</v>
      </c>
      <c r="H39" s="3181"/>
      <c r="I39" s="3181">
        <v>27705.94</v>
      </c>
      <c r="J39" s="3182">
        <v>21015.98</v>
      </c>
      <c r="K39" s="3181">
        <v>6689.96</v>
      </c>
      <c r="L39" s="3181">
        <v>137000</v>
      </c>
      <c r="M39" s="3183">
        <v>49448</v>
      </c>
      <c r="N39" s="3184">
        <v>65188.489901494009</v>
      </c>
      <c r="O39" s="3181" t="s">
        <v>3812</v>
      </c>
      <c r="P39" s="3189">
        <v>45545</v>
      </c>
      <c r="Q39" s="3176" t="s">
        <v>3813</v>
      </c>
      <c r="R39" s="3181" t="s">
        <v>3660</v>
      </c>
      <c r="S39" s="3181"/>
      <c r="T39" s="3186">
        <v>0</v>
      </c>
      <c r="U39" s="3181"/>
      <c r="V39" s="3187" t="e">
        <v>#DIV/0!</v>
      </c>
      <c r="W39" s="3181" t="s">
        <v>3814</v>
      </c>
    </row>
    <row r="40" spans="1:23" ht="60" hidden="1" customHeight="1">
      <c r="A40" s="3176">
        <v>670</v>
      </c>
      <c r="B40" s="3176" t="s">
        <v>3815</v>
      </c>
      <c r="C40" s="3181" t="s">
        <v>3816</v>
      </c>
      <c r="D40" s="3181" t="s">
        <v>2717</v>
      </c>
      <c r="E40" s="3181" t="s">
        <v>3817</v>
      </c>
      <c r="F40" s="3181" t="s">
        <v>3818</v>
      </c>
      <c r="G40" s="3176" t="s">
        <v>2603</v>
      </c>
      <c r="H40" s="3181"/>
      <c r="I40" s="3181">
        <v>354.7</v>
      </c>
      <c r="J40" s="3182">
        <v>354.7</v>
      </c>
      <c r="K40" s="3181"/>
      <c r="L40" s="3181">
        <v>2496.9874669999999</v>
      </c>
      <c r="M40" s="3183">
        <v>70397</v>
      </c>
      <c r="N40" s="3184">
        <v>70397.165689314919</v>
      </c>
      <c r="O40" s="3176" t="s">
        <v>3819</v>
      </c>
      <c r="P40" s="3189">
        <v>45555</v>
      </c>
      <c r="Q40" s="3181" t="s">
        <v>3820</v>
      </c>
      <c r="R40" s="3181" t="s">
        <v>3711</v>
      </c>
      <c r="S40" s="3181">
        <v>1076.9874669999999</v>
      </c>
      <c r="T40" s="3186">
        <v>30363.334282492244</v>
      </c>
      <c r="U40" s="3181"/>
      <c r="V40" s="3187">
        <v>2.3184925948632231</v>
      </c>
      <c r="W40" s="3181" t="s">
        <v>3588</v>
      </c>
    </row>
    <row r="41" spans="1:23" ht="60" hidden="1" customHeight="1">
      <c r="A41" s="3176">
        <v>671</v>
      </c>
      <c r="B41" s="3176" t="s">
        <v>3821</v>
      </c>
      <c r="C41" s="3176" t="s">
        <v>3822</v>
      </c>
      <c r="D41" s="3181" t="s">
        <v>2717</v>
      </c>
      <c r="E41" s="3181" t="s">
        <v>3817</v>
      </c>
      <c r="F41" s="3181" t="s">
        <v>3818</v>
      </c>
      <c r="G41" s="3176" t="s">
        <v>2603</v>
      </c>
      <c r="H41" s="3181"/>
      <c r="I41" s="3181">
        <v>734.8</v>
      </c>
      <c r="J41" s="3182">
        <v>734.8</v>
      </c>
      <c r="K41" s="3181"/>
      <c r="L41" s="3181">
        <v>5318.3445000000002</v>
      </c>
      <c r="M41" s="3183">
        <v>72378</v>
      </c>
      <c r="N41" s="3184">
        <v>72378.123298856837</v>
      </c>
      <c r="O41" s="3176" t="s">
        <v>3823</v>
      </c>
      <c r="P41" s="3189">
        <v>45649</v>
      </c>
      <c r="Q41" s="3176" t="s">
        <v>3824</v>
      </c>
      <c r="R41" s="3181" t="s">
        <v>3711</v>
      </c>
      <c r="S41" s="3181">
        <v>1928.3444999999999</v>
      </c>
      <c r="T41" s="3186">
        <v>26243.120577027767</v>
      </c>
      <c r="U41" s="3181"/>
      <c r="V41" s="3187">
        <v>2.7579846339697083</v>
      </c>
      <c r="W41" s="3181" t="s">
        <v>3588</v>
      </c>
    </row>
    <row r="42" spans="1:23" ht="60" hidden="1" customHeight="1">
      <c r="A42" s="3176">
        <v>672</v>
      </c>
      <c r="B42" s="3176" t="s">
        <v>3825</v>
      </c>
      <c r="C42" s="3176" t="s">
        <v>3826</v>
      </c>
      <c r="D42" s="3181" t="s">
        <v>2717</v>
      </c>
      <c r="E42" s="3181" t="s">
        <v>3817</v>
      </c>
      <c r="F42" s="3181" t="s">
        <v>3818</v>
      </c>
      <c r="G42" s="3176" t="s">
        <v>2603</v>
      </c>
      <c r="H42" s="3181"/>
      <c r="I42" s="3181">
        <v>316.17</v>
      </c>
      <c r="J42" s="3182">
        <v>316.17</v>
      </c>
      <c r="K42" s="3181"/>
      <c r="L42" s="3181">
        <v>1100.298</v>
      </c>
      <c r="M42" s="3183">
        <v>34801</v>
      </c>
      <c r="N42" s="3184">
        <v>34800.834993832432</v>
      </c>
      <c r="O42" s="3176" t="s">
        <v>3827</v>
      </c>
      <c r="P42" s="3189">
        <v>45555</v>
      </c>
      <c r="Q42" s="3181" t="s">
        <v>3820</v>
      </c>
      <c r="R42" s="3181" t="s">
        <v>3711</v>
      </c>
      <c r="S42" s="3181">
        <v>912.298</v>
      </c>
      <c r="T42" s="3186">
        <v>28854.666793180881</v>
      </c>
      <c r="U42" s="3181"/>
      <c r="V42" s="3187">
        <v>1.2060730156155115</v>
      </c>
      <c r="W42" s="3181" t="s">
        <v>3588</v>
      </c>
    </row>
    <row r="43" spans="1:23" ht="60" hidden="1" customHeight="1">
      <c r="A43" s="3176">
        <v>673</v>
      </c>
      <c r="B43" s="3176" t="s">
        <v>3828</v>
      </c>
      <c r="C43" s="3176" t="s">
        <v>3829</v>
      </c>
      <c r="D43" s="3181" t="s">
        <v>2717</v>
      </c>
      <c r="E43" s="3181" t="s">
        <v>3817</v>
      </c>
      <c r="F43" s="3181" t="s">
        <v>3818</v>
      </c>
      <c r="G43" s="3176" t="s">
        <v>2603</v>
      </c>
      <c r="H43" s="3181"/>
      <c r="I43" s="3181">
        <v>861.83</v>
      </c>
      <c r="J43" s="3182">
        <v>861.83</v>
      </c>
      <c r="K43" s="3181"/>
      <c r="L43" s="3181">
        <v>2599.4250670000001</v>
      </c>
      <c r="M43" s="3183">
        <v>30162</v>
      </c>
      <c r="N43" s="3184">
        <v>30161.691598110996</v>
      </c>
      <c r="O43" s="3176" t="s">
        <v>3830</v>
      </c>
      <c r="P43" s="3189">
        <v>45555</v>
      </c>
      <c r="Q43" s="3181" t="s">
        <v>3820</v>
      </c>
      <c r="R43" s="3181" t="s">
        <v>3711</v>
      </c>
      <c r="S43" s="3181">
        <v>2388.4250000000002</v>
      </c>
      <c r="T43" s="3186">
        <v>27713.412157850158</v>
      </c>
      <c r="U43" s="3181"/>
      <c r="V43" s="3187">
        <v>1.0883427643740122</v>
      </c>
      <c r="W43" s="3181" t="s">
        <v>3588</v>
      </c>
    </row>
    <row r="44" spans="1:23" ht="60" hidden="1" customHeight="1">
      <c r="A44" s="3176">
        <v>674</v>
      </c>
      <c r="B44" s="3176" t="s">
        <v>3831</v>
      </c>
      <c r="C44" s="3176" t="s">
        <v>3832</v>
      </c>
      <c r="D44" s="3181" t="s">
        <v>2717</v>
      </c>
      <c r="E44" s="3181" t="s">
        <v>3817</v>
      </c>
      <c r="F44" s="3181" t="s">
        <v>3818</v>
      </c>
      <c r="G44" s="3176" t="s">
        <v>2603</v>
      </c>
      <c r="H44" s="3181"/>
      <c r="I44" s="3181">
        <v>1796.92</v>
      </c>
      <c r="J44" s="3182">
        <v>1796.92</v>
      </c>
      <c r="K44" s="3181"/>
      <c r="L44" s="3181">
        <v>4978.9059669999997</v>
      </c>
      <c r="M44" s="3183">
        <v>27708</v>
      </c>
      <c r="N44" s="3184">
        <v>27708.000172517419</v>
      </c>
      <c r="O44" s="3176" t="s">
        <v>3833</v>
      </c>
      <c r="P44" s="3189">
        <v>45555</v>
      </c>
      <c r="Q44" s="3181" t="s">
        <v>3820</v>
      </c>
      <c r="R44" s="3181" t="s">
        <v>3711</v>
      </c>
      <c r="S44" s="3181">
        <v>4978.9059669999997</v>
      </c>
      <c r="T44" s="3186">
        <v>27708.000172517419</v>
      </c>
      <c r="U44" s="3181"/>
      <c r="V44" s="3187">
        <v>1</v>
      </c>
      <c r="W44" s="3181" t="s">
        <v>3588</v>
      </c>
    </row>
    <row r="45" spans="1:23" ht="60" hidden="1" customHeight="1">
      <c r="A45" s="3176">
        <v>685</v>
      </c>
      <c r="B45" s="3176" t="s">
        <v>3834</v>
      </c>
      <c r="C45" s="3176" t="s">
        <v>3835</v>
      </c>
      <c r="D45" s="3181" t="s">
        <v>2730</v>
      </c>
      <c r="E45" s="3181" t="s">
        <v>3686</v>
      </c>
      <c r="F45" s="3176" t="s">
        <v>3836</v>
      </c>
      <c r="G45" s="3176" t="s">
        <v>3837</v>
      </c>
      <c r="H45" s="3181">
        <v>385.37</v>
      </c>
      <c r="I45" s="3181">
        <v>2505.4</v>
      </c>
      <c r="J45" s="3182">
        <v>2505.4</v>
      </c>
      <c r="K45" s="3181"/>
      <c r="L45" s="3181">
        <v>5709.6048000000001</v>
      </c>
      <c r="M45" s="3183">
        <v>22789</v>
      </c>
      <c r="N45" s="3184">
        <v>22789.194539794044</v>
      </c>
      <c r="O45" s="3176" t="s">
        <v>3838</v>
      </c>
      <c r="P45" s="3189">
        <v>45589</v>
      </c>
      <c r="Q45" s="3176" t="s">
        <v>3839</v>
      </c>
      <c r="R45" s="3181" t="s">
        <v>3840</v>
      </c>
      <c r="S45" s="3181">
        <v>8388.58</v>
      </c>
      <c r="T45" s="3186">
        <v>33481.99888241398</v>
      </c>
      <c r="U45" s="3181"/>
      <c r="V45" s="3187">
        <v>0.68064020370551392</v>
      </c>
      <c r="W45" s="3181" t="s">
        <v>3588</v>
      </c>
    </row>
    <row r="46" spans="1:23" ht="60" hidden="1" customHeight="1">
      <c r="A46" s="3176">
        <v>689</v>
      </c>
      <c r="B46" s="3181" t="s">
        <v>3841</v>
      </c>
      <c r="C46" s="3176" t="s">
        <v>3842</v>
      </c>
      <c r="D46" s="3181" t="s">
        <v>2717</v>
      </c>
      <c r="E46" s="3181" t="s">
        <v>3843</v>
      </c>
      <c r="F46" s="3181" t="s">
        <v>3844</v>
      </c>
      <c r="G46" s="3176" t="s">
        <v>3845</v>
      </c>
      <c r="H46" s="3181"/>
      <c r="I46" s="3181">
        <v>6592.62</v>
      </c>
      <c r="J46" s="3182">
        <v>4285.6399999999994</v>
      </c>
      <c r="K46" s="3181">
        <v>2306.98</v>
      </c>
      <c r="L46" s="3181">
        <v>16620.8</v>
      </c>
      <c r="M46" s="3183">
        <v>25211</v>
      </c>
      <c r="N46" s="3184">
        <v>38782.538897340892</v>
      </c>
      <c r="O46" s="3176" t="s">
        <v>3846</v>
      </c>
      <c r="P46" s="3189">
        <v>45604</v>
      </c>
      <c r="Q46" s="3176" t="s">
        <v>3847</v>
      </c>
      <c r="R46" s="3181" t="s">
        <v>3735</v>
      </c>
      <c r="S46" s="3181">
        <v>20080</v>
      </c>
      <c r="T46" s="3186">
        <v>46854.145471854848</v>
      </c>
      <c r="U46" s="3181"/>
      <c r="V46" s="3187">
        <v>0.82772908366533859</v>
      </c>
      <c r="W46" s="3181" t="s">
        <v>3588</v>
      </c>
    </row>
    <row r="47" spans="1:23" ht="60" hidden="1" customHeight="1">
      <c r="A47" s="3176">
        <v>690</v>
      </c>
      <c r="B47" s="3176" t="s">
        <v>3848</v>
      </c>
      <c r="C47" s="3176" t="s">
        <v>3849</v>
      </c>
      <c r="D47" s="3181" t="s">
        <v>2717</v>
      </c>
      <c r="E47" s="3181" t="s">
        <v>3850</v>
      </c>
      <c r="F47" s="3181" t="s">
        <v>3851</v>
      </c>
      <c r="G47" s="3176" t="s">
        <v>3852</v>
      </c>
      <c r="H47" s="3181">
        <v>1715.57</v>
      </c>
      <c r="I47" s="3181">
        <v>4398.8999999999996</v>
      </c>
      <c r="J47" s="3182">
        <v>3573.3999999999996</v>
      </c>
      <c r="K47" s="3181">
        <v>825.5</v>
      </c>
      <c r="L47" s="3181">
        <v>11008.399600000001</v>
      </c>
      <c r="M47" s="3183">
        <v>25025</v>
      </c>
      <c r="N47" s="3184">
        <v>30806.513684446192</v>
      </c>
      <c r="O47" s="3176" t="s">
        <v>3853</v>
      </c>
      <c r="P47" s="3189">
        <v>45604</v>
      </c>
      <c r="Q47" s="3209" t="s">
        <v>3854</v>
      </c>
      <c r="R47" s="3181" t="s">
        <v>3840</v>
      </c>
      <c r="S47" s="3181">
        <v>16179.31</v>
      </c>
      <c r="T47" s="3186">
        <v>45277.075054569876</v>
      </c>
      <c r="U47" s="3181"/>
      <c r="V47" s="3187">
        <v>0.68039981927535853</v>
      </c>
      <c r="W47" s="3181" t="s">
        <v>3588</v>
      </c>
    </row>
    <row r="48" spans="1:23" s="3201" customFormat="1" ht="60" customHeight="1">
      <c r="A48" s="3178">
        <v>691</v>
      </c>
      <c r="B48" s="3178" t="s">
        <v>3855</v>
      </c>
      <c r="C48" s="3178" t="s">
        <v>3856</v>
      </c>
      <c r="D48" s="3197" t="s">
        <v>2717</v>
      </c>
      <c r="E48" s="3197" t="s">
        <v>3621</v>
      </c>
      <c r="F48" s="3197" t="s">
        <v>3622</v>
      </c>
      <c r="G48" s="3178" t="s">
        <v>3857</v>
      </c>
      <c r="H48" s="3197"/>
      <c r="I48" s="3197">
        <v>21750.47</v>
      </c>
      <c r="J48" s="3198">
        <v>16877.5</v>
      </c>
      <c r="K48" s="3197">
        <v>4872.97</v>
      </c>
      <c r="L48" s="3197">
        <v>82000</v>
      </c>
      <c r="M48" s="3178">
        <v>37700</v>
      </c>
      <c r="N48" s="3184">
        <v>48585.394756332396</v>
      </c>
      <c r="O48" s="3197" t="s">
        <v>0</v>
      </c>
      <c r="P48" s="3211">
        <v>45602</v>
      </c>
      <c r="Q48" s="3178" t="s">
        <v>3858</v>
      </c>
      <c r="R48" s="3197" t="s">
        <v>3626</v>
      </c>
      <c r="S48" s="3197"/>
      <c r="T48" s="3184">
        <v>0</v>
      </c>
      <c r="U48" s="3197"/>
      <c r="V48" s="3200" t="e">
        <v>#DIV/0!</v>
      </c>
      <c r="W48" s="3197" t="s">
        <v>3645</v>
      </c>
    </row>
    <row r="49" spans="1:23" ht="60" hidden="1" customHeight="1">
      <c r="A49" s="3176">
        <v>693</v>
      </c>
      <c r="B49" s="3181" t="s">
        <v>3859</v>
      </c>
      <c r="C49" s="3176" t="s">
        <v>3860</v>
      </c>
      <c r="D49" s="3181" t="s">
        <v>2647</v>
      </c>
      <c r="E49" s="3181" t="s">
        <v>3861</v>
      </c>
      <c r="F49" s="3181" t="s">
        <v>3862</v>
      </c>
      <c r="G49" s="3176" t="s">
        <v>3863</v>
      </c>
      <c r="H49" s="3181"/>
      <c r="I49" s="3181">
        <v>12302.41</v>
      </c>
      <c r="J49" s="3182">
        <v>9663.7900000000009</v>
      </c>
      <c r="K49" s="3181">
        <v>2638.62</v>
      </c>
      <c r="L49" s="3181">
        <v>25439.443469999998</v>
      </c>
      <c r="M49" s="3183">
        <v>20678</v>
      </c>
      <c r="N49" s="3184">
        <v>26324.49946656539</v>
      </c>
      <c r="O49" s="3176" t="s">
        <v>3864</v>
      </c>
      <c r="P49" s="3189">
        <v>45608</v>
      </c>
      <c r="Q49" s="3176" t="s">
        <v>3865</v>
      </c>
      <c r="R49" s="3181" t="s">
        <v>3866</v>
      </c>
      <c r="S49" s="3181">
        <v>36342.062100000003</v>
      </c>
      <c r="T49" s="3186">
        <v>37606.427809379136</v>
      </c>
      <c r="U49" s="3181"/>
      <c r="V49" s="3187">
        <v>0.69999999999999984</v>
      </c>
      <c r="W49" s="3181" t="s">
        <v>3588</v>
      </c>
    </row>
    <row r="50" spans="1:23" ht="60" hidden="1" customHeight="1">
      <c r="A50" s="3176">
        <v>695</v>
      </c>
      <c r="B50" s="3176" t="s">
        <v>3867</v>
      </c>
      <c r="C50" s="3176" t="s">
        <v>3868</v>
      </c>
      <c r="D50" s="3181" t="s">
        <v>2717</v>
      </c>
      <c r="E50" s="3181" t="s">
        <v>3637</v>
      </c>
      <c r="F50" s="3176" t="s">
        <v>3869</v>
      </c>
      <c r="G50" s="3176" t="s">
        <v>3870</v>
      </c>
      <c r="H50" s="3181"/>
      <c r="I50" s="3181">
        <v>1552.64</v>
      </c>
      <c r="J50" s="3182">
        <v>1552.64</v>
      </c>
      <c r="K50" s="3181"/>
      <c r="L50" s="3181">
        <v>5250.0896000000002</v>
      </c>
      <c r="M50" s="3183">
        <v>33814</v>
      </c>
      <c r="N50" s="3184">
        <v>33813.953009068427</v>
      </c>
      <c r="O50" s="3176" t="s">
        <v>3871</v>
      </c>
      <c r="P50" s="3189">
        <v>45611</v>
      </c>
      <c r="Q50" s="3181" t="s">
        <v>3872</v>
      </c>
      <c r="R50" s="3181" t="s">
        <v>3751</v>
      </c>
      <c r="S50" s="3181">
        <v>9375.16</v>
      </c>
      <c r="T50" s="3186">
        <v>60382.058944765042</v>
      </c>
      <c r="U50" s="3181"/>
      <c r="V50" s="3187">
        <v>0.56000000000000005</v>
      </c>
      <c r="W50" s="3181" t="s">
        <v>3588</v>
      </c>
    </row>
    <row r="51" spans="1:23" ht="60" hidden="1" customHeight="1">
      <c r="A51" s="3176">
        <v>705</v>
      </c>
      <c r="B51" s="3181" t="s">
        <v>3873</v>
      </c>
      <c r="C51" s="3181" t="s">
        <v>3874</v>
      </c>
      <c r="D51" s="3181" t="s">
        <v>2647</v>
      </c>
      <c r="E51" s="3181" t="s">
        <v>3875</v>
      </c>
      <c r="F51" s="3181" t="s">
        <v>3593</v>
      </c>
      <c r="G51" s="3176" t="s">
        <v>2603</v>
      </c>
      <c r="H51" s="3181"/>
      <c r="I51" s="3176">
        <v>376.61</v>
      </c>
      <c r="J51" s="3177">
        <v>376.61</v>
      </c>
      <c r="K51" s="3181"/>
      <c r="L51" s="3181">
        <v>1951.58</v>
      </c>
      <c r="M51" s="3183">
        <v>51820</v>
      </c>
      <c r="N51" s="3184">
        <v>51819.654284272852</v>
      </c>
      <c r="O51" s="3176" t="s">
        <v>3876</v>
      </c>
      <c r="P51" s="3188">
        <v>45627</v>
      </c>
      <c r="Q51" s="3212" t="s">
        <v>3877</v>
      </c>
      <c r="R51" s="3181" t="s">
        <v>3806</v>
      </c>
      <c r="S51" s="3181">
        <v>2087.96</v>
      </c>
      <c r="T51" s="3186">
        <v>55440.907039112084</v>
      </c>
      <c r="U51" s="3181"/>
      <c r="V51" s="3187">
        <v>0.93468265675587647</v>
      </c>
      <c r="W51" s="3181" t="s">
        <v>3588</v>
      </c>
    </row>
    <row r="52" spans="1:23" ht="60" customHeight="1">
      <c r="A52" s="3176">
        <v>712</v>
      </c>
      <c r="B52" s="3176" t="s">
        <v>3878</v>
      </c>
      <c r="C52" s="3181" t="s">
        <v>3879</v>
      </c>
      <c r="D52" s="3181" t="s">
        <v>2730</v>
      </c>
      <c r="E52" s="3181" t="s">
        <v>3880</v>
      </c>
      <c r="F52" s="3181" t="s">
        <v>3881</v>
      </c>
      <c r="G52" s="3176" t="s">
        <v>3882</v>
      </c>
      <c r="H52" s="3181"/>
      <c r="I52" s="3181">
        <v>22711.39</v>
      </c>
      <c r="J52" s="3182">
        <v>22711.39</v>
      </c>
      <c r="K52" s="3181"/>
      <c r="L52" s="3181">
        <v>68000.009999999995</v>
      </c>
      <c r="M52" s="3183">
        <v>29941</v>
      </c>
      <c r="N52" s="3184">
        <v>29940.928318345992</v>
      </c>
      <c r="O52" s="3181" t="s">
        <v>0</v>
      </c>
      <c r="P52" s="3185">
        <v>45645</v>
      </c>
      <c r="Q52" s="3181" t="s">
        <v>3883</v>
      </c>
      <c r="R52" s="3181" t="s">
        <v>3884</v>
      </c>
      <c r="S52" s="3181"/>
      <c r="T52" s="3186">
        <v>0</v>
      </c>
      <c r="U52" s="3181"/>
      <c r="V52" s="3187" t="e">
        <v>#DIV/0!</v>
      </c>
      <c r="W52" s="3181" t="s">
        <v>3885</v>
      </c>
    </row>
    <row r="53" spans="1:23" ht="60" hidden="1" customHeight="1">
      <c r="A53" s="3176">
        <v>716</v>
      </c>
      <c r="B53" s="3176" t="s">
        <v>3886</v>
      </c>
      <c r="C53" s="3176" t="s">
        <v>3887</v>
      </c>
      <c r="D53" s="3176" t="s">
        <v>2717</v>
      </c>
      <c r="E53" s="3181" t="s">
        <v>3817</v>
      </c>
      <c r="F53" s="3176" t="s">
        <v>3888</v>
      </c>
      <c r="G53" s="3176" t="s">
        <v>2603</v>
      </c>
      <c r="H53" s="3181"/>
      <c r="I53" s="3182">
        <v>8056.29</v>
      </c>
      <c r="J53" s="3182">
        <v>8056.29</v>
      </c>
      <c r="K53" s="3182"/>
      <c r="L53" s="3181">
        <v>18466.659</v>
      </c>
      <c r="M53" s="3176">
        <v>22922</v>
      </c>
      <c r="N53" s="3197">
        <v>22922</v>
      </c>
      <c r="O53" s="3176" t="s">
        <v>3889</v>
      </c>
      <c r="P53" s="3189">
        <v>45648</v>
      </c>
      <c r="Q53" s="3213" t="s">
        <v>3890</v>
      </c>
      <c r="R53" s="3203" t="s">
        <v>3891</v>
      </c>
      <c r="S53" s="3181">
        <v>22952.37</v>
      </c>
      <c r="T53" s="3186">
        <v>28489.999739334107</v>
      </c>
      <c r="U53" s="3181"/>
      <c r="V53" s="3214">
        <v>0.80456436524855601</v>
      </c>
      <c r="W53" s="3181" t="s">
        <v>3588</v>
      </c>
    </row>
    <row r="54" spans="1:23" ht="60" hidden="1" customHeight="1">
      <c r="A54" s="3176">
        <v>719</v>
      </c>
      <c r="B54" s="3176" t="s">
        <v>3892</v>
      </c>
      <c r="C54" s="3176" t="s">
        <v>3893</v>
      </c>
      <c r="D54" s="3181" t="s">
        <v>2682</v>
      </c>
      <c r="E54" s="3181" t="s">
        <v>3894</v>
      </c>
      <c r="F54" s="3176" t="s">
        <v>3895</v>
      </c>
      <c r="G54" s="3176" t="s">
        <v>2603</v>
      </c>
      <c r="H54" s="3181"/>
      <c r="I54" s="3181">
        <v>517.6</v>
      </c>
      <c r="J54" s="3182">
        <v>517.6</v>
      </c>
      <c r="K54" s="3181"/>
      <c r="L54" s="3181">
        <v>1108.24</v>
      </c>
      <c r="M54" s="3183">
        <v>21411</v>
      </c>
      <c r="N54" s="3184">
        <v>21411.128284389491</v>
      </c>
      <c r="O54" s="3176" t="s">
        <v>3896</v>
      </c>
      <c r="P54" s="3189">
        <v>45652</v>
      </c>
      <c r="Q54" s="3176" t="s">
        <v>3897</v>
      </c>
      <c r="R54" s="3181" t="s">
        <v>3735</v>
      </c>
      <c r="S54" s="3181">
        <v>1579</v>
      </c>
      <c r="T54" s="3186">
        <v>30506.182380216382</v>
      </c>
      <c r="U54" s="3181"/>
      <c r="V54" s="3187">
        <v>0.70186193793540219</v>
      </c>
      <c r="W54" s="3181" t="s">
        <v>3588</v>
      </c>
    </row>
    <row r="55" spans="1:23" ht="60" customHeight="1">
      <c r="A55" s="3176">
        <v>721</v>
      </c>
      <c r="B55" s="3176" t="s">
        <v>3898</v>
      </c>
      <c r="C55" s="3176" t="s">
        <v>3899</v>
      </c>
      <c r="D55" s="3181" t="s">
        <v>2682</v>
      </c>
      <c r="E55" s="3181" t="s">
        <v>3900</v>
      </c>
      <c r="F55" s="3181" t="s">
        <v>3901</v>
      </c>
      <c r="G55" s="3176" t="s">
        <v>3623</v>
      </c>
      <c r="H55" s="3181"/>
      <c r="I55" s="3181">
        <v>38487.19</v>
      </c>
      <c r="J55" s="3182">
        <v>30275.51</v>
      </c>
      <c r="K55" s="3181">
        <v>4567.6500000000005</v>
      </c>
      <c r="L55" s="3181">
        <v>277080.3</v>
      </c>
      <c r="M55" s="3183">
        <v>71993</v>
      </c>
      <c r="N55" s="3184">
        <v>91519.614368180744</v>
      </c>
      <c r="O55" s="3181" t="s">
        <v>0</v>
      </c>
      <c r="P55" s="3189">
        <v>45657</v>
      </c>
      <c r="Q55" s="3176" t="s">
        <v>3902</v>
      </c>
      <c r="R55" s="3181" t="s">
        <v>3903</v>
      </c>
      <c r="S55" s="3181"/>
      <c r="T55" s="3186">
        <v>0</v>
      </c>
      <c r="U55" s="3181"/>
      <c r="V55" s="3187" t="e">
        <v>#DIV/0!</v>
      </c>
      <c r="W55" s="3181" t="s">
        <v>3645</v>
      </c>
    </row>
    <row r="56" spans="1:23" ht="60" hidden="1" customHeight="1">
      <c r="A56" s="3176">
        <v>724</v>
      </c>
      <c r="B56" s="3176" t="s">
        <v>3904</v>
      </c>
      <c r="C56" s="3176" t="s">
        <v>3905</v>
      </c>
      <c r="D56" s="3181" t="s">
        <v>2730</v>
      </c>
      <c r="E56" s="3202" t="s">
        <v>3906</v>
      </c>
      <c r="F56" s="3181" t="s">
        <v>3907</v>
      </c>
      <c r="G56" s="3176" t="s">
        <v>3908</v>
      </c>
      <c r="H56" s="3181"/>
      <c r="I56" s="3181">
        <v>551.14</v>
      </c>
      <c r="J56" s="3182">
        <v>551.14</v>
      </c>
      <c r="K56" s="3181"/>
      <c r="L56" s="3181">
        <v>2106.1999999999998</v>
      </c>
      <c r="M56" s="3183">
        <v>38215</v>
      </c>
      <c r="N56" s="3184">
        <v>38215.335486446274</v>
      </c>
      <c r="O56" s="3181" t="s">
        <v>3593</v>
      </c>
      <c r="P56" s="3189">
        <v>45665</v>
      </c>
      <c r="Q56" s="3176" t="s">
        <v>3909</v>
      </c>
      <c r="R56" s="3181" t="s">
        <v>3910</v>
      </c>
      <c r="S56" s="3181">
        <v>1073.2049</v>
      </c>
      <c r="T56" s="3186">
        <v>19472.455274521901</v>
      </c>
      <c r="U56" s="3181"/>
      <c r="V56" s="3187">
        <v>1.9625329701718655</v>
      </c>
      <c r="W56" s="3181" t="s">
        <v>3588</v>
      </c>
    </row>
    <row r="57" spans="1:23" ht="60" customHeight="1">
      <c r="A57" s="3176">
        <v>725</v>
      </c>
      <c r="B57" s="3176" t="s">
        <v>3911</v>
      </c>
      <c r="C57" s="3176" t="s">
        <v>3912</v>
      </c>
      <c r="D57" s="3181" t="s">
        <v>2742</v>
      </c>
      <c r="E57" s="3181" t="s">
        <v>3913</v>
      </c>
      <c r="F57" s="3181" t="s">
        <v>3914</v>
      </c>
      <c r="G57" s="3176" t="s">
        <v>3915</v>
      </c>
      <c r="H57" s="3181"/>
      <c r="I57" s="3181">
        <v>120267.37</v>
      </c>
      <c r="J57" s="3182">
        <v>90549.829999999987</v>
      </c>
      <c r="K57" s="3181">
        <v>29717.540000000008</v>
      </c>
      <c r="L57" s="3181">
        <v>290000</v>
      </c>
      <c r="M57" s="3183">
        <v>24113</v>
      </c>
      <c r="N57" s="3184">
        <v>32026.564820718057</v>
      </c>
      <c r="O57" s="3181" t="s">
        <v>3916</v>
      </c>
      <c r="P57" s="3189">
        <v>45629</v>
      </c>
      <c r="Q57" s="3176" t="s">
        <v>3917</v>
      </c>
      <c r="R57" s="3181" t="s">
        <v>3903</v>
      </c>
      <c r="S57" s="3181"/>
      <c r="T57" s="3186">
        <v>0</v>
      </c>
      <c r="U57" s="3181"/>
      <c r="V57" s="3187" t="e">
        <v>#DIV/0!</v>
      </c>
      <c r="W57" s="3181" t="s">
        <v>3580</v>
      </c>
    </row>
    <row r="58" spans="1:23" ht="60" customHeight="1">
      <c r="A58" s="3176">
        <v>726</v>
      </c>
      <c r="B58" s="3176" t="s">
        <v>3918</v>
      </c>
      <c r="C58" s="3176" t="s">
        <v>3919</v>
      </c>
      <c r="D58" s="3181" t="s">
        <v>2717</v>
      </c>
      <c r="E58" s="3181" t="s">
        <v>3920</v>
      </c>
      <c r="F58" s="3176" t="s">
        <v>3921</v>
      </c>
      <c r="G58" s="3176" t="s">
        <v>3922</v>
      </c>
      <c r="H58" s="3181"/>
      <c r="I58" s="3181">
        <v>91329.32</v>
      </c>
      <c r="J58" s="3182">
        <v>81137.83</v>
      </c>
      <c r="K58" s="3182">
        <v>10191.490000000005</v>
      </c>
      <c r="L58" s="3215">
        <v>168334.85</v>
      </c>
      <c r="M58" s="3183">
        <v>18432</v>
      </c>
      <c r="N58" s="3184">
        <v>20746.777427988894</v>
      </c>
      <c r="O58" s="3181" t="s">
        <v>3643</v>
      </c>
      <c r="P58" s="3185">
        <v>45671</v>
      </c>
      <c r="Q58" s="3176" t="s">
        <v>3923</v>
      </c>
      <c r="R58" s="3181" t="s">
        <v>3924</v>
      </c>
      <c r="S58" s="3181"/>
      <c r="T58" s="3186">
        <v>0</v>
      </c>
      <c r="U58" s="3181"/>
      <c r="V58" s="3187" t="e">
        <v>#DIV/0!</v>
      </c>
      <c r="W58" s="3181" t="s">
        <v>3645</v>
      </c>
    </row>
    <row r="59" spans="1:23" ht="60" hidden="1" customHeight="1">
      <c r="A59" s="3176">
        <v>732</v>
      </c>
      <c r="B59" s="3176" t="s">
        <v>3925</v>
      </c>
      <c r="C59" s="3176" t="s">
        <v>3926</v>
      </c>
      <c r="D59" s="3181" t="s">
        <v>2717</v>
      </c>
      <c r="E59" s="3181" t="s">
        <v>3927</v>
      </c>
      <c r="F59" s="3176" t="s">
        <v>3928</v>
      </c>
      <c r="G59" s="3176" t="s">
        <v>3929</v>
      </c>
      <c r="H59" s="3181"/>
      <c r="I59" s="3181">
        <v>7358.63</v>
      </c>
      <c r="J59" s="3182">
        <v>3400.9600000000005</v>
      </c>
      <c r="K59" s="3181">
        <v>3957.6699999999996</v>
      </c>
      <c r="L59" s="3215">
        <v>17772.328000000001</v>
      </c>
      <c r="M59" s="3183">
        <v>24152</v>
      </c>
      <c r="N59" s="3184">
        <v>52256.798080541965</v>
      </c>
      <c r="O59" s="3176" t="s">
        <v>3930</v>
      </c>
      <c r="P59" s="3189">
        <v>45695</v>
      </c>
      <c r="Q59" s="3176" t="s">
        <v>3931</v>
      </c>
      <c r="R59" s="3181" t="s">
        <v>3634</v>
      </c>
      <c r="S59" s="3181">
        <v>31736.3</v>
      </c>
      <c r="T59" s="3186">
        <v>93315.710858110629</v>
      </c>
      <c r="U59" s="3181"/>
      <c r="V59" s="3187">
        <v>0.56000000000000005</v>
      </c>
      <c r="W59" s="3181" t="s">
        <v>3588</v>
      </c>
    </row>
    <row r="60" spans="1:23" ht="60" hidden="1" customHeight="1">
      <c r="A60" s="3176">
        <v>733</v>
      </c>
      <c r="B60" s="3176" t="s">
        <v>3932</v>
      </c>
      <c r="C60" s="3176" t="s">
        <v>3933</v>
      </c>
      <c r="D60" s="3181" t="s">
        <v>2742</v>
      </c>
      <c r="E60" s="3181" t="s">
        <v>3934</v>
      </c>
      <c r="F60" s="3181" t="s">
        <v>3593</v>
      </c>
      <c r="G60" s="3176" t="s">
        <v>2603</v>
      </c>
      <c r="H60" s="3181"/>
      <c r="I60" s="3181">
        <v>603.87</v>
      </c>
      <c r="J60" s="3182"/>
      <c r="K60" s="3181"/>
      <c r="L60" s="3181">
        <v>1062.8</v>
      </c>
      <c r="M60" s="3183">
        <v>17600</v>
      </c>
      <c r="N60" s="3184" t="e">
        <v>#DIV/0!</v>
      </c>
      <c r="O60" s="3181" t="s">
        <v>3593</v>
      </c>
      <c r="P60" s="3189">
        <v>45712</v>
      </c>
      <c r="Q60" s="3181" t="s">
        <v>3935</v>
      </c>
      <c r="R60" s="3181" t="s">
        <v>3788</v>
      </c>
      <c r="S60" s="3181">
        <v>1660.64</v>
      </c>
      <c r="T60" s="3186" t="e">
        <v>#DIV/0!</v>
      </c>
      <c r="U60" s="3181"/>
      <c r="V60" s="3187">
        <v>0.63999421909625198</v>
      </c>
      <c r="W60" s="3181" t="s">
        <v>3588</v>
      </c>
    </row>
  </sheetData>
  <autoFilter ref="A1:W60" xr:uid="{531383B3-238F-4A2A-8B34-F659C69CFF6F}">
    <filterColumn colId="22">
      <filters>
        <filter val="公告"/>
        <filter val="公告+网签"/>
        <filter val="公告+新闻+备案表"/>
        <filter val="季报"/>
        <filter val="上市公告"/>
        <filter val="网签"/>
        <filter val="网签+报道"/>
        <filter val="网签+公告"/>
        <filter val="网签数据"/>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O21" sqref="O2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3423</v>
      </c>
      <c r="D1" s="1268" t="s">
        <v>43</v>
      </c>
      <c r="E1" s="1269" t="s">
        <v>678</v>
      </c>
      <c r="F1" s="996">
        <f ca="1">J53</f>
        <v>17.88</v>
      </c>
      <c r="G1" s="1283">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44500</v>
      </c>
      <c r="C2" s="1286" t="s">
        <v>805</v>
      </c>
      <c r="D2" s="1286"/>
      <c r="E2" s="1292"/>
      <c r="F2" s="1293"/>
      <c r="G2" s="2473"/>
      <c r="H2" s="2463"/>
      <c r="I2" s="2463"/>
      <c r="J2" s="2463"/>
      <c r="K2" s="2464"/>
      <c r="L2" s="2463"/>
      <c r="M2" s="2463"/>
    </row>
    <row r="3" spans="1:37" ht="18" customHeight="1" thickBot="1">
      <c r="A3" s="1294" t="s">
        <v>806</v>
      </c>
      <c r="B3" s="1295">
        <f ca="1">IF(ISERROR(B2*10000/F43),0,ROUND(B2*10000/F43,0))</f>
        <v>29163</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4015</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4010</v>
      </c>
      <c r="D6" s="147" t="s">
        <v>2109</v>
      </c>
      <c r="E6" s="294" t="s">
        <v>696</v>
      </c>
      <c r="F6" s="295">
        <f ca="1">INDIRECT("'数据-取费表'!u"&amp;$G$1)</f>
        <v>8</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15259.08</v>
      </c>
      <c r="G7" s="1289"/>
      <c r="H7" s="296"/>
      <c r="I7" s="3469"/>
      <c r="J7" s="298"/>
      <c r="K7" s="299"/>
      <c r="L7" s="294" t="s">
        <v>697</v>
      </c>
      <c r="M7" s="295">
        <f ca="1">F7</f>
        <v>15259.08</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5</v>
      </c>
      <c r="D10" s="150" t="s">
        <v>2117</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10737</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8392</v>
      </c>
      <c r="D14" s="1254" t="s">
        <v>708</v>
      </c>
      <c r="E14" s="1252"/>
      <c r="F14" s="311"/>
      <c r="G14" s="1289"/>
      <c r="H14" s="925" t="s">
        <v>398</v>
      </c>
      <c r="I14" s="294" t="s">
        <v>709</v>
      </c>
      <c r="J14" s="21">
        <f ca="1">C29</f>
        <v>12201</v>
      </c>
      <c r="K14" s="12"/>
      <c r="L14" s="756"/>
      <c r="M14" s="757"/>
    </row>
    <row r="15" spans="1:37" s="1301" customFormat="1" ht="18" customHeight="1" thickBot="1">
      <c r="A15" s="925" t="s">
        <v>399</v>
      </c>
      <c r="B15" s="294" t="s">
        <v>710</v>
      </c>
      <c r="C15" s="21">
        <f ca="1">ROUND(C14*F15,0)</f>
        <v>420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38</v>
      </c>
      <c r="K16" s="1021" t="s">
        <v>715</v>
      </c>
      <c r="L16" s="1022"/>
      <c r="M16" s="1006"/>
    </row>
    <row r="17" spans="1:37" s="1301" customFormat="1" ht="18" customHeight="1">
      <c r="A17" s="925" t="s">
        <v>681</v>
      </c>
      <c r="B17" s="294" t="s">
        <v>716</v>
      </c>
      <c r="C17" s="21">
        <f ca="1">ROUND(F17*(F43+INDIRECT("'数据-取费表'!S"&amp;$G$1))/10000,0)</f>
        <v>305</v>
      </c>
      <c r="D17" s="294" t="s">
        <v>717</v>
      </c>
      <c r="E17" s="294" t="s">
        <v>718</v>
      </c>
      <c r="F17" s="23">
        <f>'数据-取费表'!B35</f>
        <v>200</v>
      </c>
      <c r="G17" s="1300"/>
      <c r="H17" s="925" t="s">
        <v>398</v>
      </c>
      <c r="I17" s="294" t="s">
        <v>719</v>
      </c>
      <c r="J17" s="2137">
        <f ca="1">ROUND(IF(AND(项目基本情况!B11="自然人",项目基本情况!B10="北京市"),J6*M17/(1+'数据-取费表'!C42),J18+J19+J20),2)</f>
        <v>1.36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168</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9285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186</v>
      </c>
      <c r="D20" s="315" t="s">
        <v>729</v>
      </c>
      <c r="E20" s="294" t="s">
        <v>712</v>
      </c>
      <c r="F20" s="314">
        <f>'数据-取费表'!B37</f>
        <v>0.02</v>
      </c>
      <c r="G20" s="1300"/>
      <c r="H20" s="925" t="s">
        <v>680</v>
      </c>
      <c r="I20" s="147" t="s">
        <v>730</v>
      </c>
      <c r="J20" s="22">
        <f ca="1">ROUND(M20*M21/10000,2)</f>
        <v>1.36</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4546.92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36.6</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368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-38</v>
      </c>
      <c r="K25" s="1029" t="s">
        <v>753</v>
      </c>
      <c r="L25" s="1030"/>
      <c r="M25" s="1031"/>
    </row>
    <row r="26" spans="1:37">
      <c r="A26" s="925" t="s">
        <v>397</v>
      </c>
      <c r="B26" s="294" t="s">
        <v>754</v>
      </c>
      <c r="C26" s="21">
        <f ca="1">ROUND((C19+C20)*F26,0)</f>
        <v>1421</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12201</v>
      </c>
      <c r="D29" s="1026"/>
      <c r="E29" s="1024"/>
      <c r="F29" s="1027"/>
      <c r="G29" s="1300"/>
      <c r="H29" s="325" t="s">
        <v>396</v>
      </c>
      <c r="I29" s="326" t="s">
        <v>768</v>
      </c>
      <c r="J29" s="327">
        <f ca="1">ROUND(J26/(1+F40)^F41,0)</f>
        <v>0</v>
      </c>
      <c r="K29" s="328" t="s">
        <v>769</v>
      </c>
      <c r="L29" s="329"/>
      <c r="M29" s="330">
        <f ca="1">INDIRECT("'数据-取费表'!k"&amp;$G$1)</f>
        <v>15259.08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741</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673.52</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213.87</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458.29</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1.36</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4546.92</v>
      </c>
      <c r="G35" s="1289"/>
      <c r="H35" s="2465"/>
      <c r="I35" s="1302"/>
      <c r="J35" s="1303"/>
      <c r="K35" s="2469"/>
      <c r="L35" s="2468"/>
      <c r="M35" s="2468"/>
    </row>
    <row r="36" spans="1:18" ht="18" customHeight="1">
      <c r="A36" s="1036" t="s">
        <v>402</v>
      </c>
      <c r="B36" s="294" t="s">
        <v>738</v>
      </c>
      <c r="C36" s="21">
        <f ca="1">ROUND(C29*F36,2)</f>
        <v>36.6</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10.74</v>
      </c>
      <c r="D37" s="1253" t="s">
        <v>743</v>
      </c>
      <c r="E37" s="294" t="s">
        <v>744</v>
      </c>
      <c r="F37" s="321">
        <f ca="1">INDIRECT("'数据-取费表'!Al"&amp;$G$1)</f>
        <v>1E-3</v>
      </c>
      <c r="G37" s="1289"/>
      <c r="H37" s="2468"/>
      <c r="I37" s="1302"/>
      <c r="J37" s="1303"/>
      <c r="K37" s="2326"/>
      <c r="L37" s="2468"/>
      <c r="M37" s="2468"/>
    </row>
    <row r="38" spans="1:18" ht="18" customHeight="1" thickBot="1">
      <c r="A38" s="1023" t="s">
        <v>684</v>
      </c>
      <c r="B38" s="1024" t="s">
        <v>728</v>
      </c>
      <c r="C38" s="1025">
        <f ca="1">ROUND(C5*F38,2)</f>
        <v>20.079999999999998</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2">
        <f ca="1">C5-C30</f>
        <v>3274</v>
      </c>
      <c r="D39" s="1029" t="s">
        <v>773</v>
      </c>
      <c r="E39" s="1030"/>
      <c r="F39" s="1031"/>
      <c r="G39" s="1289"/>
      <c r="H39" s="2468"/>
      <c r="I39" s="1302"/>
      <c r="J39" s="1303"/>
      <c r="K39" s="2466"/>
      <c r="L39" s="2468"/>
      <c r="M39" s="2468"/>
    </row>
    <row r="40" spans="1:18" ht="18" customHeight="1">
      <c r="A40" s="291" t="s">
        <v>395</v>
      </c>
      <c r="B40" s="292" t="s">
        <v>774</v>
      </c>
      <c r="C40" s="293">
        <f ca="1">ROUND(C39*(1-((1+F42)/(1+F40))^F41)/(F40-F42),0)</f>
        <v>42371</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27768</v>
      </c>
      <c r="D43" s="328" t="s">
        <v>777</v>
      </c>
      <c r="E43" s="329" t="s">
        <v>778</v>
      </c>
      <c r="F43" s="330">
        <f ca="1">INDIRECT("'数据-取费表'!k"&amp;$G$1)</f>
        <v>15259.08</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-42909</v>
      </c>
      <c r="D46" s="1310" t="str">
        <f>C2</f>
        <v>万元</v>
      </c>
      <c r="E46" s="1304"/>
      <c r="F46" s="1304"/>
      <c r="I46" s="1311" t="s">
        <v>810</v>
      </c>
      <c r="J46" s="1312"/>
      <c r="K46" s="1313"/>
      <c r="L46" s="1314">
        <f ca="1">IF(M47="住宅",0,IF(L48&gt;J51,L60,J60))</f>
        <v>2129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42371</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17.88</v>
      </c>
      <c r="O48" s="1322" t="s">
        <v>404</v>
      </c>
      <c r="P48" s="1323" t="s">
        <v>821</v>
      </c>
      <c r="Q48" s="1324">
        <f ca="1">J60</f>
        <v>2129</v>
      </c>
      <c r="R48" s="1324" t="s">
        <v>822</v>
      </c>
    </row>
    <row r="49" spans="1:18" s="1289" customFormat="1" ht="13.8" thickBot="1">
      <c r="A49" s="918" t="s">
        <v>439</v>
      </c>
      <c r="B49" s="1276" t="s">
        <v>779</v>
      </c>
      <c r="C49" s="1048">
        <f ca="1">ROUND(F49*F51*F50*(1-F52)/10000,0)</f>
        <v>0</v>
      </c>
      <c r="D49" s="989" t="s">
        <v>2110</v>
      </c>
      <c r="E49" s="1277" t="s">
        <v>780</v>
      </c>
      <c r="F49" s="994"/>
      <c r="H49" s="681"/>
      <c r="I49" s="1325" t="s">
        <v>823</v>
      </c>
      <c r="J49" s="1329">
        <f>'数据-取费表'!O19</f>
        <v>2018</v>
      </c>
      <c r="K49" s="1327" t="s">
        <v>824</v>
      </c>
      <c r="L49" s="1330"/>
      <c r="O49" s="1331" t="s">
        <v>405</v>
      </c>
      <c r="P49" s="1323" t="s">
        <v>825</v>
      </c>
      <c r="Q49" s="1324">
        <f ca="1">C29</f>
        <v>12201</v>
      </c>
      <c r="R49" s="1324" t="s">
        <v>818</v>
      </c>
    </row>
    <row r="50" spans="1:18" s="1289" customFormat="1" ht="13.8" thickBot="1">
      <c r="A50" s="919"/>
      <c r="B50" s="922"/>
      <c r="C50" s="1052"/>
      <c r="D50" s="896"/>
      <c r="E50" s="990" t="s">
        <v>697</v>
      </c>
      <c r="F50" s="991">
        <f ca="1">F7</f>
        <v>15259.08</v>
      </c>
      <c r="H50" s="681"/>
      <c r="I50" s="1325" t="s">
        <v>826</v>
      </c>
      <c r="J50" s="1332">
        <f>SUMPRODUCT((I63:I65=J47)*(J62:L62=J48)*(J63:L65))</f>
        <v>60</v>
      </c>
      <c r="K50" s="1327" t="s">
        <v>827</v>
      </c>
      <c r="L50" s="1330"/>
      <c r="M50" s="1333"/>
      <c r="O50" s="1331" t="s">
        <v>406</v>
      </c>
      <c r="P50" s="1323" t="s">
        <v>828</v>
      </c>
      <c r="Q50" s="1334">
        <f ca="1">J58</f>
        <v>0.58499999999999996</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46648</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17.88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17.88</v>
      </c>
      <c r="K53" s="3466" t="s">
        <v>837</v>
      </c>
      <c r="L53" s="3467"/>
      <c r="O53" s="1322" t="s">
        <v>409</v>
      </c>
      <c r="P53" s="1323" t="s">
        <v>838</v>
      </c>
      <c r="Q53" s="1324">
        <f ca="1">Q47+Q48</f>
        <v>44500</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0.58499999999999996</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10737</v>
      </c>
      <c r="D56" s="1349"/>
      <c r="E56" s="1350"/>
      <c r="F56" s="1342"/>
      <c r="I56" s="1351" t="s">
        <v>842</v>
      </c>
      <c r="J56" s="1352" t="s">
        <v>3454</v>
      </c>
      <c r="K56" s="1325" t="s">
        <v>843</v>
      </c>
      <c r="L56" s="1328" t="str">
        <f ca="1">IF(L48&lt;J51,"——",L48-J53)</f>
        <v>——</v>
      </c>
      <c r="O56" s="1322" t="s">
        <v>403</v>
      </c>
      <c r="P56" s="1323" t="s">
        <v>817</v>
      </c>
      <c r="Q56" s="1324">
        <f ca="1">C40+J29</f>
        <v>42371</v>
      </c>
      <c r="R56" s="1324" t="s">
        <v>818</v>
      </c>
    </row>
    <row r="57" spans="1:18" s="1289" customFormat="1" ht="24.6" thickBot="1">
      <c r="A57" s="1353"/>
      <c r="B57" s="893" t="s">
        <v>767</v>
      </c>
      <c r="C57" s="230">
        <f ca="1">C29</f>
        <v>12201</v>
      </c>
      <c r="D57" s="1354"/>
      <c r="E57" s="1355"/>
      <c r="F57" s="1356"/>
      <c r="I57" s="1357" t="s">
        <v>844</v>
      </c>
      <c r="J57" s="1358">
        <f ca="1">IF(OR(M47="住宅",J51&lt;L48,J56="是"),"——",J51-L48)</f>
        <v>35.120000000000005</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48</v>
      </c>
      <c r="D58" s="903" t="s">
        <v>715</v>
      </c>
      <c r="E58" s="904"/>
      <c r="F58" s="905"/>
      <c r="I58" s="1357" t="s">
        <v>848</v>
      </c>
      <c r="J58" s="1359">
        <f ca="1">IF(J55&lt;0.4,0.4,J55)</f>
        <v>0.58499999999999996</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7138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2129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1.36</v>
      </c>
      <c r="D62" s="908" t="s">
        <v>786</v>
      </c>
      <c r="E62" s="893" t="s">
        <v>787</v>
      </c>
      <c r="F62" s="317">
        <f t="shared" si="0"/>
        <v>3</v>
      </c>
      <c r="I62" s="1364" t="s">
        <v>858</v>
      </c>
      <c r="J62" s="609" t="s">
        <v>859</v>
      </c>
      <c r="K62" s="609" t="s">
        <v>860</v>
      </c>
      <c r="L62" s="609" t="s">
        <v>861</v>
      </c>
      <c r="M62" s="1365" t="s">
        <v>862</v>
      </c>
      <c r="O62" s="1322" t="s">
        <v>409</v>
      </c>
      <c r="P62" s="1323" t="s">
        <v>863</v>
      </c>
      <c r="Q62" s="1324">
        <f ca="1">Q56+Q57</f>
        <v>42371</v>
      </c>
      <c r="R62" s="1324" t="s">
        <v>410</v>
      </c>
    </row>
    <row r="63" spans="1:18" s="1289" customFormat="1" ht="13.8" thickBot="1">
      <c r="A63" s="318"/>
      <c r="B63" s="899"/>
      <c r="C63" s="26"/>
      <c r="D63" s="909"/>
      <c r="E63" s="893" t="s">
        <v>788</v>
      </c>
      <c r="F63" s="295">
        <f t="shared" ca="1" si="0"/>
        <v>4546.92</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ROUND(C57*F64,2)</f>
        <v>36.6</v>
      </c>
      <c r="D64" s="907" t="s">
        <v>791</v>
      </c>
      <c r="E64" s="893" t="s">
        <v>783</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10.74</v>
      </c>
      <c r="D65" s="907" t="s">
        <v>743</v>
      </c>
      <c r="E65" s="893" t="s">
        <v>744</v>
      </c>
      <c r="F65" s="321">
        <f t="shared" ca="1" si="0"/>
        <v>1E-3</v>
      </c>
      <c r="I65" s="1364" t="s">
        <v>867</v>
      </c>
      <c r="J65" s="609">
        <v>40</v>
      </c>
      <c r="K65" s="609">
        <v>30</v>
      </c>
      <c r="L65" s="609">
        <v>50</v>
      </c>
      <c r="M65" s="1366">
        <v>0.02</v>
      </c>
      <c r="O65" s="1322" t="s">
        <v>403</v>
      </c>
      <c r="P65" s="1323" t="s">
        <v>868</v>
      </c>
      <c r="Q65" s="1324">
        <f ca="1">C40+J29</f>
        <v>42371</v>
      </c>
      <c r="R65" s="1324" t="s">
        <v>818</v>
      </c>
    </row>
    <row r="66" spans="1:18" s="1289" customFormat="1" ht="16.2"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-48</v>
      </c>
      <c r="D67" s="906" t="s">
        <v>753</v>
      </c>
      <c r="E67" s="911"/>
      <c r="F67" s="912"/>
      <c r="O67" s="1331" t="s">
        <v>405</v>
      </c>
      <c r="P67" s="1323" t="s">
        <v>850</v>
      </c>
      <c r="Q67" s="1367">
        <f ca="1">L51</f>
        <v>46648</v>
      </c>
      <c r="R67" s="1324" t="s">
        <v>870</v>
      </c>
    </row>
    <row r="68" spans="1:18" s="1289" customFormat="1" ht="16.2" thickBot="1">
      <c r="A68" s="890" t="s">
        <v>395</v>
      </c>
      <c r="B68" s="891" t="s">
        <v>774</v>
      </c>
      <c r="C68" s="293">
        <f ca="1">ROUND(C67*(1-((1+F70)/(1+F68))^F69)/(F68-F70),0)</f>
        <v>-538</v>
      </c>
      <c r="D68" s="908" t="s">
        <v>758</v>
      </c>
      <c r="E68" s="893" t="s">
        <v>759</v>
      </c>
      <c r="F68" s="304">
        <f ca="1">F40</f>
        <v>5.5E-2</v>
      </c>
      <c r="O68" s="1331" t="s">
        <v>406</v>
      </c>
      <c r="P68" s="1368" t="s">
        <v>871</v>
      </c>
      <c r="Q68" s="1324">
        <f ca="1">ROUND(Q69-Q70*Q71,0)</f>
        <v>2522</v>
      </c>
      <c r="R68" s="1324" t="s">
        <v>414</v>
      </c>
    </row>
    <row r="69" spans="1:18" s="1289" customFormat="1" ht="13.8" thickBot="1">
      <c r="A69" s="894"/>
      <c r="B69" s="895"/>
      <c r="C69" s="298"/>
      <c r="D69" s="913" t="s">
        <v>762</v>
      </c>
      <c r="E69" s="893" t="s">
        <v>763</v>
      </c>
      <c r="F69" s="324">
        <f ca="1">F41</f>
        <v>17.88</v>
      </c>
      <c r="O69" s="1331" t="s">
        <v>411</v>
      </c>
      <c r="P69" s="1368" t="s">
        <v>872</v>
      </c>
      <c r="Q69" s="1324">
        <f ca="1">C39</f>
        <v>3274</v>
      </c>
      <c r="R69" s="1324" t="s">
        <v>818</v>
      </c>
    </row>
    <row r="70" spans="1:18" s="1289" customFormat="1" ht="13.8" thickBot="1">
      <c r="A70" s="897"/>
      <c r="B70" s="898"/>
      <c r="C70" s="302"/>
      <c r="D70" s="909"/>
      <c r="E70" s="893" t="s">
        <v>766</v>
      </c>
      <c r="F70" s="988"/>
      <c r="O70" s="1331" t="s">
        <v>412</v>
      </c>
      <c r="P70" s="1368" t="s">
        <v>873</v>
      </c>
      <c r="Q70" s="1324">
        <f ca="1">C13</f>
        <v>10737</v>
      </c>
      <c r="R70" s="1324" t="s">
        <v>818</v>
      </c>
    </row>
    <row r="71" spans="1:18" s="1289" customFormat="1" ht="13.8" thickBot="1">
      <c r="A71" s="914" t="s">
        <v>396</v>
      </c>
      <c r="B71" s="915" t="s">
        <v>776</v>
      </c>
      <c r="C71" s="327">
        <f ca="1">ROUND(C68*10000/F71,0)</f>
        <v>-353</v>
      </c>
      <c r="D71" s="916" t="s">
        <v>777</v>
      </c>
      <c r="E71" s="917" t="s">
        <v>778</v>
      </c>
      <c r="F71" s="330">
        <f ca="1">F43</f>
        <v>15259.08</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752</v>
      </c>
      <c r="D75" s="1289"/>
      <c r="E75" s="1289"/>
      <c r="F75" s="1289"/>
      <c r="K75" s="1306"/>
      <c r="L75" s="1289"/>
      <c r="O75" s="1322" t="s">
        <v>409</v>
      </c>
      <c r="P75" s="1323" t="s">
        <v>838</v>
      </c>
      <c r="Q75" s="1324">
        <f ca="1">Q65+Q66</f>
        <v>42371</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0.77</v>
      </c>
    </row>
    <row r="80" spans="1:18">
      <c r="B80" s="331" t="s">
        <v>800</v>
      </c>
      <c r="C80" s="266">
        <f ca="1">ROUND(C75/C39,3)</f>
        <v>0.23</v>
      </c>
    </row>
    <row r="81" spans="2:3">
      <c r="B81" s="262" t="s">
        <v>801</v>
      </c>
      <c r="C81" s="230"/>
    </row>
    <row r="82" spans="2:3">
      <c r="B82" s="265" t="s">
        <v>802</v>
      </c>
      <c r="C82" s="267">
        <f ca="1">1-C83</f>
        <v>0.747</v>
      </c>
    </row>
    <row r="83" spans="2:3">
      <c r="B83" s="265" t="s">
        <v>803</v>
      </c>
      <c r="C83" s="266">
        <f ca="1">ROUND(C13/C40,3)</f>
        <v>0.253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3421</v>
      </c>
      <c r="C1" s="1714" t="s">
        <v>1563</v>
      </c>
      <c r="D1" s="190"/>
      <c r="E1" s="190"/>
      <c r="F1" s="190"/>
      <c r="G1" s="1059" t="e">
        <f>MATCH(B1,'数据-取费表'!A6:A16,0)+5</f>
        <v>#N/A</v>
      </c>
      <c r="H1" s="995" t="str">
        <f>IF(ISERROR(FIND("住宅",B1)),"非住宅","住宅")</f>
        <v>非住宅</v>
      </c>
    </row>
    <row r="2" spans="1:8" s="192" customFormat="1" ht="18" customHeight="1">
      <c r="A2" s="193" t="s">
        <v>1462</v>
      </c>
      <c r="B2" s="3116" t="e">
        <f ca="1">ROUND(IF(D2="——",C52/10000,C52/10000-E2),4)</f>
        <v>#N/A</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29" t="s">
        <v>1472</v>
      </c>
      <c r="B6" s="207" t="s">
        <v>1473</v>
      </c>
      <c r="C6" s="208">
        <f>ROUND(基准地价修正!D37*基准地价修正!C37,0)</f>
        <v>54523211</v>
      </c>
      <c r="D6" s="209"/>
      <c r="E6" s="210"/>
      <c r="F6" s="210"/>
      <c r="G6" s="211"/>
    </row>
    <row r="7" spans="1:8" s="206" customFormat="1" ht="13.5" customHeight="1">
      <c r="A7" s="729" t="s">
        <v>1474</v>
      </c>
      <c r="B7" s="207" t="s">
        <v>1475</v>
      </c>
      <c r="C7" s="212">
        <f>ROUND(C6*F7,0)</f>
        <v>1662958</v>
      </c>
      <c r="D7" s="212"/>
      <c r="E7" s="210"/>
      <c r="F7" s="213">
        <f>IF(项目基本情况!B8="出让",0,'数据-取费表'!B48+'数据-取费表'!B49)</f>
        <v>3.0499999999999999E-2</v>
      </c>
      <c r="G7" s="211"/>
    </row>
    <row r="8" spans="1:8" s="215" customFormat="1">
      <c r="A8" s="729" t="s">
        <v>1476</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1" t="s">
        <v>3436</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8.0000000000000004E-4</v>
      </c>
      <c r="E22" s="228" t="s">
        <v>1579</v>
      </c>
      <c r="F22" s="229">
        <f ca="1">'数据-取费表'!B40</f>
        <v>3.1E-2</v>
      </c>
      <c r="G22" s="226" t="str">
        <f>IF('数据-取费表'!B22&lt;=1,"单利计息","复利计息")</f>
        <v>复利计息</v>
      </c>
    </row>
    <row r="23" spans="1:7" s="206" customFormat="1" ht="13.5" customHeight="1">
      <c r="A23" s="731" t="s">
        <v>1472</v>
      </c>
      <c r="B23" s="207" t="s">
        <v>1583</v>
      </c>
      <c r="C23" s="230" t="e">
        <f ca="1">ROUND(IF('数据-取费表'!B22&lt;=1,C5*F22*'数据-取费表'!B22,C5*(POWER((1+F22),'数据-取费表'!B22)-1)),0)</f>
        <v>#N/A</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t="e">
        <f ca="1">ROUND(IF('数据-取费表'!B22&lt;=1,C20*F22*'数据-取费表'!B22/2,C20*(POWER((1+F22),'数据-取费表'!B22/2)-1)),0)</f>
        <v>#N/A</v>
      </c>
      <c r="D25" s="230"/>
      <c r="E25" s="233"/>
      <c r="F25" s="231"/>
      <c r="G25" s="234" t="s">
        <v>1588</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ROUND((C5+C19+C20)*F27,0)</f>
        <v>#N/A</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t="e">
        <f ca="1">ROUND(IF('数据-取费表'!B22&lt;=1,C33*F22*'数据-取费表'!B20/2,C33*(POWER((1+F22),'数据-取费表'!B20/2)-1)),0)</f>
        <v>#N/A</v>
      </c>
      <c r="D42" s="230"/>
      <c r="E42" s="230"/>
      <c r="F42" s="231"/>
      <c r="G42" s="3471" t="s">
        <v>1591</v>
      </c>
    </row>
    <row r="43" spans="1:7" ht="13.5" customHeight="1">
      <c r="A43" s="731" t="s">
        <v>347</v>
      </c>
      <c r="B43" s="207" t="s">
        <v>1545</v>
      </c>
      <c r="C43" s="230" t="e">
        <f ca="1">ROUND(IF('数据-取费表'!B22&lt;=1,C39*F22*'数据-取费表'!B20/2,C39*(POWER((1+F22),'数据-取费表'!B20/2)-1)),0)</f>
        <v>#N/A</v>
      </c>
      <c r="D43" s="230"/>
      <c r="E43" s="230"/>
      <c r="F43" s="231"/>
      <c r="G43" s="3472"/>
    </row>
    <row r="44" spans="1:7" ht="13.5" customHeight="1">
      <c r="A44" s="731" t="s">
        <v>348</v>
      </c>
      <c r="B44" s="207" t="s">
        <v>1546</v>
      </c>
      <c r="C44" s="230">
        <f ca="1">ROUND(IF('数据-取费表'!B22&lt;=1,C40*F22*'数据-取费表'!B20/2,C40*(POWER((1+F22),'数据-取费表'!B20/2)-1)),4)</f>
        <v>8.0000000000000004E-4</v>
      </c>
      <c r="D44" s="230"/>
      <c r="E44" s="230"/>
      <c r="F44" s="231"/>
      <c r="G44" s="3473"/>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3421</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t="e">
        <f ca="1">ROUND(D2/10000,4)</f>
        <v>#N/A</v>
      </c>
      <c r="C2" s="1286" t="s">
        <v>879</v>
      </c>
      <c r="D2" s="1372" t="e">
        <f ca="1">C40+J29+L46</f>
        <v>#N/A</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t="e">
        <f ca="1">C6+C10+C12</f>
        <v>#N/A</v>
      </c>
      <c r="D5" s="1270" t="s">
        <v>889</v>
      </c>
      <c r="E5" s="1005"/>
      <c r="F5" s="1006"/>
      <c r="G5" s="1289"/>
      <c r="H5" s="291">
        <v>1</v>
      </c>
      <c r="I5" s="292" t="s">
        <v>888</v>
      </c>
      <c r="J5" s="1004" t="e">
        <f ca="1">J6+J10+J12</f>
        <v>#N/A</v>
      </c>
      <c r="K5" s="1270" t="s">
        <v>889</v>
      </c>
      <c r="L5" s="1005"/>
      <c r="M5" s="1006"/>
    </row>
    <row r="6" spans="1:37" ht="18" customHeight="1">
      <c r="A6" s="1003" t="s">
        <v>398</v>
      </c>
      <c r="B6" s="3468" t="s">
        <v>694</v>
      </c>
      <c r="C6" s="1008" t="e">
        <f ca="1">ROUND(F6*F8*F7*(1-F9),0)</f>
        <v>#N/A</v>
      </c>
      <c r="D6" s="147" t="s">
        <v>2106</v>
      </c>
      <c r="E6" s="294" t="s">
        <v>696</v>
      </c>
      <c r="F6" s="295" t="e">
        <f ca="1">INDIRECT("'数据-取费表'!u"&amp;$G$1)</f>
        <v>#N/A</v>
      </c>
      <c r="G6" s="1289"/>
      <c r="H6" s="1003" t="s">
        <v>398</v>
      </c>
      <c r="I6" s="3468" t="s">
        <v>694</v>
      </c>
      <c r="J6" s="293" t="e">
        <f ca="1">ROUND(M6*M8*M7*(1-M9),0)</f>
        <v>#N/A</v>
      </c>
      <c r="K6" s="1281" t="s">
        <v>2107</v>
      </c>
      <c r="L6" s="294" t="s">
        <v>696</v>
      </c>
      <c r="M6" s="295" t="e">
        <f ca="1">INDIRECT("'数据-取费表'!z"&amp;$G$1)</f>
        <v>#N/A</v>
      </c>
    </row>
    <row r="7" spans="1:37" ht="18" customHeight="1">
      <c r="A7" s="1007"/>
      <c r="B7" s="3469"/>
      <c r="C7" s="1009"/>
      <c r="D7" s="299"/>
      <c r="E7" s="1010" t="s">
        <v>697</v>
      </c>
      <c r="F7" s="295" t="e">
        <f ca="1">IF(INDIRECT("'数据-取费表'!ah"&amp;$G$1)="",INDIRECT("'数据-取费表'!k"&amp;$G$1),INDIRECT("'数据-取费表'!ah"&amp;$G$1))</f>
        <v>#N/A</v>
      </c>
      <c r="G7" s="1289"/>
      <c r="H7" s="296"/>
      <c r="I7" s="3469"/>
      <c r="J7" s="298"/>
      <c r="K7" s="299"/>
      <c r="L7" s="294" t="s">
        <v>697</v>
      </c>
      <c r="M7" s="295" t="e">
        <f ca="1">F7</f>
        <v>#N/A</v>
      </c>
    </row>
    <row r="8" spans="1:37" ht="18" customHeight="1">
      <c r="A8" s="296"/>
      <c r="B8" s="3469"/>
      <c r="C8" s="298"/>
      <c r="D8" s="299"/>
      <c r="E8" s="294" t="s">
        <v>698</v>
      </c>
      <c r="F8" s="295" t="e">
        <f ca="1">INDIRECT("'数据-取费表'!ai"&amp;$G$1)</f>
        <v>#N/A</v>
      </c>
      <c r="G8" s="1289"/>
      <c r="H8" s="296"/>
      <c r="I8" s="3469"/>
      <c r="J8" s="298"/>
      <c r="K8" s="299"/>
      <c r="L8" s="294" t="s">
        <v>698</v>
      </c>
      <c r="M8" s="295" t="e">
        <f ca="1">INDIRECT("'数据-取费表'!ai"&amp;$G$1)</f>
        <v>#N/A</v>
      </c>
    </row>
    <row r="9" spans="1:37" ht="18" customHeight="1">
      <c r="A9" s="296"/>
      <c r="B9" s="3470"/>
      <c r="C9" s="298"/>
      <c r="D9" s="299"/>
      <c r="E9" s="294" t="s">
        <v>699</v>
      </c>
      <c r="F9" s="304" t="e">
        <f ca="1">INDIRECT("'数据-取费表'!w"&amp;$G$1)</f>
        <v>#N/A</v>
      </c>
      <c r="G9" s="1289"/>
      <c r="H9" s="296"/>
      <c r="I9" s="3470"/>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ROUND(INDIRECT("'数据-取费表'!l"&amp;$G$1)*F43+'数据-取费表'!L14*INDIRECT("'数据-取费表'!S"&amp;$G$1),0)</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ROUND(INDIRECT("'数据-取费表'!l"&amp;$G$1)*F43*F16,0)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ROUND(F17*(F43+INDIRECT("'数据-取费表'!S"&amp;$G$1)),0)</f>
        <v>#N/A</v>
      </c>
      <c r="D17" s="294" t="s">
        <v>717</v>
      </c>
      <c r="E17" s="294" t="s">
        <v>718</v>
      </c>
      <c r="F17" s="23">
        <f>'数据-取费表'!B35</f>
        <v>200</v>
      </c>
      <c r="G17" s="1300"/>
      <c r="H17" s="925" t="s">
        <v>398</v>
      </c>
      <c r="I17" s="294"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ROUND(J6*M18/(1+'数据-取费表'!C42),0)</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IF(K19="按租金收入计税",ROUND(J6*M19/(1+'数据-取费表'!C42),0),ROUND(C29*M19*0.7,0))</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ROUND(M20*M21,0)</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ROUND(J14*M22,0)</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ROUND(J13*M23,0)</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t="e">
        <f ca="1">ROUND(J5*M24,0)</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ht="18" customHeight="1">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IF(项目基本情况!B11="自然人","——",ROUND(C6*F32/(1+'数据-取费表'!C42),0))</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IF(项目基本情况!B11="自然人","——",IF(D33="按租金收入计税",ROUND(C6*F33/(1+'数据-取费表'!C42),0),IF(D33="按房产原值计税",ROUND(C29*F33*0.7,0),INDIRECT("'数据-取费表'!Aj"&amp;$G$1))))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IF(项目基本情况!B11="自然人","——",ROUND(F34*F35,0))</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ROUND(C29*F36,0)</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ROUND(C13*F37,0)</f>
        <v>#N/A</v>
      </c>
      <c r="D37" s="1253" t="s">
        <v>743</v>
      </c>
      <c r="E37" s="294" t="s">
        <v>744</v>
      </c>
      <c r="F37" s="321" t="e">
        <f ca="1">INDIRECT("'数据-取费表'!Al"&amp;$G$1)</f>
        <v>#N/A</v>
      </c>
      <c r="G37" s="1289"/>
      <c r="H37" s="2468"/>
      <c r="I37" s="1302"/>
      <c r="J37" s="1303"/>
      <c r="K37" s="2326"/>
      <c r="L37" s="2468"/>
      <c r="M37" s="2468"/>
    </row>
    <row r="38" spans="1:18" ht="18" customHeight="1" thickBot="1">
      <c r="A38" s="1023" t="s">
        <v>684</v>
      </c>
      <c r="B38" s="1024" t="s">
        <v>728</v>
      </c>
      <c r="C38" s="1025" t="e">
        <f ca="1">ROUND(C5*F38,0)</f>
        <v>#N/A</v>
      </c>
      <c r="D38" s="1026" t="s">
        <v>748</v>
      </c>
      <c r="E38" s="1024" t="s">
        <v>744</v>
      </c>
      <c r="F38" s="1020" t="e">
        <f ca="1">INDIRECT("'数据-取费表'!Am"&amp;$G$1)</f>
        <v>#N/A</v>
      </c>
      <c r="G38" s="1289"/>
      <c r="H38" s="2468"/>
      <c r="I38" s="1302"/>
      <c r="J38" s="1303"/>
      <c r="K38" s="2466"/>
      <c r="L38" s="2468"/>
      <c r="M38" s="2468"/>
    </row>
    <row r="39" spans="1:18" ht="24.6" customHeight="1" thickTop="1">
      <c r="A39" s="1013" t="s">
        <v>394</v>
      </c>
      <c r="B39" s="1028" t="s">
        <v>772</v>
      </c>
      <c r="C39" s="302" t="e">
        <f ca="1">C5-C30</f>
        <v>#N/A</v>
      </c>
      <c r="D39" s="1029" t="s">
        <v>773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2" t="s">
        <v>3348</v>
      </c>
      <c r="B45" s="1304"/>
      <c r="C45" s="1373" t="e">
        <f ca="1">ROUND((C68-C40)/10000,4)</f>
        <v>#N/A</v>
      </c>
      <c r="D45" s="3123" t="s">
        <v>3349</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ROUND(F49*F51*F50*(1-F52),0)</f>
        <v>#N/A</v>
      </c>
      <c r="D49" s="989" t="s">
        <v>695</v>
      </c>
      <c r="E49" s="1277" t="s">
        <v>780</v>
      </c>
      <c r="F49" s="994"/>
      <c r="H49" s="681"/>
      <c r="I49" s="1325" t="s">
        <v>823</v>
      </c>
      <c r="J49" s="1329">
        <f>'数据-取费表'!O19</f>
        <v>2018</v>
      </c>
      <c r="K49" s="1327" t="s">
        <v>824</v>
      </c>
      <c r="L49" s="1330"/>
      <c r="O49" s="1331" t="s">
        <v>405</v>
      </c>
      <c r="P49" s="1323" t="s">
        <v>825</v>
      </c>
      <c r="Q49" s="1324" t="e">
        <f ca="1">C29</f>
        <v>#N/A</v>
      </c>
      <c r="R49" s="1324" t="s">
        <v>818</v>
      </c>
    </row>
    <row r="50" spans="1:18" s="1289" customFormat="1" ht="13.8" thickBot="1">
      <c r="A50" s="919"/>
      <c r="B50" s="922"/>
      <c r="C50" s="923"/>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53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t="e">
        <f ca="1">IF(M47="住宅",IF(D1="——",MAX(J51,L48),MAX(J51,L48-'数据-取费表'!B24)),IF(D1="——",MIN(J51,L48),MIN(J51,L48-'数据-取费表'!B24)))</f>
        <v>#N/A</v>
      </c>
      <c r="K53" s="3466" t="s">
        <v>837</v>
      </c>
      <c r="L53" s="3467"/>
      <c r="O53" s="1322" t="s">
        <v>409</v>
      </c>
      <c r="P53" s="1323" t="s">
        <v>838</v>
      </c>
      <c r="Q53" s="1324" t="e">
        <f ca="1">Q47+Q48</f>
        <v>#N/A</v>
      </c>
      <c r="R53" s="1324" t="s">
        <v>410</v>
      </c>
    </row>
    <row r="54" spans="1:18" s="1289" customFormat="1" ht="13.8" thickBot="1">
      <c r="A54" s="918"/>
      <c r="B54" s="1374" t="s">
        <v>891</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0">
        <v>2</v>
      </c>
      <c r="B56" s="901" t="s">
        <v>704</v>
      </c>
      <c r="C56" s="224"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893</v>
      </c>
      <c r="Q57" s="1324" t="e">
        <f ca="1">L60</f>
        <v>#N/A</v>
      </c>
      <c r="R57" s="1324" t="s">
        <v>894</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IF(项目基本情况!B11="自然人","——",ROUND(C48*F60/(1+'数据-取费表'!C42),0))</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782</v>
      </c>
      <c r="C61" s="21" t="e">
        <f ca="1">IF(项目基本情况!B11="自然人","——",IF(D61="按租金收入计税",ROUND(C49*F61/(1+'数据-取费表'!C42),0),IF(D61="按房产原值计税",ROUND(C57*F61*0.7,0),INDIRECT("'数据-取费表'!Aj"&amp;$G$1))))</f>
        <v>#N/A</v>
      </c>
      <c r="D61" s="1275" t="s">
        <v>3332</v>
      </c>
      <c r="E61" s="893" t="s">
        <v>783</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785</v>
      </c>
      <c r="C62" s="22" t="e">
        <f ca="1">IF(项目基本情况!B11="自然人","——",ROUND(F62*F63,0))</f>
        <v>#N/A</v>
      </c>
      <c r="D62" s="908" t="s">
        <v>786</v>
      </c>
      <c r="E62" s="893" t="s">
        <v>787</v>
      </c>
      <c r="F62" s="317">
        <f t="shared" si="0"/>
        <v>3</v>
      </c>
      <c r="I62" s="1364" t="s">
        <v>858</v>
      </c>
      <c r="J62" s="609" t="s">
        <v>859</v>
      </c>
      <c r="K62" s="609" t="s">
        <v>860</v>
      </c>
      <c r="L62" s="609" t="s">
        <v>861</v>
      </c>
      <c r="M62" s="1365" t="s">
        <v>862</v>
      </c>
      <c r="O62" s="1322" t="s">
        <v>409</v>
      </c>
      <c r="P62" s="1323" t="s">
        <v>863</v>
      </c>
      <c r="Q62" s="1324" t="e">
        <f ca="1">Q56+Q57</f>
        <v>#N/A</v>
      </c>
      <c r="R62" s="1324" t="s">
        <v>410</v>
      </c>
    </row>
    <row r="63" spans="1:18" s="1289" customFormat="1" ht="13.8" thickBot="1">
      <c r="A63" s="318"/>
      <c r="B63" s="899"/>
      <c r="C63" s="26"/>
      <c r="D63" s="909"/>
      <c r="E63" s="893" t="s">
        <v>788</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t="e">
        <f ca="1">ROUND(C57*F64,0)</f>
        <v>#N/A</v>
      </c>
      <c r="D64" s="907" t="s">
        <v>791</v>
      </c>
      <c r="E64" s="893" t="s">
        <v>783</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ROUND(C56*F65,0)</f>
        <v>#N/A</v>
      </c>
      <c r="D65" s="907" t="s">
        <v>743</v>
      </c>
      <c r="E65" s="893" t="s">
        <v>744</v>
      </c>
      <c r="F65" s="321" t="e">
        <f t="shared" ca="1" si="0"/>
        <v>#N/A</v>
      </c>
      <c r="I65" s="1364" t="s">
        <v>867</v>
      </c>
      <c r="J65" s="609">
        <v>40</v>
      </c>
      <c r="K65" s="609">
        <v>30</v>
      </c>
      <c r="L65" s="609">
        <v>50</v>
      </c>
      <c r="M65" s="1366">
        <v>0.02</v>
      </c>
      <c r="O65" s="1322" t="s">
        <v>403</v>
      </c>
      <c r="P65" s="1323" t="s">
        <v>868</v>
      </c>
      <c r="Q65" s="1324" t="e">
        <f ca="1">C40+J29</f>
        <v>#N/A</v>
      </c>
      <c r="R65" s="1324" t="s">
        <v>818</v>
      </c>
    </row>
    <row r="66" spans="1:18" s="1289" customFormat="1" ht="16.2" thickBot="1">
      <c r="A66" s="925" t="s">
        <v>793</v>
      </c>
      <c r="B66" s="893" t="s">
        <v>728</v>
      </c>
      <c r="C66" s="21" t="e">
        <f ca="1">ROUND(C48*F66,0)</f>
        <v>#N/A</v>
      </c>
      <c r="D66" s="907" t="s">
        <v>794</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C27A0-D8B5-4B17-9A54-0DFA64A06E43}">
  <sheetPr>
    <tabColor rgb="FFFF0000"/>
  </sheetPr>
  <dimension ref="A1:AJ512"/>
  <sheetViews>
    <sheetView view="pageBreakPreview" zoomScale="70" zoomScaleNormal="100" zoomScaleSheetLayoutView="70" zoomScalePageLayoutView="80" workbookViewId="0">
      <selection activeCell="G12" sqref="G1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3492</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3452</v>
      </c>
      <c r="D4" s="1623" t="s">
        <v>3498</v>
      </c>
      <c r="E4" s="3367" t="s">
        <v>1267</v>
      </c>
      <c r="F4" s="3368"/>
      <c r="G4" s="3368"/>
      <c r="H4" s="3368"/>
      <c r="I4" s="3369"/>
      <c r="K4" s="138" t="str">
        <f>IF(ISNUMBER(FIND("比较法",结果表地下商!C4)),"比较法",IF(ISNUMBER(FIND("成本法",结果表地下商!C4)),"成本法",IF(ISNUMBER(FIND("假设开发法",结果表地下商!C4)),"假设开发法",IF(ISNUMBER(FIND("收益法",结果表地下商!C4)),"收益法","基准地价系数修正法"))))</f>
        <v>成本法</v>
      </c>
      <c r="L4" s="138" t="str">
        <f>IF(ISNUMBER(FIND("比较法",结果表地下商!D4)),"比较法",IF(ISNUMBER(FIND("成本法",结果表地下商!D4)),"成本法",IF(ISNUMBER(FIND("假设开发法",结果表地下商!D4)),"假设开发法",IF(ISNUMBER(FIND("收益法",结果表地下商!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5</v>
      </c>
      <c r="D14" s="3364">
        <v>5</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5</v>
      </c>
      <c r="D17" s="124">
        <f>SUM(D5:D16)</f>
        <v>5</v>
      </c>
      <c r="E17" s="121"/>
      <c r="F17" s="121"/>
      <c r="G17" s="121"/>
      <c r="H17" s="121"/>
      <c r="I17" s="121"/>
      <c r="K17" s="294"/>
      <c r="L17" s="294" t="s">
        <v>1286</v>
      </c>
      <c r="M17" s="294" t="s">
        <v>1287</v>
      </c>
    </row>
    <row r="18" spans="1:36" ht="31.95" customHeight="1" thickBot="1">
      <c r="A18" s="1626" t="s">
        <v>1288</v>
      </c>
      <c r="B18" s="1539"/>
      <c r="C18" s="125">
        <f>ROUND(C17/SUM(C17:D17),2)</f>
        <v>0.5</v>
      </c>
      <c r="D18" s="125">
        <f>1-C18</f>
        <v>0.5</v>
      </c>
      <c r="E18" s="3351" t="s">
        <v>2131</v>
      </c>
      <c r="F18" s="3352"/>
      <c r="G18" s="3352"/>
      <c r="H18" s="3352"/>
      <c r="I18" s="3352"/>
      <c r="K18" s="294" t="s">
        <v>1289</v>
      </c>
      <c r="L18" s="294">
        <f>IF(C1="",'数据-汇总表'!E3,SUMIF(项目类型,C1,'数据-汇总表'!E17:E26)+SUMIF(项目类型,C1,'数据-汇总表'!I17:I26))</f>
        <v>14603.89</v>
      </c>
      <c r="M18" s="294">
        <f>IF(C1="",'数据-汇总表'!E3,SUMIF(项目类型,C1,'数据-汇总表'!E17:E26))</f>
        <v>14603.89</v>
      </c>
    </row>
    <row r="19" spans="1:36" ht="14.4">
      <c r="A19" s="1627" t="s">
        <v>1290</v>
      </c>
      <c r="B19" s="1628" t="s">
        <v>1291</v>
      </c>
      <c r="C19" s="126">
        <f ca="1">SUMIF(INDIRECT("'"&amp;C4&amp;"'"&amp;"!A:A"),结果表地下商!B19,INDIRECT("'"&amp;C4&amp;"'"&amp;"!B:B"))</f>
        <v>21177</v>
      </c>
      <c r="D19" s="127">
        <f ca="1">SUMIF(INDIRECT("'"&amp;D4&amp;"'"&amp;"!A:A"),结果表地下商!B19,INDIRECT("'"&amp;D4&amp;"'"&amp;"!B:B"))</f>
        <v>24467</v>
      </c>
      <c r="E19" s="1627" t="s">
        <v>1292</v>
      </c>
      <c r="F19" s="1628" t="s">
        <v>1291</v>
      </c>
      <c r="G19" s="128">
        <f ca="1">ROUND(C19*$C$18+D19*$D$18,0)</f>
        <v>22822</v>
      </c>
      <c r="H19" s="1629" t="s">
        <v>1293</v>
      </c>
      <c r="I19" s="121"/>
      <c r="K19" s="294" t="s">
        <v>1294</v>
      </c>
      <c r="L19" s="294">
        <f>IF(C1="",'数据-汇总表'!D3,SUMIF(项目类型,C1,'数据-汇总表'!D17:D26)+SUMIF(项目类型,C1,'数据-汇总表'!H17:H27))</f>
        <v>4351.6899999999996</v>
      </c>
      <c r="M19" s="294">
        <f>IF(C1="",'数据-汇总表'!D3,SUMIF(项目类型,C1,'数据-汇总表'!D17:D26))</f>
        <v>4351.6899999999996</v>
      </c>
    </row>
    <row r="20" spans="1:36" ht="14.4">
      <c r="A20" s="1630"/>
      <c r="B20" s="43" t="s">
        <v>1295</v>
      </c>
      <c r="C20" s="129">
        <f ca="1">SUMIF(INDIRECT("'"&amp;C4&amp;"'"&amp;"!A:A"),结果表地下商!B20,INDIRECT("'"&amp;C4&amp;"'"&amp;"!B:B"))</f>
        <v>14501</v>
      </c>
      <c r="D20" s="130">
        <f ca="1">SUMIF(INDIRECT("'"&amp;D4&amp;"'"&amp;"!A:A"),结果表地下商!B20,INDIRECT("'"&amp;D4&amp;"'"&amp;"!B:B"))</f>
        <v>16754</v>
      </c>
      <c r="E20" s="1630"/>
      <c r="F20" s="43" t="s">
        <v>1295</v>
      </c>
      <c r="G20" s="131">
        <f ca="1">ROUND(C20*$C$18+D20*$D$18,0)</f>
        <v>15628</v>
      </c>
      <c r="H20" s="757" t="s">
        <v>1296</v>
      </c>
      <c r="I20" s="121"/>
    </row>
    <row r="21" spans="1:36" ht="15" customHeight="1" thickBot="1">
      <c r="A21" s="449"/>
      <c r="B21" s="93" t="s">
        <v>1297</v>
      </c>
      <c r="C21" s="677">
        <f ca="1">ROUND(C19*10000/L19,0)</f>
        <v>48664</v>
      </c>
      <c r="D21" s="678">
        <f ca="1">ROUND(D19*10000/L19,0)</f>
        <v>56224</v>
      </c>
      <c r="E21" s="449"/>
      <c r="F21" s="93" t="s">
        <v>1297</v>
      </c>
      <c r="G21" s="132">
        <f ca="1">ROUND(G19*10000/L19,0)</f>
        <v>52444</v>
      </c>
      <c r="H21" s="1631" t="s">
        <v>1296</v>
      </c>
      <c r="I21" s="121"/>
    </row>
    <row r="22" spans="1:36" ht="15" thickBot="1">
      <c r="A22" s="1561" t="s">
        <v>1298</v>
      </c>
      <c r="B22" s="1632"/>
      <c r="C22" s="1633"/>
      <c r="D22" s="679">
        <f ca="1">IF(C19&lt;D19,D19/C19-1,C19/D19-1)</f>
        <v>0.15535722718043155</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22822</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12712</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10110</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147">
        <f ca="1">ROUND(H101*F45,0)</f>
        <v>22822</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45771</v>
      </c>
      <c r="N47" s="3412"/>
      <c r="O47" s="3412"/>
    </row>
    <row r="48" spans="1:15" ht="26.4">
      <c r="A48" s="3360" t="s">
        <v>1338</v>
      </c>
      <c r="B48" s="3343"/>
      <c r="C48" s="3343"/>
      <c r="D48" s="12">
        <f ca="1">IF(H48="情况1",0,IF(H48="情况2",D52,IF(H48="情况3",D53,IF(H48="情况4",D54))))</f>
        <v>1217</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H101</f>
        <v>22822</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IF(项目基本情况!E8="房地产抵押价值",H107,H109)</f>
        <v>22822</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1217</v>
      </c>
      <c r="E52" s="1253" t="s">
        <v>1354</v>
      </c>
      <c r="F52" s="2335">
        <f>'数据-取费表'!B41</f>
        <v>5.6000000000000001E-2</v>
      </c>
      <c r="G52" s="2336"/>
      <c r="H52" s="2326"/>
      <c r="I52" s="1666"/>
      <c r="J52" s="2305">
        <v>1</v>
      </c>
      <c r="K52" s="3392" t="s">
        <v>1355</v>
      </c>
      <c r="L52" s="3392"/>
      <c r="M52" s="2307">
        <f ca="1">D48</f>
        <v>1217</v>
      </c>
      <c r="N52" s="2305" t="str">
        <f>E48</f>
        <v>销售额×税（费）率</v>
      </c>
      <c r="O52" s="2308">
        <f>F48</f>
        <v>5.6000000000000001E-2</v>
      </c>
    </row>
    <row r="53" spans="1:35" ht="12" customHeight="1">
      <c r="A53" s="2150" t="s">
        <v>1356</v>
      </c>
      <c r="B53" s="3353" t="s">
        <v>2287</v>
      </c>
      <c r="C53" s="3354"/>
      <c r="D53" s="1021">
        <f ca="1">ROUND(D45*'数据-取费表'!B41/(1+'数据-取费表'!C42),0)</f>
        <v>1217</v>
      </c>
      <c r="E53" s="1253" t="s">
        <v>1354</v>
      </c>
      <c r="F53" s="2335">
        <f>'数据-取费表'!B41</f>
        <v>5.6000000000000001E-2</v>
      </c>
      <c r="G53" s="2336"/>
      <c r="H53" s="2326"/>
      <c r="I53" s="1666"/>
      <c r="J53" s="2305">
        <v>2</v>
      </c>
      <c r="K53" s="3392" t="s">
        <v>1357</v>
      </c>
      <c r="L53" s="3392"/>
      <c r="M53" s="2307">
        <f t="shared" ref="M53:O54" ca="1" si="0">D55</f>
        <v>11</v>
      </c>
      <c r="N53" s="2305" t="str">
        <f t="shared" si="0"/>
        <v>销售额×税（费）率</v>
      </c>
      <c r="O53" s="2308">
        <f t="shared" si="0"/>
        <v>5.0000000000000001E-4</v>
      </c>
    </row>
    <row r="54" spans="1:35" ht="12" customHeight="1">
      <c r="A54" s="2150" t="s">
        <v>1358</v>
      </c>
      <c r="B54" s="3353" t="s">
        <v>2288</v>
      </c>
      <c r="C54" s="3354"/>
      <c r="D54" s="1021">
        <f ca="1">C68</f>
        <v>1217</v>
      </c>
      <c r="E54" s="319" t="s">
        <v>1359</v>
      </c>
      <c r="F54" s="2335">
        <f>'数据-取费表'!B41</f>
        <v>5.6000000000000001E-2</v>
      </c>
      <c r="G54" s="2336"/>
      <c r="H54" s="2337"/>
      <c r="I54" s="1666"/>
      <c r="J54" s="2305">
        <v>3</v>
      </c>
      <c r="K54" s="3392" t="s">
        <v>1360</v>
      </c>
      <c r="L54" s="3392"/>
      <c r="M54" s="2307">
        <f t="shared" ca="1" si="0"/>
        <v>12918</v>
      </c>
      <c r="N54" s="2305" t="str">
        <f t="shared" si="0"/>
        <v>增值额×税（费）率</v>
      </c>
      <c r="O54" s="2309" t="str">
        <f t="shared" si="0"/>
        <v>——</v>
      </c>
    </row>
    <row r="55" spans="1:35" ht="24" customHeight="1">
      <c r="A55" s="3342" t="s">
        <v>1361</v>
      </c>
      <c r="B55" s="3343"/>
      <c r="C55" s="3343"/>
      <c r="D55" s="12">
        <f ca="1">IF(H55="个人住宅",0,ROUND(D45*I55,0))</f>
        <v>11</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12918</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IF(AND(J55="",J56=""),4,IF(项目基本情况!K6="上海银行",结果表地下商!J56+1,结果表地下商!J55+1))</f>
        <v>4</v>
      </c>
      <c r="K57" s="3392" t="s">
        <v>1367</v>
      </c>
      <c r="L57" s="2312" t="s">
        <v>1368</v>
      </c>
      <c r="M57" s="2313"/>
      <c r="N57" s="2314">
        <f ca="1">SUMIF(M52:M56,"&lt;9e307")</f>
        <v>14146</v>
      </c>
      <c r="O57" s="2315"/>
      <c r="P57" s="2459">
        <f ca="1">N57/M49</f>
        <v>0.6198405047760932</v>
      </c>
    </row>
    <row r="58" spans="1:35" ht="25.2">
      <c r="A58" s="2150" t="s">
        <v>1352</v>
      </c>
      <c r="B58" s="3353" t="s">
        <v>1369</v>
      </c>
      <c r="C58" s="3327"/>
      <c r="D58" s="12">
        <f ca="1">IF(H58="转让取得",C81,C97)</f>
        <v>12918</v>
      </c>
      <c r="E58" s="1253" t="s">
        <v>1364</v>
      </c>
      <c r="F58" s="294" t="s">
        <v>28</v>
      </c>
      <c r="G58" s="2336"/>
      <c r="H58" s="2339" t="s">
        <v>3447</v>
      </c>
      <c r="I58" s="1667"/>
      <c r="J58" s="3392"/>
      <c r="K58" s="3392"/>
      <c r="L58" s="2312" t="s">
        <v>1370</v>
      </c>
      <c r="M58" s="2316"/>
      <c r="N58" s="2317" t="str">
        <f ca="1">NUMBERSTRING(INT(N57*10000),2)&amp;"元整"</f>
        <v>壹亿肆仟壹佰肆拾陆万元整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8676</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捌仟陆佰柒拾陆万元整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2294</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21735</v>
      </c>
      <c r="D63" s="159"/>
      <c r="E63" s="160"/>
      <c r="F63" s="1667"/>
      <c r="G63" s="1667"/>
      <c r="H63" s="151"/>
      <c r="I63" s="121"/>
      <c r="J63" s="3417" t="s">
        <v>1379</v>
      </c>
      <c r="K63" s="1242" t="s">
        <v>1380</v>
      </c>
      <c r="L63" s="1242">
        <f ca="1">IF(M49&gt;10000,M49*0.5%,IF(AND(M49&gt;1000,M49&lt;=10000),M49*1%,IF(AND(M49&gt;100,M49&lt;=1000),M49*3%,IF(AND(M49&gt;10,M49&lt;=100),M49*5%,M49*8%))))</f>
        <v>114.11</v>
      </c>
      <c r="M63" s="294">
        <f ca="1">ROUND(L63,1)</f>
        <v>114.1</v>
      </c>
      <c r="N63" s="2325"/>
      <c r="Z63" s="1620"/>
      <c r="AI63" s="1558"/>
    </row>
    <row r="64" spans="1:35" ht="14.25" customHeight="1">
      <c r="A64" s="161" t="s">
        <v>325</v>
      </c>
      <c r="B64" s="162" t="s">
        <v>1381</v>
      </c>
      <c r="C64" s="2346">
        <f ca="1">D45</f>
        <v>22822</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114.11</v>
      </c>
      <c r="M64" s="294">
        <f t="shared" ref="M64:M65" ca="1" si="1">ROUND(L64,1)</f>
        <v>114.1</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22.821999999999999</v>
      </c>
      <c r="M65" s="294">
        <f t="shared" ca="1" si="1"/>
        <v>22.8</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114.11</v>
      </c>
      <c r="M66" s="294">
        <f ca="1">IF(L66&gt;0.5,0.5,ROUND(L66,0))</f>
        <v>0.5</v>
      </c>
      <c r="N66" s="2326" t="s">
        <v>1388</v>
      </c>
      <c r="Z66" s="1620"/>
      <c r="AI66" s="1558"/>
    </row>
    <row r="67" spans="1:35" ht="14.25" customHeight="1">
      <c r="A67" s="165" t="s">
        <v>328</v>
      </c>
      <c r="B67" s="166" t="s">
        <v>1389</v>
      </c>
      <c r="C67" s="2349">
        <f ca="1">C63-C66</f>
        <v>21735</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9.5321999999999996</v>
      </c>
      <c r="M67" s="294">
        <f ca="1">ROUND(L67*0.9,1)</f>
        <v>8.6</v>
      </c>
      <c r="N67" s="2325"/>
      <c r="Z67" s="1620"/>
      <c r="AI67" s="1558"/>
    </row>
    <row r="68" spans="1:35" ht="14.25" customHeight="1" thickBot="1">
      <c r="A68" s="168" t="s">
        <v>329</v>
      </c>
      <c r="B68" s="169" t="s">
        <v>1391</v>
      </c>
      <c r="C68" s="2350">
        <f ca="1">IF(C67&lt;=0,0,ROUND(C67*D68,0))</f>
        <v>1217</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114.11</v>
      </c>
      <c r="M68" s="294">
        <f ca="1">ROUND(L68,1)</f>
        <v>114.1</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374</v>
      </c>
      <c r="N69" s="2327">
        <f ca="1">M69/M49</f>
        <v>1.6387696082727193E-2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21735</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130</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130</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21605</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166.19230769230768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12918</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21735</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130</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37" t="s">
        <v>1419</v>
      </c>
      <c r="F91" s="3338"/>
      <c r="G91" s="3338"/>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130</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21605</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166.19230769230768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12918</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成本法</v>
      </c>
      <c r="D101" s="2367" t="str">
        <f>D4</f>
        <v>收益法商</v>
      </c>
      <c r="E101" s="3414" t="s">
        <v>1431</v>
      </c>
      <c r="F101" s="3371"/>
      <c r="G101" s="1684" t="s">
        <v>1432</v>
      </c>
      <c r="H101" s="2376">
        <f ca="1">H118</f>
        <v>22822</v>
      </c>
      <c r="I101" s="121"/>
    </row>
    <row r="102" spans="1:35" ht="18.75" customHeight="1">
      <c r="A102" s="3373" t="s">
        <v>1433</v>
      </c>
      <c r="B102" s="2365" t="s">
        <v>1432</v>
      </c>
      <c r="C102" s="2366">
        <f ca="1">IF(D32="楼面单价",ROUND(C19,0),C19)</f>
        <v>21177</v>
      </c>
      <c r="D102" s="2367">
        <f ca="1">IF(D32="楼面单价",ROUND(D19,0),D19)</f>
        <v>24467</v>
      </c>
      <c r="E102" s="3414"/>
      <c r="F102" s="3371"/>
      <c r="G102" s="1684" t="s">
        <v>1434</v>
      </c>
      <c r="H102" s="2336">
        <f ca="1">I118</f>
        <v>15627</v>
      </c>
      <c r="I102" s="121"/>
    </row>
    <row r="103" spans="1:35" ht="42.75" customHeight="1">
      <c r="A103" s="3373"/>
      <c r="B103" s="2365" t="s">
        <v>1434</v>
      </c>
      <c r="C103" s="2368">
        <f ca="1">C20</f>
        <v>14501</v>
      </c>
      <c r="D103" s="2369">
        <f ca="1">D20</f>
        <v>16754</v>
      </c>
      <c r="E103" s="3408" t="s">
        <v>1435</v>
      </c>
      <c r="F103" s="3409"/>
      <c r="G103" s="1685" t="s">
        <v>1436</v>
      </c>
      <c r="H103" s="2376">
        <f>IF(D36="正常操作",H104+H105+H106,H105+H106)</f>
        <v>0</v>
      </c>
      <c r="I103" s="121"/>
    </row>
    <row r="104" spans="1:35" ht="18.75" customHeight="1">
      <c r="A104" s="3373" t="s">
        <v>1437</v>
      </c>
      <c r="B104" s="2370" t="s">
        <v>1432</v>
      </c>
      <c r="C104" s="2371">
        <f ca="1">H118</f>
        <v>22822</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15627</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22822</v>
      </c>
      <c r="I107" s="121"/>
    </row>
    <row r="108" spans="1:35" ht="18.75" customHeight="1">
      <c r="A108" s="121"/>
      <c r="B108" s="121"/>
      <c r="C108" s="121"/>
      <c r="D108" s="121"/>
      <c r="E108" s="3370"/>
      <c r="F108" s="3371"/>
      <c r="G108" s="1684" t="s">
        <v>1434</v>
      </c>
      <c r="H108" s="2336">
        <f ca="1">IF(H107=H101,H102,ROUND(H107*10000/'数据-汇总表'!E3,0))</f>
        <v>15627</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8676</v>
      </c>
      <c r="I111" s="121"/>
      <c r="J111" s="683">
        <f ca="1">H111/L18*10000</f>
        <v>5940.8828743574495</v>
      </c>
    </row>
    <row r="112" spans="1:35" ht="18.75" customHeight="1" thickBot="1">
      <c r="A112" s="121"/>
      <c r="B112" s="121"/>
      <c r="C112" s="121"/>
      <c r="D112" s="121"/>
      <c r="E112" s="3403"/>
      <c r="F112" s="3404"/>
      <c r="G112" s="1687" t="s">
        <v>1434</v>
      </c>
      <c r="H112" s="2380">
        <f ca="1">IF(E111="——","——",N61)</f>
        <v>2294</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14603.89</v>
      </c>
      <c r="C118" s="2147">
        <f>M19</f>
        <v>4351.6899999999996</v>
      </c>
      <c r="D118" s="2147">
        <f ca="1">ROUND(IF(D32="总价",C34,E118*B118/10000),0)</f>
        <v>12712</v>
      </c>
      <c r="E118" s="2147">
        <f ca="1">ROUND(IF(C33="自定义",IF(D32="楼面单价",C34,D118*10000/B118),I118-G118),0)</f>
        <v>8704</v>
      </c>
      <c r="F118" s="2147">
        <f ca="1">ROUND(IF(D32="总价",C35,G118*B118/10000),0)</f>
        <v>10110</v>
      </c>
      <c r="G118" s="2147">
        <f ca="1">ROUND(IF(D32="楼面单价",C35,F118*10000/B118),0)</f>
        <v>6923</v>
      </c>
      <c r="H118" s="2147">
        <f ca="1">ROUND(IF(D32="总价",C32,I118*B118/10000),0)</f>
        <v>22822</v>
      </c>
      <c r="I118" s="2147">
        <f ca="1">ROUND(IF(D32="楼面单价",C32,H118*10000/B118),0)</f>
        <v>15627</v>
      </c>
    </row>
    <row r="119" spans="1:27" ht="18.75" customHeight="1">
      <c r="A119" s="3341" t="s">
        <v>1452</v>
      </c>
      <c r="B119" s="3341"/>
      <c r="C119" s="3341"/>
      <c r="D119" s="3381" t="str">
        <f ca="1">NUMBERSTRING(INT(D118*10000),2)&amp;"元整"</f>
        <v>壹亿贰仟柒佰壹拾贰万元整</v>
      </c>
      <c r="E119" s="3383"/>
      <c r="F119" s="3381" t="str">
        <f ca="1">NUMBERSTRING(INT(F118*10000),2)&amp;"元整"</f>
        <v>壹亿零壹佰壹拾万元整</v>
      </c>
      <c r="G119" s="3383"/>
      <c r="H119" s="3381" t="str">
        <f ca="1">NUMBERSTRING(INT(H118*10000),2)&amp;"元整"</f>
        <v>贰亿贰仟捌佰贰拾贰万元整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22822</v>
      </c>
      <c r="E122" s="3406"/>
      <c r="F122" s="3406"/>
      <c r="G122" s="3406"/>
      <c r="H122" s="3406"/>
      <c r="I122" s="3407"/>
      <c r="AA122" s="683"/>
    </row>
    <row r="123" spans="1:27" ht="18.75" customHeight="1">
      <c r="A123" s="3341" t="s">
        <v>1452</v>
      </c>
      <c r="B123" s="3341"/>
      <c r="C123" s="3341"/>
      <c r="D123" s="3381" t="str">
        <f ca="1">NUMBERSTRING(INT(D122*10000),2)&amp;"元整"</f>
        <v>贰亿贰仟捌佰贰拾贰万元整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8676</v>
      </c>
      <c r="E126" s="3406"/>
      <c r="F126" s="3406"/>
      <c r="G126" s="3406"/>
      <c r="H126" s="3406"/>
      <c r="I126" s="3407"/>
      <c r="AA126" s="683"/>
    </row>
    <row r="127" spans="1:27" ht="18.75" customHeight="1">
      <c r="A127" s="3341" t="s">
        <v>1452</v>
      </c>
      <c r="B127" s="3341"/>
      <c r="C127" s="3341"/>
      <c r="D127" s="3381" t="str">
        <f ca="1">NUMBERSTRING(INT(D126*10000),2)&amp;"元整"</f>
        <v>捌仟陆佰柒拾陆万元整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6" stopIfTrue="1" operator="equal">
      <formula>25</formula>
    </cfRule>
  </conditionalFormatting>
  <conditionalFormatting sqref="C8:D13">
    <cfRule type="cellIs" dxfId="131" priority="5" stopIfTrue="1" operator="equal">
      <formula>15</formula>
    </cfRule>
  </conditionalFormatting>
  <conditionalFormatting sqref="C14:D16">
    <cfRule type="cellIs" dxfId="130" priority="4"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D92" xr:uid="{7651005C-36A7-46B8-9A39-D11737A5FB63}">
      <formula1>"0,5%,10%"</formula1>
    </dataValidation>
    <dataValidation type="list" allowBlank="1" showInputMessage="1" showErrorMessage="1" sqref="H59" xr:uid="{3E0EEC22-8B1D-444A-AAA0-205355BB4FBB}">
      <formula1>"非个人房产,个人住宅（满五唯一有凭证）,个人其他（有凭证）,个人其他（无凭证）"</formula1>
    </dataValidation>
    <dataValidation type="list" allowBlank="1" showInputMessage="1" showErrorMessage="1" sqref="E103" xr:uid="{9A6EA12F-E73C-422B-8A7A-604CAF842E83}">
      <formula1>"2.估价师知悉的法定优先受偿款,2.估价师知悉的除抵押担保权以外的法定优先受偿款"</formula1>
    </dataValidation>
    <dataValidation type="list" allowBlank="1" showInputMessage="1" showErrorMessage="1" sqref="G77" xr:uid="{7B863EB6-48F9-4F38-A847-F5105F8A83B9}">
      <formula1>"个人住宅,2016年5月1日前购买,2016年5月1日后购买"</formula1>
    </dataValidation>
    <dataValidation type="list" allowBlank="1" showInputMessage="1" showErrorMessage="1" sqref="C1" xr:uid="{52CB6C0D-3D2A-4928-97AC-5069BB660C42}">
      <formula1>项目类型</formula1>
    </dataValidation>
    <dataValidation type="list" allowBlank="1" showInputMessage="1" showErrorMessage="1" sqref="I1" xr:uid="{93642296-A569-4489-AC70-2D4A126E28BD}">
      <formula1>"项目局部,项目全部,——"</formula1>
    </dataValidation>
    <dataValidation type="list" showInputMessage="1" showErrorMessage="1" sqref="G1" xr:uid="{8CB1ACEB-F067-404F-A343-FBA8F42B9828}">
      <formula1>"现房,在建,土地,-"</formula1>
    </dataValidation>
    <dataValidation type="list" allowBlank="1" showInputMessage="1" showErrorMessage="1" sqref="C129" xr:uid="{D5018D6C-0A29-4301-ADEB-18324F22A315}">
      <formula1>"无,有"</formula1>
    </dataValidation>
    <dataValidation type="list" allowBlank="1" showInputMessage="1" showErrorMessage="1" sqref="F116:G116" xr:uid="{2E28B18E-7C01-447D-9FB0-26C10CE247CF}">
      <formula1>"建筑物价值,在建建筑物价值,建筑物/在建建筑物价值"</formula1>
    </dataValidation>
    <dataValidation type="list" allowBlank="1" showInputMessage="1" showErrorMessage="1" sqref="D116:E116" xr:uid="{8097AD07-96A0-4E7C-A6AE-8874F2AD2139}">
      <formula1>"出让国有建设用地使用权价值,划拨国有建设用地使用权价值"</formula1>
    </dataValidation>
    <dataValidation type="list" allowBlank="1" showInputMessage="1" showErrorMessage="1" sqref="C116:C117" xr:uid="{4656D77C-7D39-476E-B0B8-BC77523261DB}">
      <formula1>"土地面积,分摊土地面积,（分摊）土地面积"</formula1>
    </dataValidation>
    <dataValidation type="list" allowBlank="1" showInputMessage="1" showErrorMessage="1" sqref="B116:B117" xr:uid="{AE83F580-C136-45E6-A2F9-187EDCAA7325}">
      <formula1>"建筑面积,规划建筑面积,（规划）建筑面积"</formula1>
    </dataValidation>
    <dataValidation type="list" allowBlank="1" showInputMessage="1" showErrorMessage="1" sqref="D36" xr:uid="{7F79A8F6-72FB-4CB1-8717-56E197555334}">
      <formula1>"同一抵押权人同一抵押物续贷,注销后放款,正常操作"</formula1>
    </dataValidation>
    <dataValidation type="list" allowBlank="1" showInputMessage="1" showErrorMessage="1" sqref="F75" xr:uid="{8D490DA9-A5F4-43DC-801E-7BBF4129A2A6}">
      <formula1>"买卖合同,购房发票"</formula1>
    </dataValidation>
    <dataValidation type="list" allowBlank="1" showInputMessage="1" showErrorMessage="1" sqref="H88" xr:uid="{05BDF164-FF99-4FA6-BAE5-E9510FD1E741}">
      <formula1>"仅含出让金,出让金+开发费"</formula1>
    </dataValidation>
    <dataValidation type="list" allowBlank="1" showInputMessage="1" showErrorMessage="1" sqref="H91" xr:uid="{29DBA98F-410A-4C18-A784-E5388A3BCB2C}">
      <formula1>"企业提供（在右侧录入）,——"</formula1>
    </dataValidation>
    <dataValidation type="list" allowBlank="1" showInputMessage="1" showErrorMessage="1" sqref="C33" xr:uid="{6243DAC2-395A-4E69-9900-DCA21A0C0380}">
      <formula1>"成本比率,收益比率,自定义"</formula1>
    </dataValidation>
    <dataValidation type="list" allowBlank="1" showInputMessage="1" showErrorMessage="1" sqref="F45" xr:uid="{141B1CC7-A3EC-4740-AB59-F2BA3FC079A1}">
      <formula1>"100%,70%,56%"</formula1>
    </dataValidation>
    <dataValidation type="list" allowBlank="1" showInputMessage="1" showErrorMessage="1" sqref="D32" xr:uid="{AAEA6C25-2CD7-4F53-80DC-DCD1E625575B}">
      <formula1>"总价,楼面单价"</formula1>
    </dataValidation>
    <dataValidation type="list" allowBlank="1" showInputMessage="1" showErrorMessage="1" sqref="H58" xr:uid="{B92F94D4-88B0-430B-B6E7-E396B5D2CAA0}">
      <formula1>"转让取得,自行开发建设"</formula1>
    </dataValidation>
    <dataValidation type="list" allowBlank="1" showInputMessage="1" showErrorMessage="1" sqref="H48" xr:uid="{9736C1CD-096B-4CE4-94A8-D4EE922F881E}">
      <formula1>"情况1,情况2,情况3,情况4"</formula1>
    </dataValidation>
    <dataValidation type="list" allowBlank="1" showInputMessage="1" showErrorMessage="1" sqref="H55:H56" xr:uid="{7F14FAA4-CE0B-4451-93DF-675F98427DFD}">
      <formula1>"个人住宅,正常"</formula1>
    </dataValidation>
    <dataValidation type="list" allowBlank="1" showInputMessage="1" showErrorMessage="1" sqref="C4:D4 D33" xr:uid="{38967D4C-2097-46F3-988E-8F4B24368FA1}">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L37" sqref="L3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22558.19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#REF!</v>
      </c>
      <c r="C2" s="1843" t="s">
        <v>1935</v>
      </c>
      <c r="D2" s="162" t="s">
        <v>1936</v>
      </c>
      <c r="E2" s="3114"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f t="shared" ref="T2:T16" si="0">ROUND($C$5*$C$22*$C$23*$C$24*S2*$C$28,0)</f>
        <v>18606</v>
      </c>
      <c r="U2" s="1127">
        <f>估价对象!C12</f>
        <v>4323.09</v>
      </c>
      <c r="V2" s="3057">
        <f>ROUND(T2*U2/10000,0)</f>
        <v>8044</v>
      </c>
      <c r="W2" s="1130"/>
      <c r="X2" s="1130"/>
      <c r="Y2" s="1130"/>
      <c r="Z2" s="1130"/>
      <c r="AA2" s="1130"/>
      <c r="AB2" s="1130"/>
      <c r="AC2" s="1131"/>
      <c r="AD2" s="1132"/>
      <c r="AE2" s="1132"/>
      <c r="AF2" s="1132"/>
      <c r="AG2" s="1132"/>
      <c r="AH2" s="1132"/>
      <c r="AI2" s="1132"/>
      <c r="AJ2" s="1133"/>
    </row>
    <row r="3" spans="1:36" ht="15.6">
      <c r="A3" s="195" t="s">
        <v>1940</v>
      </c>
      <c r="B3" s="196" t="e">
        <f>ROUND(B2*10000/D1,0)</f>
        <v>#REF!</v>
      </c>
      <c r="C3" s="1843" t="s">
        <v>1941</v>
      </c>
      <c r="D3" s="162" t="s">
        <v>1942</v>
      </c>
      <c r="E3" s="3112" t="s">
        <v>2435</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f t="shared" si="0"/>
        <v>14665</v>
      </c>
      <c r="U3" s="1127">
        <f>估价对象!C13+估价对象!D13</f>
        <v>3141.06</v>
      </c>
      <c r="V3" s="3057">
        <f t="shared" ref="V3:V16" si="1">ROUND(T3*U3/10000,0)</f>
        <v>4606</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f t="shared" si="0"/>
        <v>12395</v>
      </c>
      <c r="U4" s="1127">
        <f>U3</f>
        <v>3141.06</v>
      </c>
      <c r="V4" s="3057">
        <f t="shared" si="1"/>
        <v>3893</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16450</v>
      </c>
      <c r="D5" s="1249">
        <f>ROUND(C6*C17+C20,0)</f>
        <v>16450</v>
      </c>
      <c r="E5" s="1249"/>
      <c r="F5" s="1848"/>
      <c r="G5" s="1849"/>
      <c r="H5" s="1849"/>
      <c r="I5" s="1849"/>
      <c r="J5" s="1850"/>
      <c r="K5" s="1851"/>
      <c r="L5" s="1844" t="s">
        <v>1948</v>
      </c>
      <c r="M5" s="808">
        <f>SUMPRODUCT((区片价!B87:B126=I2)*(区片价!C3:G3=E2)*(区片价!C87:G126))</f>
        <v>16470</v>
      </c>
      <c r="N5" s="810">
        <f>SUMPRODUCT((因素修正幅度!B87:B126=I2)*(因素修正幅度!C3:G3=E2)*(因素修正幅度!C87:G126))</f>
        <v>5.0999999999999997E-2</v>
      </c>
      <c r="O5" s="1053"/>
      <c r="P5" s="1053"/>
      <c r="Q5" s="1053"/>
      <c r="R5" s="1126">
        <v>4</v>
      </c>
      <c r="S5" s="3057">
        <f>ROUND(SUMPRODUCT((B106:B110=R5)*(C105:N105=G2)*(C106:N110)),4)</f>
        <v>0.88239999999999996</v>
      </c>
      <c r="T5" s="3057">
        <f t="shared" si="0"/>
        <v>10931</v>
      </c>
      <c r="U5" s="1127">
        <f>U4</f>
        <v>3141.06</v>
      </c>
      <c r="V5" s="3057">
        <f t="shared" si="1"/>
        <v>3433</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f t="shared" si="0"/>
        <v>10505</v>
      </c>
      <c r="U6" s="1127">
        <f>U5</f>
        <v>3141.06</v>
      </c>
      <c r="V6" s="3057">
        <f t="shared" si="1"/>
        <v>3300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v>0.83850000000000002</v>
      </c>
      <c r="T7" s="3057">
        <f t="shared" si="0"/>
        <v>10388</v>
      </c>
      <c r="U7" s="1127" t="e">
        <f>估价对象!#REF!</f>
        <v>#REF!</v>
      </c>
      <c r="V7" s="3057" t="e">
        <f t="shared" si="1"/>
        <v>#REF!</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3450</v>
      </c>
      <c r="D8" s="709" t="s">
        <v>112</v>
      </c>
      <c r="E8" s="710">
        <f>ROUND(C11/E7,4)</f>
        <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0.83640000000000003</v>
      </c>
      <c r="T8" s="3057">
        <f t="shared" si="0"/>
        <v>10362</v>
      </c>
      <c r="U8" s="1127" t="e">
        <f>估价对象!#REF!</f>
        <v>#REF!</v>
      </c>
      <c r="V8" s="3057" t="e">
        <f t="shared" si="1"/>
        <v>#REF!</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f>ROUND(C11/E7,4)</f>
        <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80"/>
      <c r="X9" s="3058" t="s">
        <v>3264</v>
      </c>
      <c r="Y9" s="3059">
        <v>6</v>
      </c>
      <c r="Z9" s="3060">
        <f>$Y$9</f>
        <v>6</v>
      </c>
      <c r="AA9" s="3060">
        <f t="shared" ref="AA9:AJ9" si="2">$Y$9</f>
        <v>6</v>
      </c>
      <c r="AB9" s="3060">
        <f t="shared" si="2"/>
        <v>6</v>
      </c>
      <c r="AC9" s="3060">
        <f t="shared" si="2"/>
        <v>6</v>
      </c>
      <c r="AD9" s="3060">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f>ROUND(C11/E7,4)</f>
        <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0</v>
      </c>
      <c r="D11" s="712" t="s">
        <v>115</v>
      </c>
      <c r="E11" s="712">
        <f>ROUND(C11/E7,4)</f>
        <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1.03</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-20</v>
      </c>
      <c r="D20" s="3040" t="s">
        <v>1998</v>
      </c>
      <c r="E20" s="3041"/>
      <c r="F20" s="3491" t="s">
        <v>1995</v>
      </c>
      <c r="G20" s="3492"/>
      <c r="H20" s="3026" t="s">
        <v>3414</v>
      </c>
      <c r="I20" s="3026" t="s">
        <v>3415</v>
      </c>
      <c r="J20" s="3027" t="s">
        <v>3416</v>
      </c>
      <c r="K20" s="1886" t="s">
        <v>3417</v>
      </c>
      <c r="L20" s="1886" t="s">
        <v>3418</v>
      </c>
      <c r="M20" s="1886" t="s">
        <v>3420</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3" t="s">
        <v>2002</v>
      </c>
      <c r="E23" s="714">
        <v>44197</v>
      </c>
      <c r="F23" s="1893" t="s">
        <v>2003</v>
      </c>
      <c r="G23" s="715">
        <f>'数据-取费表'!B2</f>
        <v>45771</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0.69810000000000005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17.88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3490</v>
      </c>
      <c r="C25" s="461">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1.1369</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#REF!</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#REF!</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f>ROUND(C5*C22*C23*C24*C25*C28,0)</f>
        <v>18606</v>
      </c>
      <c r="D33" s="1937"/>
      <c r="E33" s="724">
        <f>ROUND(C33*D33/10000,0)</f>
        <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#REF!</v>
      </c>
      <c r="D34" s="1942"/>
      <c r="E34" s="724" t="e">
        <f>ROUND(IF(B25="楼层修正",SUM(V2:V16)*M40,C34*D34/10000),0)</f>
        <v>#REF!</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f>ROUND(D5*C22*C23*C24*C28*F37,0)</f>
        <v>7433</v>
      </c>
      <c r="D37" s="1937">
        <f>估价对象!C11</f>
        <v>7335.29</v>
      </c>
      <c r="E37" s="163">
        <f>ROUND(C37*D37/10000,0)</f>
        <v>5452</v>
      </c>
      <c r="F37" s="163">
        <f>SUMIF(修正!A57:A68,G2,修正!B57:B68)</f>
        <v>0.6</v>
      </c>
      <c r="G37" s="163">
        <f>ROUND(IF(E2="工业",C37*$M$42,C37*$M$41),0)</f>
        <v>1858</v>
      </c>
      <c r="H37" s="163">
        <f>D37</f>
        <v>7335.29</v>
      </c>
      <c r="I37" s="163">
        <f>ROUND(G37*H37/10000,0)</f>
        <v>1363</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f>ROUND(D5*C22*C23*C24*C28*F38,0)</f>
        <v>3717</v>
      </c>
      <c r="D38" s="1937">
        <f>估价对象!C10</f>
        <v>7268.6</v>
      </c>
      <c r="E38" s="163">
        <f t="shared" ref="E38:E42" si="4">ROUND(C38*D38/10000,0)</f>
        <v>2702</v>
      </c>
      <c r="F38" s="163">
        <f>SUMIF(修正!A57:A68,G2,修正!C57:C68)</f>
        <v>0.3</v>
      </c>
      <c r="G38" s="163">
        <f>ROUND(IF(E2="工业",C38*$M$42,C38*$M$41),0)</f>
        <v>929</v>
      </c>
      <c r="H38" s="163">
        <f t="shared" ref="H38:H42" si="5">D38</f>
        <v>7268.6</v>
      </c>
      <c r="I38" s="163">
        <f t="shared" ref="I38:I42" si="6">ROUND(G38*H38/10000,0)</f>
        <v>675</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f>ROUND(D5*C22*C23*C24*C28*F39,0)</f>
        <v>3097</v>
      </c>
      <c r="D39" s="1937"/>
      <c r="E39" s="163">
        <f t="shared" si="4"/>
        <v>0</v>
      </c>
      <c r="F39" s="163">
        <f>SUMIF(修正!A57:A68,G2,修正!D57:D68)</f>
        <v>0.25</v>
      </c>
      <c r="G39" s="163">
        <f>ROUND(IF(E2="工业",C39*$M$42,C39*$M$41),0)</f>
        <v>774</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3097</v>
      </c>
      <c r="D40" s="1937"/>
      <c r="E40" s="163">
        <f t="shared" si="4"/>
        <v>0</v>
      </c>
      <c r="F40" s="167">
        <f>SUMIF(修正!A57:A68,G2,修正!E57:E68)</f>
        <v>0.25</v>
      </c>
      <c r="G40" s="163">
        <f>ROUND(IF(E2="工业",C40*$M$42,C40*$M$41),0)</f>
        <v>774</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3694</v>
      </c>
      <c r="D41" s="1937"/>
      <c r="E41" s="163">
        <f t="shared" si="4"/>
        <v>0</v>
      </c>
      <c r="F41" s="167">
        <f>SUMIF(修正!A57:A68,G2,修正!F57:F68)</f>
        <v>0.25</v>
      </c>
      <c r="G41" s="163">
        <f>ROUND(IF(E2="工业",C41*$M$42,C41*$M$41),0)</f>
        <v>924</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2216</v>
      </c>
      <c r="D42" s="1942">
        <f>估价对象!C9</f>
        <v>7954.3</v>
      </c>
      <c r="E42" s="179">
        <f t="shared" si="4"/>
        <v>1763</v>
      </c>
      <c r="F42" s="720">
        <f>SUMIF(修正!A57:A68,G2,修正!G57:G68)</f>
        <v>0.15</v>
      </c>
      <c r="G42" s="179">
        <f>ROUND(IF(E2="工业",C42*$M$42,C42*$M$41),0)</f>
        <v>554</v>
      </c>
      <c r="H42" s="179">
        <f t="shared" si="5"/>
        <v>7954.3</v>
      </c>
      <c r="I42" s="179">
        <f t="shared" si="6"/>
        <v>441</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0.83260000000000001</v>
      </c>
      <c r="D44" s="163" t="s">
        <v>1999</v>
      </c>
      <c r="E44" s="1988">
        <f>G24</f>
        <v>5.5E-2</v>
      </c>
      <c r="F44" s="163" t="s">
        <v>2008</v>
      </c>
      <c r="G44" s="175">
        <f>项目基本情况!F15</f>
        <v>27.89</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f>IF(E2="商业",SUMIF(L1:L12,G2,N1:N12),"——")</f>
        <v>5.0999999999999997E-2</v>
      </c>
      <c r="G50" s="997">
        <v>1.21E-2</v>
      </c>
      <c r="H50" s="1000">
        <f t="shared" ref="H50:H58" si="8">IFERROR(ROUNDDOWN($F$50*I50/2,4),"——")</f>
        <v>7.6E-3</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f t="shared" si="8"/>
        <v>5.5999999999999999E-3</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f t="shared" si="8"/>
        <v>3.0000000000000001E-3</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f t="shared" si="8"/>
        <v>1.1999999999999999E-3</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f t="shared" si="8"/>
        <v>2E-3</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f t="shared" si="8"/>
        <v>1.1999999999999999E-3</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f t="shared" si="8"/>
        <v>1.1999999999999999E-3</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f t="shared" si="8"/>
        <v>2E-3</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f t="shared" si="8"/>
        <v>1.1999999999999999E-3</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3266</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7" t="s">
        <v>3285</v>
      </c>
      <c r="K92" s="2147" t="s">
        <v>3286</v>
      </c>
      <c r="L92" s="2147" t="s">
        <v>3287</v>
      </c>
      <c r="M92" s="2147" t="s">
        <v>3288</v>
      </c>
      <c r="N92" s="2147" t="s">
        <v>3289</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3269</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3270</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3271</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3272</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3273</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3274</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3275</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0.93010000000000004</v>
      </c>
      <c r="E116" s="162" t="s">
        <v>3310</v>
      </c>
      <c r="F116" s="3095" t="str">
        <f>E2</f>
        <v>商业</v>
      </c>
      <c r="G116" s="162" t="s">
        <v>3311</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3325</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3326</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3327</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S33" sqref="S3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3492</v>
      </c>
      <c r="C1" s="190"/>
      <c r="D1" s="190"/>
      <c r="E1" s="190"/>
      <c r="F1" s="190"/>
      <c r="G1" s="1059">
        <f>MATCH(B1,'数据-取费表'!A6:A16,0)+5</f>
        <v>7</v>
      </c>
    </row>
    <row r="2" spans="1:9" s="192" customFormat="1" ht="18" customHeight="1">
      <c r="A2" s="193" t="s">
        <v>1462</v>
      </c>
      <c r="B2" s="194">
        <f ca="1">IF(D2="——",C52,C52-E2)</f>
        <v>21177</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14501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8695</v>
      </c>
      <c r="D5" s="203" t="s">
        <v>1469</v>
      </c>
      <c r="E5" s="204" t="s">
        <v>1470</v>
      </c>
      <c r="F5" s="204" t="s">
        <v>1471</v>
      </c>
      <c r="G5" s="205"/>
    </row>
    <row r="6" spans="1:9" s="206" customFormat="1" ht="13.5" customHeight="1">
      <c r="A6" s="729" t="s">
        <v>1472</v>
      </c>
      <c r="B6" s="207" t="s">
        <v>1473</v>
      </c>
      <c r="C6" s="208">
        <f>基准地价修正!E37+基准地价修正!E38</f>
        <v>8154</v>
      </c>
      <c r="D6" s="209"/>
      <c r="E6" s="210"/>
      <c r="F6" s="210"/>
      <c r="G6" s="211"/>
    </row>
    <row r="7" spans="1:9" s="206" customFormat="1" ht="13.5" customHeight="1">
      <c r="A7" s="729" t="s">
        <v>1474</v>
      </c>
      <c r="B7" s="207" t="s">
        <v>1475</v>
      </c>
      <c r="C7" s="212">
        <f>ROUND(C6*F7,0)</f>
        <v>249</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292</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292</v>
      </c>
      <c r="D10" s="792">
        <f ca="1">IF(B1="",'数据-汇总表'!E6,IF(INDIRECT("'数据-取费表'!c"&amp;$G$1)="住宅",INDIRECT("'数据-取费表'!s"&amp;$G$1),INDIRECT("'数据-取费表'!k"&amp;$G$1)+INDIRECT("'数据-取费表'!s"&amp;$G$1)))</f>
        <v>14603.89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14603.89</v>
      </c>
      <c r="E19" s="203">
        <f>'数据-取费表'!B31</f>
        <v>200</v>
      </c>
      <c r="F19" s="223"/>
      <c r="G19" s="1711" t="s">
        <v>3436</v>
      </c>
    </row>
    <row r="20" spans="1:7" s="206" customFormat="1" ht="13.5" customHeight="1">
      <c r="A20" s="247" t="s">
        <v>1493</v>
      </c>
      <c r="B20" s="202" t="s">
        <v>1494</v>
      </c>
      <c r="C20" s="224">
        <f ca="1">ROUND((C5+C19)*F20,0)</f>
        <v>174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697</v>
      </c>
      <c r="D22" s="227">
        <f ca="1">C26</f>
        <v>8.0000000000000004E-4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690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7</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1330</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ROUND((C5+C19+C20)*F27*'数据-取费表'!B21/'数据-取费表'!B20,0)</f>
        <v>1330</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11806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8105</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7302</v>
      </c>
      <c r="D34" s="209"/>
      <c r="E34" s="212"/>
      <c r="F34" s="249">
        <f ca="1">IF('数据-取费表'!B24=0,1,IF(B1="",'数据-取费表'!N16,INDIRECT("'数据-取费表'!n"&amp;$G$1)))</f>
        <v>1</v>
      </c>
      <c r="G34" s="211" t="s">
        <v>1526</v>
      </c>
    </row>
    <row r="35" spans="1:7" ht="13.5" customHeight="1">
      <c r="A35" s="731" t="s">
        <v>351</v>
      </c>
      <c r="B35" s="207" t="s">
        <v>1527</v>
      </c>
      <c r="C35" s="212">
        <f ca="1">ROUND(C34*F35,0)</f>
        <v>365</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292</v>
      </c>
      <c r="D37" s="209">
        <f ca="1">D19</f>
        <v>14603.89</v>
      </c>
      <c r="E37" s="241">
        <f>'数据-取费表'!B35</f>
        <v>200</v>
      </c>
      <c r="F37" s="251"/>
      <c r="G37" s="253" t="s">
        <v>1532</v>
      </c>
    </row>
    <row r="38" spans="1:7" ht="13.5" customHeight="1">
      <c r="A38" s="731" t="s">
        <v>354</v>
      </c>
      <c r="B38" s="207" t="s">
        <v>1533</v>
      </c>
      <c r="C38" s="212">
        <f ca="1">ROUND(C34*F38,0)</f>
        <v>146</v>
      </c>
      <c r="D38" s="212"/>
      <c r="E38" s="212"/>
      <c r="F38" s="251">
        <f>'数据-取费表'!B36</f>
        <v>0.02</v>
      </c>
      <c r="G38" s="211" t="s">
        <v>1528</v>
      </c>
    </row>
    <row r="39" spans="1:7" s="206" customFormat="1" ht="13.5" customHeight="1">
      <c r="A39" s="247" t="s">
        <v>1534</v>
      </c>
      <c r="B39" s="202" t="s">
        <v>1535</v>
      </c>
      <c r="C39" s="224">
        <f ca="1">ROUND(C33*F20,0)</f>
        <v>162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321</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315</v>
      </c>
      <c r="D42" s="230"/>
      <c r="E42" s="230"/>
      <c r="F42" s="231"/>
      <c r="G42" s="3471" t="s">
        <v>1544</v>
      </c>
    </row>
    <row r="43" spans="1:7" ht="13.5" customHeight="1">
      <c r="A43" s="731" t="s">
        <v>347</v>
      </c>
      <c r="B43" s="207" t="s">
        <v>1545</v>
      </c>
      <c r="C43" s="230">
        <f ca="1">ROUND(IF('数据-取费表'!B22&lt;=1,C39*F22*'数据-取费表'!B21/2,C39*(POWER((1+F22),'数据-取费表'!B21/2)-1)),0)</f>
        <v>6</v>
      </c>
      <c r="D43" s="230"/>
      <c r="E43" s="230"/>
      <c r="F43" s="231"/>
      <c r="G43" s="3472"/>
    </row>
    <row r="44" spans="1:7" ht="13.5" customHeight="1">
      <c r="A44" s="731" t="s">
        <v>348</v>
      </c>
      <c r="B44" s="207" t="s">
        <v>1546</v>
      </c>
      <c r="C44" s="230">
        <f ca="1">ROUND(IF('数据-取费表'!B22&lt;=1,C40*F22*'数据-取费表'!B21/2,C40*(POWER((1+F22),'数据-取费表'!B21/2)-1)),4)</f>
        <v>8.0000000000000004E-4</v>
      </c>
      <c r="D44" s="230"/>
      <c r="E44" s="230"/>
      <c r="F44" s="231"/>
      <c r="G44" s="3473"/>
    </row>
    <row r="45" spans="1:7" s="206" customFormat="1" ht="13.5" customHeight="1">
      <c r="A45" s="247" t="s">
        <v>1547</v>
      </c>
      <c r="B45" s="236" t="s">
        <v>1513</v>
      </c>
      <c r="C45" s="237">
        <f ca="1">C46</f>
        <v>1240</v>
      </c>
      <c r="D45" s="227">
        <f ca="1">C47</f>
        <v>3.0000000000000001E-3</v>
      </c>
      <c r="E45" s="228" t="s">
        <v>1539</v>
      </c>
      <c r="F45" s="238">
        <f ca="1">F27</f>
        <v>0.15</v>
      </c>
      <c r="G45" s="239" t="s">
        <v>1548</v>
      </c>
    </row>
    <row r="46" spans="1:7" s="206" customFormat="1" ht="13.5" customHeight="1">
      <c r="A46" s="731" t="s">
        <v>346</v>
      </c>
      <c r="B46" s="240" t="s">
        <v>1549</v>
      </c>
      <c r="C46" s="241">
        <f ca="1">ROUND((C33+C39)*F27,0)</f>
        <v>1240</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10649</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9371</v>
      </c>
      <c r="D51" s="224"/>
      <c r="E51" s="224"/>
      <c r="F51" s="256"/>
      <c r="G51" s="226" t="s">
        <v>1560</v>
      </c>
    </row>
    <row r="52" spans="1:7" s="200" customFormat="1" ht="16.8" thickBot="1">
      <c r="A52" s="257" t="s">
        <v>1561</v>
      </c>
      <c r="B52" s="258"/>
      <c r="C52" s="259">
        <f ca="1">C31+C51</f>
        <v>21177</v>
      </c>
      <c r="D52" s="258"/>
      <c r="E52" s="258"/>
      <c r="F52" s="258"/>
      <c r="G52" s="260"/>
    </row>
    <row r="55" spans="1:7" ht="15">
      <c r="B55" s="262" t="s">
        <v>1562</v>
      </c>
      <c r="C55" s="263"/>
    </row>
    <row r="56" spans="1:7">
      <c r="B56" s="265" t="s">
        <v>802</v>
      </c>
      <c r="C56" s="267">
        <f ca="1">1-C57</f>
        <v>0.55699999999999994</v>
      </c>
    </row>
    <row r="57" spans="1:7">
      <c r="B57" s="265" t="s">
        <v>803</v>
      </c>
      <c r="C57" s="266">
        <f ca="1">ROUND(C51/C52,3)</f>
        <v>0.443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61"/>
      <c r="F1" s="2561"/>
      <c r="G1" s="2443"/>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1603</v>
      </c>
      <c r="B8" s="156"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37817.270000000004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37817.270000000004</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756</v>
      </c>
      <c r="D20" s="793">
        <f ca="1">IF(C1="",'数据-汇总表'!E6,IF(INDIRECT("'数据-取费表'!c"&amp;$K$1)="住宅",INDIRECT("'数据-取费表'!s"&amp;$K$1),INDIRECT("'数据-取费表'!k"&amp;$K$1)+INDIRECT("'数据-取费表'!s"&amp;$K$1)))</f>
        <v>37817.270000000004</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0.13</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2874-FCC2-47A4-91E1-1D5A8B071D15}">
  <sheetPr>
    <tabColor rgb="FF92D050"/>
  </sheetPr>
  <dimension ref="A1:AK83"/>
  <sheetViews>
    <sheetView view="pageBreakPreview" zoomScale="70" zoomScaleNormal="70" zoomScaleSheetLayoutView="70" workbookViewId="0">
      <selection activeCell="J13" sqref="J1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3492</v>
      </c>
      <c r="D1" s="1268" t="s">
        <v>43</v>
      </c>
      <c r="E1" s="1269" t="s">
        <v>678</v>
      </c>
      <c r="F1" s="996">
        <f ca="1">J53</f>
        <v>17.88</v>
      </c>
      <c r="G1" s="1283">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24467</v>
      </c>
      <c r="C2" s="1286" t="s">
        <v>805</v>
      </c>
      <c r="D2" s="1286"/>
      <c r="E2" s="1292"/>
      <c r="F2" s="1293"/>
      <c r="G2" s="2473"/>
      <c r="H2" s="2463"/>
      <c r="I2" s="2463"/>
      <c r="J2" s="2463"/>
      <c r="K2" s="2464"/>
      <c r="L2" s="2463"/>
      <c r="M2" s="2463"/>
    </row>
    <row r="3" spans="1:37" ht="18" customHeight="1" thickBot="1">
      <c r="A3" s="1294" t="s">
        <v>806</v>
      </c>
      <c r="B3" s="1295">
        <f ca="1">IF(ISERROR(B2*10000/F43),0,ROUND(B2*10000/F43,0))</f>
        <v>16754</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2162</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2159</v>
      </c>
      <c r="D6" s="147" t="s">
        <v>2109</v>
      </c>
      <c r="E6" s="294" t="s">
        <v>696</v>
      </c>
      <c r="F6" s="295">
        <f ca="1">INDIRECT("'数据-取费表'!u"&amp;$G$1)</f>
        <v>4.5</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14603.89</v>
      </c>
      <c r="G7" s="1289"/>
      <c r="H7" s="296"/>
      <c r="I7" s="3469"/>
      <c r="J7" s="298"/>
      <c r="K7" s="299"/>
      <c r="L7" s="294" t="s">
        <v>697</v>
      </c>
      <c r="M7" s="295">
        <f ca="1">F7</f>
        <v>14603.89</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3</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9371</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7302</v>
      </c>
      <c r="D14" s="1254" t="s">
        <v>708</v>
      </c>
      <c r="E14" s="1252"/>
      <c r="F14" s="311"/>
      <c r="G14" s="1289"/>
      <c r="H14" s="925" t="s">
        <v>398</v>
      </c>
      <c r="I14" s="294" t="s">
        <v>709</v>
      </c>
      <c r="J14" s="21">
        <f ca="1">C29</f>
        <v>10649</v>
      </c>
      <c r="K14" s="12"/>
      <c r="L14" s="756"/>
      <c r="M14" s="757"/>
    </row>
    <row r="15" spans="1:37" s="1301" customFormat="1" ht="18" customHeight="1" thickBot="1">
      <c r="A15" s="925" t="s">
        <v>399</v>
      </c>
      <c r="B15" s="294" t="s">
        <v>710</v>
      </c>
      <c r="C15" s="21">
        <f ca="1">ROUND(C14*F15,0)</f>
        <v>365</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33</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1.31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146</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8105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162</v>
      </c>
      <c r="D20" s="315" t="s">
        <v>729</v>
      </c>
      <c r="E20" s="294" t="s">
        <v>712</v>
      </c>
      <c r="F20" s="314">
        <f>'数据-取费表'!B37</f>
        <v>0.02</v>
      </c>
      <c r="G20" s="1300"/>
      <c r="H20" s="925" t="s">
        <v>680</v>
      </c>
      <c r="I20" s="147" t="s">
        <v>730</v>
      </c>
      <c r="J20" s="22">
        <f ca="1">ROUND(M20*M21/10000,2)</f>
        <v>1.31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4351.6899999999996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31.95</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321</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-33</v>
      </c>
      <c r="K25" s="1029" t="s">
        <v>753</v>
      </c>
      <c r="L25" s="1030"/>
      <c r="M25" s="1031"/>
    </row>
    <row r="26" spans="1:37">
      <c r="A26" s="925" t="s">
        <v>397</v>
      </c>
      <c r="B26" s="294" t="s">
        <v>754</v>
      </c>
      <c r="C26" s="21">
        <f ca="1">ROUND((C19+C20)*F26,0)</f>
        <v>1240</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10649</v>
      </c>
      <c r="D29" s="1026"/>
      <c r="E29" s="1024"/>
      <c r="F29" s="1027"/>
      <c r="G29" s="1300"/>
      <c r="H29" s="325" t="s">
        <v>396</v>
      </c>
      <c r="I29" s="326" t="s">
        <v>768</v>
      </c>
      <c r="J29" s="327">
        <f ca="1">ROUND(J26/(1+F40)^F41,0)</f>
        <v>0</v>
      </c>
      <c r="K29" s="328" t="s">
        <v>769</v>
      </c>
      <c r="L29" s="329"/>
      <c r="M29" s="330">
        <f ca="1">INDIRECT("'数据-取费表'!k"&amp;$G$1)</f>
        <v>14603.89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415</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363.2</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115.15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246.74</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4351.6899999999996</v>
      </c>
      <c r="G35" s="1289"/>
      <c r="H35" s="2465"/>
      <c r="I35" s="1302"/>
      <c r="J35" s="1303"/>
      <c r="K35" s="2469"/>
      <c r="L35" s="2468"/>
      <c r="M35" s="2468"/>
    </row>
    <row r="36" spans="1:18" ht="18" customHeight="1">
      <c r="A36" s="1036" t="s">
        <v>402</v>
      </c>
      <c r="B36" s="294" t="s">
        <v>738</v>
      </c>
      <c r="C36" s="21">
        <f ca="1">ROUND(C29*F36,2)</f>
        <v>31.95</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9.3699999999999992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10.81</v>
      </c>
      <c r="D38" s="1026" t="s">
        <v>748</v>
      </c>
      <c r="E38" s="1024" t="s">
        <v>712</v>
      </c>
      <c r="F38" s="1020">
        <f ca="1">INDIRECT("'数据-取费表'!Am"&amp;$G$1)</f>
        <v>5.0000000000000001E-3</v>
      </c>
      <c r="G38" s="1289"/>
      <c r="H38" s="2468"/>
      <c r="I38" s="1302"/>
      <c r="J38" s="1303"/>
      <c r="K38" s="2466"/>
      <c r="L38" s="2468"/>
      <c r="M38" s="2468"/>
    </row>
    <row r="39" spans="1:18" ht="24.6" customHeight="1" thickTop="1">
      <c r="A39" s="1013" t="s">
        <v>394</v>
      </c>
      <c r="B39" s="1028" t="s">
        <v>752</v>
      </c>
      <c r="C39" s="302">
        <f ca="1">C5-C30</f>
        <v>1747</v>
      </c>
      <c r="D39" s="1029" t="s">
        <v>753</v>
      </c>
      <c r="E39" s="1030"/>
      <c r="F39" s="1031"/>
      <c r="G39" s="1289"/>
      <c r="H39" s="2468"/>
      <c r="I39" s="1302"/>
      <c r="J39" s="1303"/>
      <c r="K39" s="2466"/>
      <c r="L39" s="2468"/>
      <c r="M39" s="2468"/>
    </row>
    <row r="40" spans="1:18" ht="18" customHeight="1">
      <c r="A40" s="291" t="s">
        <v>395</v>
      </c>
      <c r="B40" s="292" t="s">
        <v>774</v>
      </c>
      <c r="C40" s="293">
        <f ca="1">ROUND(C39*(1-((1+F42)/(1+F40))^F41)/(F40-F42),0)</f>
        <v>22609</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17.88</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15481</v>
      </c>
      <c r="D43" s="328" t="s">
        <v>777</v>
      </c>
      <c r="E43" s="329" t="s">
        <v>778</v>
      </c>
      <c r="F43" s="330">
        <f ca="1">INDIRECT("'数据-取费表'!k"&amp;$G$1)</f>
        <v>14603.89</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-23079</v>
      </c>
      <c r="D46" s="1310" t="str">
        <f>C2</f>
        <v>万元</v>
      </c>
      <c r="E46" s="1304"/>
      <c r="F46" s="1304"/>
      <c r="I46" s="1311" t="s">
        <v>810</v>
      </c>
      <c r="J46" s="1312"/>
      <c r="K46" s="1313"/>
      <c r="L46" s="1314">
        <f ca="1">IF(M47="住宅",0,IF(L48&gt;J51,L60,J60))</f>
        <v>1858</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22609</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17.88</v>
      </c>
      <c r="O48" s="1322" t="s">
        <v>404</v>
      </c>
      <c r="P48" s="1323" t="s">
        <v>821</v>
      </c>
      <c r="Q48" s="1324">
        <f ca="1">J60</f>
        <v>1858</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10649</v>
      </c>
      <c r="R49" s="1324" t="s">
        <v>818</v>
      </c>
    </row>
    <row r="50" spans="1:18" s="1289" customFormat="1" ht="13.8" thickBot="1">
      <c r="A50" s="919"/>
      <c r="B50" s="922"/>
      <c r="C50" s="1052"/>
      <c r="D50" s="896"/>
      <c r="E50" s="990" t="s">
        <v>697</v>
      </c>
      <c r="F50" s="991">
        <f ca="1">F7</f>
        <v>14603.89</v>
      </c>
      <c r="H50" s="681"/>
      <c r="I50" s="1325" t="s">
        <v>826</v>
      </c>
      <c r="J50" s="1332">
        <f>SUMPRODUCT((I63:I65=J47)*(J62:L62=J48)*(J63:L65))</f>
        <v>60</v>
      </c>
      <c r="K50" s="1327" t="s">
        <v>827</v>
      </c>
      <c r="L50" s="1330"/>
      <c r="M50" s="1333"/>
      <c r="O50" s="1331" t="s">
        <v>406</v>
      </c>
      <c r="P50" s="1323" t="s">
        <v>828</v>
      </c>
      <c r="Q50" s="1334">
        <f ca="1">J58</f>
        <v>0.58499999999999996</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20177</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17.88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17.88</v>
      </c>
      <c r="K53" s="3466" t="s">
        <v>837</v>
      </c>
      <c r="L53" s="3467"/>
      <c r="O53" s="1322" t="s">
        <v>409</v>
      </c>
      <c r="P53" s="1323" t="s">
        <v>838</v>
      </c>
      <c r="Q53" s="1324">
        <f ca="1">Q47+Q48</f>
        <v>24467</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0.58499999999999996</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9371</v>
      </c>
      <c r="D56" s="1349"/>
      <c r="E56" s="1350"/>
      <c r="F56" s="1342"/>
      <c r="I56" s="1351" t="s">
        <v>842</v>
      </c>
      <c r="J56" s="1352" t="s">
        <v>3454</v>
      </c>
      <c r="K56" s="1325" t="s">
        <v>843</v>
      </c>
      <c r="L56" s="1328" t="str">
        <f ca="1">IF(L48&lt;J51,"——",L48-J53)</f>
        <v>——</v>
      </c>
      <c r="O56" s="1322" t="s">
        <v>403</v>
      </c>
      <c r="P56" s="1323" t="s">
        <v>817</v>
      </c>
      <c r="Q56" s="1324">
        <f ca="1">C40+J29</f>
        <v>22609</v>
      </c>
      <c r="R56" s="1324" t="s">
        <v>818</v>
      </c>
    </row>
    <row r="57" spans="1:18" s="1289" customFormat="1" ht="24.6" thickBot="1">
      <c r="A57" s="1353"/>
      <c r="B57" s="893" t="s">
        <v>767</v>
      </c>
      <c r="C57" s="230">
        <f ca="1">C29</f>
        <v>10649</v>
      </c>
      <c r="D57" s="1354"/>
      <c r="E57" s="1355"/>
      <c r="F57" s="1356"/>
      <c r="I57" s="1357" t="s">
        <v>844</v>
      </c>
      <c r="J57" s="1358">
        <f ca="1">IF(OR(M47="住宅",J51&lt;L48,J56="是"),"——",J51-L48)</f>
        <v>35.120000000000005</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42</v>
      </c>
      <c r="D58" s="903" t="s">
        <v>715</v>
      </c>
      <c r="E58" s="904"/>
      <c r="F58" s="905"/>
      <c r="I58" s="1357" t="s">
        <v>848</v>
      </c>
      <c r="J58" s="1359">
        <f ca="1">IF(J55&lt;0.4,0.4,J55)</f>
        <v>0.58499999999999996</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6230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1858</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1.31</v>
      </c>
      <c r="D62" s="908" t="s">
        <v>731</v>
      </c>
      <c r="E62" s="893" t="s">
        <v>732</v>
      </c>
      <c r="F62" s="317">
        <f t="shared" si="0"/>
        <v>3</v>
      </c>
      <c r="I62" s="1364" t="s">
        <v>858</v>
      </c>
      <c r="J62" s="609" t="s">
        <v>859</v>
      </c>
      <c r="K62" s="609" t="s">
        <v>860</v>
      </c>
      <c r="L62" s="609" t="s">
        <v>861</v>
      </c>
      <c r="M62" s="1365" t="s">
        <v>862</v>
      </c>
      <c r="O62" s="1322" t="s">
        <v>409</v>
      </c>
      <c r="P62" s="1323" t="s">
        <v>838</v>
      </c>
      <c r="Q62" s="1324">
        <f ca="1">Q56+Q57</f>
        <v>22609</v>
      </c>
      <c r="R62" s="1324" t="s">
        <v>410</v>
      </c>
    </row>
    <row r="63" spans="1:18" s="1289" customFormat="1" ht="13.8" thickBot="1">
      <c r="A63" s="318"/>
      <c r="B63" s="899"/>
      <c r="C63" s="26"/>
      <c r="D63" s="909"/>
      <c r="E63" s="893" t="s">
        <v>736</v>
      </c>
      <c r="F63" s="295">
        <f t="shared" ca="1" si="0"/>
        <v>4351.6899999999996</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31.95</v>
      </c>
      <c r="D64" s="907" t="s">
        <v>771</v>
      </c>
      <c r="E64" s="893" t="s">
        <v>712</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9.3699999999999992</v>
      </c>
      <c r="D65" s="907" t="s">
        <v>743</v>
      </c>
      <c r="E65" s="893" t="s">
        <v>712</v>
      </c>
      <c r="F65" s="321">
        <f t="shared" ca="1" si="0"/>
        <v>1E-3</v>
      </c>
      <c r="I65" s="1364" t="s">
        <v>867</v>
      </c>
      <c r="J65" s="609">
        <v>40</v>
      </c>
      <c r="K65" s="609">
        <v>30</v>
      </c>
      <c r="L65" s="609">
        <v>50</v>
      </c>
      <c r="M65" s="1366">
        <v>0.02</v>
      </c>
      <c r="O65" s="1322" t="s">
        <v>403</v>
      </c>
      <c r="P65" s="1323" t="s">
        <v>817</v>
      </c>
      <c r="Q65" s="1324">
        <f ca="1">C40+J29</f>
        <v>22609</v>
      </c>
      <c r="R65" s="1324" t="s">
        <v>818</v>
      </c>
    </row>
    <row r="66" spans="1:18" s="1289" customFormat="1" ht="16.2"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-42</v>
      </c>
      <c r="D67" s="906" t="s">
        <v>753</v>
      </c>
      <c r="E67" s="911"/>
      <c r="F67" s="912"/>
      <c r="O67" s="1331" t="s">
        <v>405</v>
      </c>
      <c r="P67" s="1323" t="s">
        <v>850</v>
      </c>
      <c r="Q67" s="1367">
        <f ca="1">L51</f>
        <v>20177</v>
      </c>
      <c r="R67" s="1324" t="s">
        <v>870</v>
      </c>
    </row>
    <row r="68" spans="1:18" s="1289" customFormat="1" ht="16.2" thickBot="1">
      <c r="A68" s="890" t="s">
        <v>395</v>
      </c>
      <c r="B68" s="891" t="s">
        <v>774</v>
      </c>
      <c r="C68" s="293">
        <f ca="1">ROUND(C67*(1-((1+F70)/(1+F68))^F69)/(F68-F70),0)</f>
        <v>-470</v>
      </c>
      <c r="D68" s="908" t="s">
        <v>758</v>
      </c>
      <c r="E68" s="893" t="s">
        <v>759</v>
      </c>
      <c r="F68" s="304">
        <f ca="1">F40</f>
        <v>5.5E-2</v>
      </c>
      <c r="O68" s="1331" t="s">
        <v>406</v>
      </c>
      <c r="P68" s="1368" t="s">
        <v>871</v>
      </c>
      <c r="Q68" s="1324">
        <f ca="1">ROUND(Q69-Q70*Q71,0)</f>
        <v>1091</v>
      </c>
      <c r="R68" s="1324" t="s">
        <v>414</v>
      </c>
    </row>
    <row r="69" spans="1:18" s="1289" customFormat="1" ht="13.8" thickBot="1">
      <c r="A69" s="894"/>
      <c r="B69" s="895"/>
      <c r="C69" s="298"/>
      <c r="D69" s="913" t="s">
        <v>762</v>
      </c>
      <c r="E69" s="893" t="s">
        <v>763</v>
      </c>
      <c r="F69" s="324">
        <f ca="1">F41</f>
        <v>17.88</v>
      </c>
      <c r="O69" s="1331" t="s">
        <v>411</v>
      </c>
      <c r="P69" s="1368" t="s">
        <v>872</v>
      </c>
      <c r="Q69" s="1324">
        <f ca="1">C39</f>
        <v>1747</v>
      </c>
      <c r="R69" s="1324" t="s">
        <v>818</v>
      </c>
    </row>
    <row r="70" spans="1:18" s="1289" customFormat="1" ht="13.8" thickBot="1">
      <c r="A70" s="897"/>
      <c r="B70" s="898"/>
      <c r="C70" s="302"/>
      <c r="D70" s="909"/>
      <c r="E70" s="893" t="s">
        <v>766</v>
      </c>
      <c r="F70" s="988"/>
      <c r="O70" s="1331" t="s">
        <v>412</v>
      </c>
      <c r="P70" s="1368" t="s">
        <v>873</v>
      </c>
      <c r="Q70" s="1324">
        <f ca="1">C13</f>
        <v>9371</v>
      </c>
      <c r="R70" s="1324" t="s">
        <v>818</v>
      </c>
    </row>
    <row r="71" spans="1:18" s="1289" customFormat="1" ht="13.8" thickBot="1">
      <c r="A71" s="914" t="s">
        <v>396</v>
      </c>
      <c r="B71" s="915" t="s">
        <v>776</v>
      </c>
      <c r="C71" s="327">
        <f ca="1">ROUND(C68*10000/F71,0)</f>
        <v>-322</v>
      </c>
      <c r="D71" s="916" t="s">
        <v>777</v>
      </c>
      <c r="E71" s="917" t="s">
        <v>778</v>
      </c>
      <c r="F71" s="330">
        <f ca="1">F43</f>
        <v>14603.89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656</v>
      </c>
      <c r="D75" s="1289"/>
      <c r="E75" s="1289"/>
      <c r="F75" s="1289"/>
      <c r="K75" s="1306"/>
      <c r="L75" s="1289"/>
      <c r="O75" s="1322" t="s">
        <v>409</v>
      </c>
      <c r="P75" s="1323" t="s">
        <v>838</v>
      </c>
      <c r="Q75" s="1324">
        <f ca="1">Q65+Q66</f>
        <v>22609</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0.58600000000000008</v>
      </c>
    </row>
    <row r="83" spans="2:3">
      <c r="B83" s="265" t="s">
        <v>803</v>
      </c>
      <c r="C83" s="266">
        <f ca="1">ROUND(C13/C40,3)</f>
        <v>0.41399999999999998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CE686D8E-55C7-4073-B8A4-EB6D7F3732EA}">
      <formula1>"在建（套用方法）,土地（套用方法）,——"</formula1>
    </dataValidation>
    <dataValidation type="list" allowBlank="1" showInputMessage="1" showErrorMessage="1" sqref="M10 F10 F53" xr:uid="{6E26DF4E-C0E2-49FA-8AB2-0207800BF016}">
      <formula1>"押一,押二,押三,自定义"</formula1>
    </dataValidation>
    <dataValidation type="list" allowBlank="1" showInputMessage="1" showErrorMessage="1" sqref="L55" xr:uid="{E96D4079-938B-4A01-939C-CD5DF3F57570}">
      <formula1>"比较法,基准地价,收益还原"</formula1>
    </dataValidation>
    <dataValidation type="list" allowBlank="1" showInputMessage="1" showErrorMessage="1" sqref="J56" xr:uid="{803899A4-0709-43D8-88B6-867D8B262583}">
      <formula1>估价范围判定</formula1>
    </dataValidation>
    <dataValidation type="list" allowBlank="1" showInputMessage="1" showErrorMessage="1" sqref="J48" xr:uid="{C344EDF3-7403-4AAB-B37F-6C547DBEFDB1}">
      <formula1>"非生产用房,生产用房,受腐蚀的生产用房"</formula1>
    </dataValidation>
    <dataValidation type="list" allowBlank="1" showInputMessage="1" showErrorMessage="1" sqref="J47" xr:uid="{F15E022B-913B-4DFC-91AD-02169010A52C}">
      <formula1>"钢,钢混,砖混"</formula1>
    </dataValidation>
    <dataValidation type="list" allowBlank="1" showInputMessage="1" showErrorMessage="1" sqref="C1" xr:uid="{9D3F019B-E200-4130-B7CE-33A3E8346D4A}">
      <formula1>项目类型</formula1>
    </dataValidation>
    <dataValidation type="list" allowBlank="1" showInputMessage="1" showErrorMessage="1" sqref="D33 D61" xr:uid="{E7012385-41A4-4D6B-AC2B-040274BF908D}">
      <formula1>"按租金收入计税,按房产原值计税,按票据"</formula1>
    </dataValidation>
    <dataValidation type="list" allowBlank="1" showInputMessage="1" showErrorMessage="1" sqref="K19" xr:uid="{536E8869-0DA9-4A43-A944-B3A6C277234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受贵公司委托，我公司对北京市朝阳区红军营南路36号院房地产抵押价值进行了预评估。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估价对象为北京市朝阳区红军营南路36号院房地产，为所有。根据《国有土地使用证》[]，估价对象（分摊）出让国有建设用地使用权面积为11268.85平方米，建筑面积为37817.27平方米。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军营南路36号院房地产,属开发建设的，该项目尚在开发建设中。根据《国有土地使用证》[]，估价对象（分摊）出让国有建设用地使用权面积为11268.85平方米，规划建筑面积为37817.27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2025年4月24日（评估专业人员实地查勘之日）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C1F1-A25F-4AD9-84BD-0DA79D2A1E12}">
  <sheetPr>
    <tabColor rgb="FFFF0000"/>
  </sheetPr>
  <dimension ref="A1:AJ512"/>
  <sheetViews>
    <sheetView view="pageBreakPreview" topLeftCell="A109" zoomScale="70" zoomScaleNormal="100" zoomScaleSheetLayoutView="70" zoomScalePageLayoutView="80" workbookViewId="0">
      <selection activeCell="L9" sqref="L9"/>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3494</v>
      </c>
      <c r="D1" s="645"/>
      <c r="E1" s="645"/>
      <c r="F1" s="1618" t="s">
        <v>1263</v>
      </c>
      <c r="G1" s="1450" t="s">
        <v>3440</v>
      </c>
      <c r="H1" s="1618" t="str">
        <f>IF(G1="现房","——","估价对象范围")</f>
        <v>——</v>
      </c>
      <c r="I1" s="1619" t="s">
        <v>3441</v>
      </c>
    </row>
    <row r="2" spans="1:12" ht="21.75" customHeight="1" thickBot="1">
      <c r="A2" s="3361" t="str">
        <f>项目基本情况!S2</f>
        <v>北京市朝阳区红军营南路36号院房地产</v>
      </c>
      <c r="B2" s="3362"/>
      <c r="C2" s="3362"/>
      <c r="D2" s="3362"/>
      <c r="E2" s="3362"/>
      <c r="F2" s="3362"/>
      <c r="G2" s="3362"/>
      <c r="H2" s="3362"/>
      <c r="I2" s="3363"/>
    </row>
    <row r="3" spans="1:12" ht="13.2">
      <c r="A3" s="3365" t="s">
        <v>1264</v>
      </c>
      <c r="B3" s="3366"/>
      <c r="C3" s="3366"/>
      <c r="D3" s="3366"/>
      <c r="E3" s="3366"/>
      <c r="F3" s="3366"/>
      <c r="G3" s="3366"/>
      <c r="H3" s="3366"/>
      <c r="I3" s="3366"/>
    </row>
    <row r="4" spans="1:12" ht="14.4">
      <c r="A4" s="1621" t="s">
        <v>1265</v>
      </c>
      <c r="B4" s="1622" t="s">
        <v>1266</v>
      </c>
      <c r="C4" s="1623" t="s">
        <v>3535</v>
      </c>
      <c r="D4" s="1623" t="s">
        <v>3496</v>
      </c>
      <c r="E4" s="3367" t="s">
        <v>1267</v>
      </c>
      <c r="F4" s="3368"/>
      <c r="G4" s="3368"/>
      <c r="H4" s="3368"/>
      <c r="I4" s="3369"/>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41" t="s">
        <v>1268</v>
      </c>
      <c r="B5" s="3328">
        <v>25</v>
      </c>
      <c r="C5" s="3344"/>
      <c r="D5" s="3364"/>
      <c r="E5" s="123" t="s">
        <v>1269</v>
      </c>
      <c r="F5" s="1624"/>
      <c r="G5" s="1624"/>
      <c r="H5" s="1624"/>
      <c r="I5" s="1278"/>
    </row>
    <row r="6" spans="1:12" ht="13.2">
      <c r="A6" s="3341"/>
      <c r="B6" s="3328"/>
      <c r="C6" s="3345"/>
      <c r="D6" s="3364"/>
      <c r="E6" s="123" t="s">
        <v>1270</v>
      </c>
      <c r="F6" s="1624"/>
      <c r="G6" s="1624"/>
      <c r="H6" s="1624"/>
      <c r="I6" s="1278"/>
    </row>
    <row r="7" spans="1:12" ht="13.2">
      <c r="A7" s="3341"/>
      <c r="B7" s="3328"/>
      <c r="C7" s="3346"/>
      <c r="D7" s="3364"/>
      <c r="E7" s="123" t="s">
        <v>1271</v>
      </c>
      <c r="F7" s="1624"/>
      <c r="G7" s="1624"/>
      <c r="H7" s="1624"/>
      <c r="I7" s="1278"/>
    </row>
    <row r="8" spans="1:12" ht="13.2">
      <c r="A8" s="3341" t="s">
        <v>1272</v>
      </c>
      <c r="B8" s="3328">
        <v>15</v>
      </c>
      <c r="C8" s="3344"/>
      <c r="D8" s="3364"/>
      <c r="E8" s="123" t="s">
        <v>1273</v>
      </c>
      <c r="F8" s="1624"/>
      <c r="G8" s="1624"/>
      <c r="H8" s="1624"/>
      <c r="I8" s="1278"/>
    </row>
    <row r="9" spans="1:12" ht="13.2">
      <c r="A9" s="3341"/>
      <c r="B9" s="3328"/>
      <c r="C9" s="3346"/>
      <c r="D9" s="3364"/>
      <c r="E9" s="123" t="s">
        <v>1274</v>
      </c>
      <c r="F9" s="1624"/>
      <c r="G9" s="1624"/>
      <c r="H9" s="1624"/>
      <c r="I9" s="1278"/>
    </row>
    <row r="10" spans="1:12" ht="13.2">
      <c r="A10" s="3341" t="s">
        <v>1275</v>
      </c>
      <c r="B10" s="3328">
        <v>15</v>
      </c>
      <c r="C10" s="3344"/>
      <c r="D10" s="3364"/>
      <c r="E10" s="123" t="s">
        <v>1276</v>
      </c>
      <c r="F10" s="1624"/>
      <c r="G10" s="1624"/>
      <c r="H10" s="1624"/>
      <c r="I10" s="1278"/>
    </row>
    <row r="11" spans="1:12" ht="13.2">
      <c r="A11" s="3341"/>
      <c r="B11" s="3328"/>
      <c r="C11" s="3346"/>
      <c r="D11" s="3364"/>
      <c r="E11" s="123" t="s">
        <v>1277</v>
      </c>
      <c r="F11" s="1624"/>
      <c r="G11" s="1624"/>
      <c r="H11" s="1624"/>
      <c r="I11" s="1278"/>
    </row>
    <row r="12" spans="1:12" ht="13.2">
      <c r="A12" s="3341" t="s">
        <v>1278</v>
      </c>
      <c r="B12" s="3328">
        <v>15</v>
      </c>
      <c r="C12" s="3344"/>
      <c r="D12" s="3364"/>
      <c r="E12" s="123" t="s">
        <v>1279</v>
      </c>
      <c r="F12" s="1624"/>
      <c r="G12" s="1624"/>
      <c r="H12" s="1624"/>
      <c r="I12" s="1278"/>
    </row>
    <row r="13" spans="1:12" ht="13.2">
      <c r="A13" s="3341"/>
      <c r="B13" s="3328"/>
      <c r="C13" s="3346"/>
      <c r="D13" s="3364"/>
      <c r="E13" s="123" t="s">
        <v>1280</v>
      </c>
      <c r="F13" s="1624"/>
      <c r="G13" s="1624"/>
      <c r="H13" s="1624"/>
      <c r="I13" s="1278"/>
    </row>
    <row r="14" spans="1:12" ht="13.2">
      <c r="A14" s="3341" t="s">
        <v>1281</v>
      </c>
      <c r="B14" s="3328">
        <v>30</v>
      </c>
      <c r="C14" s="3344">
        <v>6</v>
      </c>
      <c r="D14" s="3364">
        <v>4</v>
      </c>
      <c r="E14" s="123" t="s">
        <v>1282</v>
      </c>
      <c r="F14" s="1624"/>
      <c r="G14" s="1624"/>
      <c r="H14" s="1624"/>
      <c r="I14" s="1278"/>
    </row>
    <row r="15" spans="1:12" ht="13.2">
      <c r="A15" s="3341"/>
      <c r="B15" s="3328"/>
      <c r="C15" s="3345"/>
      <c r="D15" s="3364"/>
      <c r="E15" s="123" t="s">
        <v>1283</v>
      </c>
      <c r="F15" s="1624"/>
      <c r="G15" s="1624"/>
      <c r="H15" s="1624"/>
      <c r="I15" s="1278"/>
    </row>
    <row r="16" spans="1:12" ht="13.2">
      <c r="A16" s="3341"/>
      <c r="B16" s="3328"/>
      <c r="C16" s="3346"/>
      <c r="D16" s="3364"/>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351" t="s">
        <v>2131</v>
      </c>
      <c r="F18" s="3352"/>
      <c r="G18" s="3352"/>
      <c r="H18" s="3352"/>
      <c r="I18" s="3352"/>
      <c r="K18" s="294" t="s">
        <v>1289</v>
      </c>
      <c r="L18" s="294">
        <f>IF(C1="",'数据-汇总表'!E3,SUMIF(项目类型,C1,'数据-汇总表'!E17:E26)+SUMIF(项目类型,C1,'数据-汇总表'!I17:I26))</f>
        <v>7954.3</v>
      </c>
      <c r="M18" s="294">
        <f>IF(C1="",'数据-汇总表'!E3,SUMIF(项目类型,C1,'数据-汇总表'!E17:E26))</f>
        <v>7954.3</v>
      </c>
    </row>
    <row r="19" spans="1:36" ht="14.4">
      <c r="A19" s="1627" t="s">
        <v>1290</v>
      </c>
      <c r="B19" s="1628" t="s">
        <v>1291</v>
      </c>
      <c r="C19" s="126">
        <f ca="1">SUMIF(INDIRECT("'"&amp;C4&amp;"'"&amp;"!A:A"),结果表车!B19,INDIRECT("'"&amp;C4&amp;"'"&amp;"!B:B"))</f>
        <v>6676</v>
      </c>
      <c r="D19" s="127">
        <f ca="1">SUMIF(INDIRECT("'"&amp;D4&amp;"'"&amp;"!A:A"),结果表车!B19,INDIRECT("'"&amp;D4&amp;"'"&amp;"!B:B"))</f>
        <v>4832</v>
      </c>
      <c r="E19" s="1627" t="s">
        <v>1292</v>
      </c>
      <c r="F19" s="1628" t="s">
        <v>1291</v>
      </c>
      <c r="G19" s="128">
        <f ca="1">ROUND(C19*$C$18+D19*$D$18,0)</f>
        <v>5938</v>
      </c>
      <c r="H19" s="1629" t="s">
        <v>1293</v>
      </c>
      <c r="I19" s="121"/>
      <c r="K19" s="294" t="s">
        <v>1294</v>
      </c>
      <c r="L19" s="294">
        <f>IF(C1="",'数据-汇总表'!D3,SUMIF(项目类型,C1,'数据-汇总表'!D17:D26)+SUMIF(项目类型,C1,'数据-汇总表'!H17:H27))</f>
        <v>2370.23</v>
      </c>
      <c r="M19" s="294">
        <f>IF(C1="",'数据-汇总表'!D3,SUMIF(项目类型,C1,'数据-汇总表'!D17:D26))</f>
        <v>2370.23</v>
      </c>
    </row>
    <row r="20" spans="1:36" ht="14.4">
      <c r="A20" s="1630"/>
      <c r="B20" s="43" t="s">
        <v>1295</v>
      </c>
      <c r="C20" s="129">
        <f ca="1">SUMIF(INDIRECT("'"&amp;C4&amp;"'"&amp;"!A:A"),结果表车!B20,INDIRECT("'"&amp;C4&amp;"'"&amp;"!B:B"))</f>
        <v>8393</v>
      </c>
      <c r="D20" s="130">
        <f ca="1">SUMIF(INDIRECT("'"&amp;D4&amp;"'"&amp;"!A:A"),结果表车!B20,INDIRECT("'"&amp;D4&amp;"'"&amp;"!B:B"))</f>
        <v>6075</v>
      </c>
      <c r="E20" s="1630"/>
      <c r="F20" s="43" t="s">
        <v>1295</v>
      </c>
      <c r="G20" s="131">
        <f ca="1">ROUND(C20*$C$18+D20*$D$18,0)</f>
        <v>7466</v>
      </c>
      <c r="H20" s="757" t="s">
        <v>1296</v>
      </c>
      <c r="I20" s="121"/>
    </row>
    <row r="21" spans="1:36" ht="15" customHeight="1" thickBot="1">
      <c r="A21" s="449"/>
      <c r="B21" s="93" t="s">
        <v>1297</v>
      </c>
      <c r="C21" s="677">
        <f ca="1">ROUND(C19*10000/L19,0)</f>
        <v>28166</v>
      </c>
      <c r="D21" s="678">
        <f ca="1">ROUND(D19*10000/L19,0)</f>
        <v>20386</v>
      </c>
      <c r="E21" s="449"/>
      <c r="F21" s="93" t="s">
        <v>1297</v>
      </c>
      <c r="G21" s="132">
        <f ca="1">ROUND(G19*10000/L19,0)</f>
        <v>25052</v>
      </c>
      <c r="H21" s="1631" t="s">
        <v>1296</v>
      </c>
      <c r="I21" s="121"/>
    </row>
    <row r="22" spans="1:36" ht="15" thickBot="1">
      <c r="A22" s="1561" t="s">
        <v>1298</v>
      </c>
      <c r="B22" s="1632"/>
      <c r="C22" s="1633"/>
      <c r="D22" s="679">
        <f ca="1">IF(C19&lt;D19,D19/C19-1,C19/D19-1)</f>
        <v>0.38162251655629142</v>
      </c>
      <c r="E22" s="121"/>
      <c r="F22" s="121"/>
      <c r="G22" s="121"/>
      <c r="H22" s="121"/>
      <c r="I22" s="121"/>
    </row>
    <row r="23" spans="1:36" ht="13.8" thickBot="1">
      <c r="A23" s="645"/>
      <c r="B23" s="645"/>
      <c r="C23" s="645"/>
      <c r="D23" s="645"/>
      <c r="E23" s="121"/>
      <c r="F23" s="121"/>
      <c r="G23" s="121"/>
      <c r="H23" s="121"/>
      <c r="I23" s="121"/>
    </row>
    <row r="24" spans="1:36" ht="14.4">
      <c r="A24" s="3335" t="s">
        <v>1299</v>
      </c>
      <c r="B24" s="1628" t="s">
        <v>1291</v>
      </c>
      <c r="C24" s="128">
        <f>IF(B30=0,0,D30)</f>
        <v>0</v>
      </c>
      <c r="D24" s="1634"/>
      <c r="E24" s="121"/>
      <c r="F24" s="121"/>
      <c r="G24" s="121"/>
      <c r="H24" s="121"/>
      <c r="I24" s="121"/>
    </row>
    <row r="25" spans="1:36" ht="14.4">
      <c r="A25" s="3336"/>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5938</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3307</v>
      </c>
      <c r="D34" s="805">
        <f ca="1">IF(C33="自定义",ROUND(C34/C32,3),IF(C33="收益比率",SUMIF(INDIRECT("'"&amp;D33&amp;"'"&amp;"!b:b"),"土地收益比率",INDIRECT("'"&amp;D33&amp;"'"&amp;"!c:c")),SUMIF(INDIRECT("'"&amp;D33&amp;"'"&amp;"!b:b"),"土地成本比率",INDIRECT("'"&amp;D33&amp;"'"&amp;"!c:c"))))</f>
        <v>0.55699999999999994</v>
      </c>
      <c r="E34" s="1645" t="s">
        <v>1309</v>
      </c>
      <c r="F34" s="1240"/>
      <c r="G34" s="121"/>
      <c r="H34" s="121"/>
      <c r="I34" s="121"/>
    </row>
    <row r="35" spans="1:15" ht="15" thickBot="1">
      <c r="A35" s="1646"/>
      <c r="B35" s="1647" t="s">
        <v>1310</v>
      </c>
      <c r="C35" s="1087">
        <f ca="1">IF(C33="自定义",F35,ROUND(C32*D35,0))</f>
        <v>2631</v>
      </c>
      <c r="D35" s="1088">
        <f ca="1">IF(C33="自定义",ROUND(C35/C32,3),IF(C33="收益比率",SUMIF(INDIRECT("'"&amp;D33&amp;"'"&amp;"!b:b"),"建筑物收益比率",INDIRECT("'"&amp;D33&amp;"'"&amp;"!c:c")),SUMIF(INDIRECT("'"&amp;D33&amp;"'"&amp;"!b:b"),"建筑物成本比率",INDIRECT("'"&amp;D33&amp;"'"&amp;"!c:c"))))</f>
        <v>0.443</v>
      </c>
      <c r="E35" s="1648" t="s">
        <v>1311</v>
      </c>
      <c r="F35" s="146"/>
      <c r="G35" s="121"/>
      <c r="H35" s="121"/>
      <c r="I35" s="121"/>
    </row>
    <row r="36" spans="1:15" ht="15" thickBot="1">
      <c r="A36" s="3355" t="s">
        <v>1312</v>
      </c>
      <c r="B36" s="1649" t="s">
        <v>1313</v>
      </c>
      <c r="C36" s="137"/>
      <c r="D36" s="1650"/>
      <c r="E36" s="1564"/>
      <c r="F36" s="1651"/>
      <c r="G36" s="121"/>
      <c r="H36" s="121"/>
      <c r="I36" s="121"/>
    </row>
    <row r="37" spans="1:15" ht="15" thickBot="1">
      <c r="A37" s="3356"/>
      <c r="B37" s="1552" t="s">
        <v>1314</v>
      </c>
      <c r="C37" s="139"/>
      <c r="D37" s="1068"/>
      <c r="E37" s="1068"/>
      <c r="F37" s="1651"/>
      <c r="G37" s="121"/>
      <c r="H37" s="121"/>
      <c r="I37" s="121"/>
    </row>
    <row r="38" spans="1:15" ht="15" thickBot="1">
      <c r="A38" s="3357"/>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32" t="s">
        <v>1326</v>
      </c>
      <c r="B45" s="3333"/>
      <c r="C45" s="3334"/>
      <c r="D45" s="147">
        <f ca="1">ROUND(H101*F45,0)</f>
        <v>5938</v>
      </c>
      <c r="E45" s="148" t="s">
        <v>1327</v>
      </c>
      <c r="F45" s="149">
        <v>1</v>
      </c>
      <c r="G45" s="150" t="s">
        <v>1328</v>
      </c>
      <c r="H45" s="121"/>
      <c r="I45" s="121"/>
      <c r="J45" s="3410" t="s">
        <v>1329</v>
      </c>
      <c r="K45" s="3410"/>
      <c r="L45" s="3410"/>
      <c r="M45" s="3410"/>
      <c r="N45" s="3410"/>
      <c r="O45" s="3410"/>
    </row>
    <row r="46" spans="1:15" ht="14.25" customHeight="1">
      <c r="A46" s="3329" t="s">
        <v>1330</v>
      </c>
      <c r="B46" s="3330"/>
      <c r="C46" s="3330"/>
      <c r="D46" s="3330"/>
      <c r="E46" s="3330"/>
      <c r="F46" s="3330"/>
      <c r="G46" s="3331"/>
      <c r="H46" s="1665"/>
      <c r="I46" s="151"/>
      <c r="J46" s="2305">
        <v>1</v>
      </c>
      <c r="K46" s="3391" t="s">
        <v>1331</v>
      </c>
      <c r="L46" s="3391"/>
      <c r="M46" s="3411"/>
      <c r="N46" s="3411"/>
      <c r="O46" s="3411"/>
    </row>
    <row r="47" spans="1:15" ht="12" customHeight="1">
      <c r="A47" s="152" t="s">
        <v>1332</v>
      </c>
      <c r="B47" s="153"/>
      <c r="C47" s="154"/>
      <c r="D47" s="1021" t="s">
        <v>1333</v>
      </c>
      <c r="E47" s="294" t="s">
        <v>1334</v>
      </c>
      <c r="F47" s="155" t="s">
        <v>1335</v>
      </c>
      <c r="G47" s="2328" t="s">
        <v>1336</v>
      </c>
      <c r="H47" s="2329"/>
      <c r="I47" s="151"/>
      <c r="J47" s="2305">
        <v>2</v>
      </c>
      <c r="K47" s="3391" t="s">
        <v>1337</v>
      </c>
      <c r="L47" s="3391"/>
      <c r="M47" s="3412">
        <f>'数据-取费表'!B2</f>
        <v>45771</v>
      </c>
      <c r="N47" s="3412"/>
      <c r="O47" s="3412"/>
    </row>
    <row r="48" spans="1:15" ht="26.4">
      <c r="A48" s="3360" t="s">
        <v>1338</v>
      </c>
      <c r="B48" s="3343"/>
      <c r="C48" s="3343"/>
      <c r="D48" s="12">
        <f ca="1">IF(H48="情况1",0,IF(H48="情况2",D52,IF(H48="情况3",D53,IF(H48="情况4",D54))))</f>
        <v>317</v>
      </c>
      <c r="E48" s="1253" t="str">
        <f>IF(H48="情况4","(销售额-原购置价)×税（费）率","销售额×税（费）率")</f>
        <v>销售额×税（费）率</v>
      </c>
      <c r="F48" s="2330">
        <f>IF(H48="情况1","免征",'数据-取费表'!B41)</f>
        <v>5.6000000000000001E-2</v>
      </c>
      <c r="G48" s="2331" t="s">
        <v>1339</v>
      </c>
      <c r="H48" s="2332" t="s">
        <v>3445</v>
      </c>
      <c r="I48" s="1665"/>
      <c r="J48" s="2305">
        <v>3</v>
      </c>
      <c r="K48" s="3391" t="s">
        <v>1340</v>
      </c>
      <c r="L48" s="3391"/>
      <c r="M48" s="3413">
        <f ca="1">H101</f>
        <v>5938</v>
      </c>
      <c r="N48" s="3413"/>
      <c r="O48" s="3413"/>
    </row>
    <row r="49" spans="1:35" ht="25.5" customHeight="1">
      <c r="A49" s="2149" t="s">
        <v>1341</v>
      </c>
      <c r="B49" s="3327" t="s">
        <v>1342</v>
      </c>
      <c r="C49" s="3327"/>
      <c r="D49" s="1475">
        <v>0</v>
      </c>
      <c r="E49" s="316" t="s">
        <v>1343</v>
      </c>
      <c r="F49" s="2230" t="s">
        <v>28</v>
      </c>
      <c r="G49" s="3397"/>
      <c r="H49" s="2131" t="s">
        <v>2134</v>
      </c>
      <c r="I49" s="2132"/>
      <c r="J49" s="2305">
        <v>4</v>
      </c>
      <c r="K49" s="3391" t="str">
        <f>IF(项目基本情况!E8="房地产抵押价值","房地产抵押价值","抵押担保权已注销时的房地产抵押价值")</f>
        <v>房地产抵押价值</v>
      </c>
      <c r="L49" s="3391"/>
      <c r="M49" s="3413">
        <f ca="1">IF(项目基本情况!E8="房地产抵押价值",H107,H109)</f>
        <v>5938</v>
      </c>
      <c r="N49" s="3413"/>
      <c r="O49" s="3413"/>
    </row>
    <row r="50" spans="1:35" ht="25.5" customHeight="1">
      <c r="A50" s="2333"/>
      <c r="B50" s="3327" t="s">
        <v>1344</v>
      </c>
      <c r="C50" s="3327"/>
      <c r="D50" s="2186"/>
      <c r="E50" s="323"/>
      <c r="F50" s="2230"/>
      <c r="G50" s="3398"/>
      <c r="H50" s="2133" t="s">
        <v>2135</v>
      </c>
      <c r="I50" s="2132"/>
      <c r="J50" s="3410" t="s">
        <v>1345</v>
      </c>
      <c r="K50" s="3410"/>
      <c r="L50" s="3410"/>
      <c r="M50" s="3410"/>
      <c r="N50" s="3410"/>
      <c r="O50" s="3410"/>
    </row>
    <row r="51" spans="1:35" ht="20.399999999999999" customHeight="1">
      <c r="A51" s="2334"/>
      <c r="B51" s="3327" t="s">
        <v>1346</v>
      </c>
      <c r="C51" s="3327"/>
      <c r="D51" s="1021"/>
      <c r="E51" s="319"/>
      <c r="F51" s="2230"/>
      <c r="G51" s="3399"/>
      <c r="H51" s="2133" t="s">
        <v>2136</v>
      </c>
      <c r="I51" s="2132"/>
      <c r="J51" s="2306" t="s">
        <v>1347</v>
      </c>
      <c r="K51" s="3391" t="s">
        <v>1348</v>
      </c>
      <c r="L51" s="3391"/>
      <c r="M51" s="2306" t="s">
        <v>1349</v>
      </c>
      <c r="N51" s="2306" t="s">
        <v>1350</v>
      </c>
      <c r="O51" s="2306" t="s">
        <v>1351</v>
      </c>
    </row>
    <row r="52" spans="1:35" ht="24" customHeight="1">
      <c r="A52" s="2150" t="s">
        <v>1352</v>
      </c>
      <c r="B52" s="3327" t="s">
        <v>1353</v>
      </c>
      <c r="C52" s="3327"/>
      <c r="D52" s="1021">
        <f ca="1">ROUND(D45*'数据-取费表'!B41/(1+'数据-取费表'!C42),0)</f>
        <v>317</v>
      </c>
      <c r="E52" s="1253" t="s">
        <v>1354</v>
      </c>
      <c r="F52" s="2335">
        <f>'数据-取费表'!B41</f>
        <v>5.6000000000000001E-2</v>
      </c>
      <c r="G52" s="2336"/>
      <c r="H52" s="2326"/>
      <c r="I52" s="1666"/>
      <c r="J52" s="2305">
        <v>1</v>
      </c>
      <c r="K52" s="3392" t="s">
        <v>1355</v>
      </c>
      <c r="L52" s="3392"/>
      <c r="M52" s="2307">
        <f ca="1">D48</f>
        <v>317</v>
      </c>
      <c r="N52" s="2305" t="str">
        <f>E48</f>
        <v>销售额×税（费）率</v>
      </c>
      <c r="O52" s="2308">
        <f>F48</f>
        <v>5.6000000000000001E-2</v>
      </c>
    </row>
    <row r="53" spans="1:35" ht="12" customHeight="1">
      <c r="A53" s="2150" t="s">
        <v>1356</v>
      </c>
      <c r="B53" s="3353" t="s">
        <v>2287</v>
      </c>
      <c r="C53" s="3354"/>
      <c r="D53" s="1021">
        <f ca="1">ROUND(D45*'数据-取费表'!B41/(1+'数据-取费表'!C42),0)</f>
        <v>317</v>
      </c>
      <c r="E53" s="1253" t="s">
        <v>1354</v>
      </c>
      <c r="F53" s="2335">
        <f>'数据-取费表'!B41</f>
        <v>5.6000000000000001E-2</v>
      </c>
      <c r="G53" s="2336"/>
      <c r="H53" s="2326"/>
      <c r="I53" s="1666"/>
      <c r="J53" s="2305">
        <v>2</v>
      </c>
      <c r="K53" s="3392" t="s">
        <v>1357</v>
      </c>
      <c r="L53" s="3392"/>
      <c r="M53" s="2307">
        <f t="shared" ref="M53:O54" ca="1" si="0">D55</f>
        <v>3</v>
      </c>
      <c r="N53" s="2305" t="str">
        <f t="shared" si="0"/>
        <v>销售额×税（费）率</v>
      </c>
      <c r="O53" s="2308">
        <f t="shared" si="0"/>
        <v>5.0000000000000001E-4</v>
      </c>
    </row>
    <row r="54" spans="1:35" ht="12" customHeight="1">
      <c r="A54" s="2150" t="s">
        <v>1358</v>
      </c>
      <c r="B54" s="3353" t="s">
        <v>2288</v>
      </c>
      <c r="C54" s="3354"/>
      <c r="D54" s="1021">
        <f ca="1">C68</f>
        <v>317</v>
      </c>
      <c r="E54" s="319" t="s">
        <v>1359</v>
      </c>
      <c r="F54" s="2335">
        <f>'数据-取费表'!B41</f>
        <v>5.6000000000000001E-2</v>
      </c>
      <c r="G54" s="2336"/>
      <c r="H54" s="2337"/>
      <c r="I54" s="1666"/>
      <c r="J54" s="2305">
        <v>3</v>
      </c>
      <c r="K54" s="3392" t="s">
        <v>1360</v>
      </c>
      <c r="L54" s="3392"/>
      <c r="M54" s="2307">
        <f t="shared" ca="1" si="0"/>
        <v>3361</v>
      </c>
      <c r="N54" s="2305" t="str">
        <f t="shared" si="0"/>
        <v>增值额×税（费）率</v>
      </c>
      <c r="O54" s="2309" t="str">
        <f t="shared" si="0"/>
        <v>——</v>
      </c>
    </row>
    <row r="55" spans="1:35" ht="24" customHeight="1">
      <c r="A55" s="3342" t="s">
        <v>1361</v>
      </c>
      <c r="B55" s="3343"/>
      <c r="C55" s="3343"/>
      <c r="D55" s="12">
        <f ca="1">IF(H55="个人住宅",0,ROUND(D45*I55,0))</f>
        <v>3</v>
      </c>
      <c r="E55" s="1253" t="s">
        <v>1362</v>
      </c>
      <c r="F55" s="2335">
        <f>IF(H55="正常",I55,"免征")</f>
        <v>5.0000000000000001E-4</v>
      </c>
      <c r="G55" s="2336"/>
      <c r="H55" s="2332" t="s">
        <v>3446</v>
      </c>
      <c r="I55" s="157">
        <f>'数据-取费表'!B49</f>
        <v>5.0000000000000001E-4</v>
      </c>
      <c r="J55" s="2305" t="str">
        <f>IF(H59="非个人房产","",4)</f>
        <v/>
      </c>
      <c r="K55" s="3392" t="str">
        <f>IF(H59="非个人房产","——","个人所得税")</f>
        <v>——</v>
      </c>
      <c r="L55" s="3392"/>
      <c r="M55" s="2310" t="str">
        <f>D59</f>
        <v>——</v>
      </c>
      <c r="N55" s="1880" t="str">
        <f>E59</f>
        <v>——</v>
      </c>
      <c r="O55" s="2311" t="str">
        <f>F59</f>
        <v>——</v>
      </c>
    </row>
    <row r="56" spans="1:35" ht="25.2">
      <c r="A56" s="3342" t="s">
        <v>1363</v>
      </c>
      <c r="B56" s="3343"/>
      <c r="C56" s="3343"/>
      <c r="D56" s="12">
        <f ca="1">IF(H56="个人住宅",D57,D58)</f>
        <v>3361</v>
      </c>
      <c r="E56" s="1253" t="s">
        <v>1364</v>
      </c>
      <c r="F56" s="2335" t="str">
        <f>IF(H56="正常",F58,"免征")</f>
        <v>——</v>
      </c>
      <c r="G56" s="2338" t="s">
        <v>1365</v>
      </c>
      <c r="H56" s="2339" t="s">
        <v>3446</v>
      </c>
      <c r="I56" s="1667"/>
      <c r="J56" s="2305" t="str">
        <f>IF(项目基本情况!K6="上海银行",IF(J55="",4,J55+1),"")</f>
        <v/>
      </c>
      <c r="K56" s="3415" t="str">
        <f>IF(项目基本情况!K6="上海银行","其他处置费用","")</f>
        <v/>
      </c>
      <c r="L56" s="3416"/>
      <c r="M56" s="2307" t="str">
        <f>IF(项目基本情况!K6="上海银行",M69,"")</f>
        <v/>
      </c>
      <c r="N56" s="3415" t="str">
        <f>IF(项目基本情况!K6="上海银行","包含处置中涉及的律师、诉讼、拍卖、评估等费用","")</f>
        <v/>
      </c>
      <c r="O56" s="3418"/>
    </row>
    <row r="57" spans="1:35" ht="13.2">
      <c r="A57" s="2150" t="s">
        <v>1341</v>
      </c>
      <c r="B57" s="3353" t="s">
        <v>1366</v>
      </c>
      <c r="C57" s="3354"/>
      <c r="D57" s="1475">
        <v>0</v>
      </c>
      <c r="E57" s="316" t="s">
        <v>1343</v>
      </c>
      <c r="F57" s="294"/>
      <c r="G57" s="2336"/>
      <c r="H57" s="2340"/>
      <c r="I57" s="1667"/>
      <c r="J57" s="3392">
        <f>IF(AND(J55="",J56=""),4,IF(项目基本情况!K6="上海银行",结果表车!J56+1,结果表车!J55+1))</f>
        <v>4</v>
      </c>
      <c r="K57" s="3392" t="s">
        <v>1367</v>
      </c>
      <c r="L57" s="2312" t="s">
        <v>1368</v>
      </c>
      <c r="M57" s="2313"/>
      <c r="N57" s="2314">
        <f ca="1">SUMIF(M52:M56,"&lt;9e307")</f>
        <v>3681</v>
      </c>
      <c r="O57" s="2315"/>
      <c r="P57" s="2459">
        <f ca="1">N57/M49</f>
        <v>0.61990569215223978</v>
      </c>
    </row>
    <row r="58" spans="1:35" ht="25.2">
      <c r="A58" s="2150" t="s">
        <v>1352</v>
      </c>
      <c r="B58" s="3353" t="s">
        <v>1369</v>
      </c>
      <c r="C58" s="3327"/>
      <c r="D58" s="12">
        <f ca="1">IF(H58="转让取得",C81,C97)</f>
        <v>3361</v>
      </c>
      <c r="E58" s="1253" t="s">
        <v>1364</v>
      </c>
      <c r="F58" s="294" t="s">
        <v>28</v>
      </c>
      <c r="G58" s="2336"/>
      <c r="H58" s="2339" t="s">
        <v>3447</v>
      </c>
      <c r="I58" s="1667"/>
      <c r="J58" s="3392"/>
      <c r="K58" s="3392"/>
      <c r="L58" s="2312" t="s">
        <v>1370</v>
      </c>
      <c r="M58" s="2316"/>
      <c r="N58" s="2317" t="str">
        <f ca="1">NUMBERSTRING(INT(N57*10000),2)&amp;"元整"</f>
        <v>叁仟陆佰捌拾壹万元整</v>
      </c>
      <c r="O58" s="2318"/>
    </row>
    <row r="59" spans="1:35" ht="24.6" thickBot="1">
      <c r="A59" s="3395" t="s">
        <v>1371</v>
      </c>
      <c r="B59" s="3396"/>
      <c r="C59" s="339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93">
        <f>J57+1</f>
        <v>5</v>
      </c>
      <c r="K59" s="3392" t="s">
        <v>1372</v>
      </c>
      <c r="L59" s="2305" t="s">
        <v>1368</v>
      </c>
      <c r="M59" s="2319"/>
      <c r="N59" s="2320">
        <f ca="1">M49-N57</f>
        <v>2257</v>
      </c>
      <c r="O59" s="2321"/>
    </row>
    <row r="60" spans="1:35" ht="12" customHeight="1">
      <c r="A60" s="1668"/>
      <c r="B60" s="645"/>
      <c r="C60" s="645"/>
      <c r="D60" s="645"/>
      <c r="E60" s="1463"/>
      <c r="F60" s="1667"/>
      <c r="G60" s="1667"/>
      <c r="H60" s="151"/>
      <c r="I60" s="121"/>
      <c r="J60" s="3394"/>
      <c r="K60" s="3392"/>
      <c r="L60" s="2312" t="s">
        <v>1370</v>
      </c>
      <c r="M60" s="2316"/>
      <c r="N60" s="2317" t="str">
        <f ca="1">NUMBERSTRING(INT(N59*10000),2)&amp;"元整"</f>
        <v>贰仟贰佰伍拾柒万元整</v>
      </c>
      <c r="O60" s="2318"/>
    </row>
    <row r="61" spans="1:35" ht="13.8" thickBot="1">
      <c r="A61" s="3340" t="s">
        <v>1373</v>
      </c>
      <c r="B61" s="3340"/>
      <c r="C61" s="3340"/>
      <c r="D61" s="3340"/>
      <c r="E61" s="3340"/>
      <c r="F61" s="1667"/>
      <c r="G61" s="1667"/>
      <c r="H61" s="151"/>
      <c r="I61" s="121"/>
      <c r="J61" s="2305">
        <f>J59+1</f>
        <v>6</v>
      </c>
      <c r="K61" s="3392" t="s">
        <v>1374</v>
      </c>
      <c r="L61" s="3392"/>
      <c r="M61" s="2322"/>
      <c r="N61" s="2323">
        <f ca="1">ROUND(N59*10000/'数据-汇总表'!E3,0)</f>
        <v>597</v>
      </c>
      <c r="O61" s="2324"/>
    </row>
    <row r="62" spans="1:35" ht="13.2">
      <c r="A62" s="3358" t="s">
        <v>1375</v>
      </c>
      <c r="B62" s="3359"/>
      <c r="C62" s="1862"/>
      <c r="D62" s="1862" t="s">
        <v>1376</v>
      </c>
      <c r="E62" s="158" t="s">
        <v>1377</v>
      </c>
      <c r="F62" s="1667"/>
      <c r="G62" s="1667"/>
      <c r="H62" s="151"/>
      <c r="I62" s="121"/>
    </row>
    <row r="63" spans="1:35" ht="13.2">
      <c r="A63" s="165" t="s">
        <v>330</v>
      </c>
      <c r="B63" s="159" t="s">
        <v>1378</v>
      </c>
      <c r="C63" s="2345">
        <f ca="1">ROUND((C64+C65)/(1+'数据-取费表'!C42),0)</f>
        <v>5655</v>
      </c>
      <c r="D63" s="159"/>
      <c r="E63" s="160"/>
      <c r="F63" s="1667"/>
      <c r="G63" s="1667"/>
      <c r="H63" s="151"/>
      <c r="I63" s="121"/>
      <c r="J63" s="3417" t="s">
        <v>1379</v>
      </c>
      <c r="K63" s="1242" t="s">
        <v>1380</v>
      </c>
      <c r="L63" s="1242">
        <f ca="1">IF(M49&gt;10000,M49*0.5%,IF(AND(M49&gt;1000,M49&lt;=10000),M49*1%,IF(AND(M49&gt;100,M49&lt;=1000),M49*3%,IF(AND(M49&gt;10,M49&lt;=100),M49*5%,M49*8%))))</f>
        <v>59.38</v>
      </c>
      <c r="M63" s="294">
        <f ca="1">ROUND(L63,1)</f>
        <v>59.4</v>
      </c>
      <c r="N63" s="2325"/>
      <c r="Z63" s="1620"/>
      <c r="AI63" s="1558"/>
    </row>
    <row r="64" spans="1:35" ht="14.25" customHeight="1">
      <c r="A64" s="161" t="s">
        <v>325</v>
      </c>
      <c r="B64" s="162" t="s">
        <v>1381</v>
      </c>
      <c r="C64" s="2346">
        <f ca="1">D45</f>
        <v>5938</v>
      </c>
      <c r="D64" s="162" t="s">
        <v>26</v>
      </c>
      <c r="E64" s="164"/>
      <c r="F64" s="1667"/>
      <c r="G64" s="1667"/>
      <c r="H64" s="151"/>
      <c r="I64" s="121"/>
      <c r="J64" s="3417"/>
      <c r="K64" s="1242" t="s">
        <v>1382</v>
      </c>
      <c r="L64" s="1242">
        <f ca="1">IF(M49&gt;2000,M49*0.5%,IF(AND(M49&gt;1000,M49&lt;=2000),M49*0.6%,IF(AND(M49&gt;500,M49&lt;=1000),M49*0.7%,IF(AND(M49&gt;200,M49&lt;=500),M49*0.8%,IF(AND(M49&gt;100,M49&lt;=200),M49*0.9%,IF(AND(M49&gt;50,M49&lt;=100),M49*1%,IF(AND(M49&gt;20,M49&lt;=50),M49*1.5%,IF(AND(M49&gt;10,M49&lt;=20),M49*2%,IF(AND(M49&gt;1,M49&lt;=10),M49*2.5%)))))))))</f>
        <v>29.69</v>
      </c>
      <c r="M64" s="294">
        <f t="shared" ref="M64:M65" ca="1" si="1">ROUND(L64,1)</f>
        <v>29.7</v>
      </c>
      <c r="N64" s="2326" t="s">
        <v>1383</v>
      </c>
      <c r="Z64" s="1620"/>
      <c r="AI64" s="1558"/>
    </row>
    <row r="65" spans="1:35" ht="14.25" customHeight="1">
      <c r="A65" s="161" t="s">
        <v>326</v>
      </c>
      <c r="B65" s="162" t="s">
        <v>1384</v>
      </c>
      <c r="C65" s="2347"/>
      <c r="D65" s="162"/>
      <c r="E65" s="164"/>
      <c r="F65" s="1667"/>
      <c r="G65" s="1667"/>
      <c r="H65" s="151"/>
      <c r="I65" s="121"/>
      <c r="J65" s="3417"/>
      <c r="K65" s="1242" t="s">
        <v>1385</v>
      </c>
      <c r="L65" s="1242">
        <f ca="1">IF(M49&gt;1000,M49*0.1%,IF(AND(M49&gt;500,M49&lt;=1000),M49*0.5%,IF(AND(M49&gt;50,M49&lt;=500),M49*1%,IF(AND(M49&gt;1,M49&lt;=50),M49*1.5%))))</f>
        <v>5.9379999999999997</v>
      </c>
      <c r="M65" s="294">
        <f t="shared" ca="1" si="1"/>
        <v>5.9</v>
      </c>
      <c r="N65" s="2326" t="s">
        <v>1383</v>
      </c>
      <c r="Z65" s="1620"/>
      <c r="AI65" s="1558"/>
    </row>
    <row r="66" spans="1:35" ht="14.25" customHeight="1">
      <c r="A66" s="165" t="s">
        <v>327</v>
      </c>
      <c r="B66" s="166" t="s">
        <v>1386</v>
      </c>
      <c r="C66" s="2348"/>
      <c r="D66" s="166" t="s">
        <v>26</v>
      </c>
      <c r="E66" s="1248" t="s">
        <v>671</v>
      </c>
      <c r="F66" s="1667"/>
      <c r="G66" s="1667"/>
      <c r="H66" s="151"/>
      <c r="I66" s="121"/>
      <c r="J66" s="3417"/>
      <c r="K66" s="1242" t="s">
        <v>1387</v>
      </c>
      <c r="L66" s="1242">
        <f ca="1">M49*0.5%</f>
        <v>29.69</v>
      </c>
      <c r="M66" s="294">
        <f ca="1">IF(L66&gt;0.5,0.5,ROUND(L66,0))</f>
        <v>0.5</v>
      </c>
      <c r="N66" s="2326" t="s">
        <v>1388</v>
      </c>
      <c r="Z66" s="1620"/>
      <c r="AI66" s="1558"/>
    </row>
    <row r="67" spans="1:35" ht="14.25" customHeight="1">
      <c r="A67" s="165" t="s">
        <v>328</v>
      </c>
      <c r="B67" s="166" t="s">
        <v>1389</v>
      </c>
      <c r="C67" s="2349">
        <f ca="1">C63-C66</f>
        <v>5655</v>
      </c>
      <c r="D67" s="162" t="s">
        <v>26</v>
      </c>
      <c r="E67" s="164"/>
      <c r="F67" s="1667"/>
      <c r="G67" s="1667"/>
      <c r="H67" s="151"/>
      <c r="I67" s="121"/>
      <c r="J67" s="3417"/>
      <c r="K67" s="1242" t="s">
        <v>1390</v>
      </c>
      <c r="L67" s="1242">
        <f ca="1">IF(M49&gt;=10000,(8.25+(M49-10000)*0.01%),IF(AND(M49&gt;=8000,M49&lt;10000),(7.85+(M49-8000)*0.02%),IF(AND(M49&gt;=5000,M49&lt;8000),(6.65+(M49-5000)*0.04%),IF(AND(M49&gt;=2000,M49&lt;5000),(4.25+(PM49-2000)*0.08%),IF(AND(M49&gt;=1000,M49&lt;2000),(2.75+(M49-1000)*0.15%),IF(AND(M49&gt;=100,M49&lt;1000),(0.5+(M49-100)*0.25%),IF(AND(M49&gt;0,M49&lt;100),M49*0.5%)))))))</f>
        <v>7.0252000000000008</v>
      </c>
      <c r="M67" s="294">
        <f ca="1">ROUND(L67*0.9,1)</f>
        <v>6.3</v>
      </c>
      <c r="N67" s="2325"/>
      <c r="Z67" s="1620"/>
      <c r="AI67" s="1558"/>
    </row>
    <row r="68" spans="1:35" ht="14.25" customHeight="1" thickBot="1">
      <c r="A68" s="168" t="s">
        <v>329</v>
      </c>
      <c r="B68" s="169" t="s">
        <v>1391</v>
      </c>
      <c r="C68" s="2350">
        <f ca="1">IF(C67&lt;=0,0,ROUND(C67*D68,0))</f>
        <v>317</v>
      </c>
      <c r="D68" s="2351">
        <f>'数据-取费表'!B41</f>
        <v>5.6000000000000001E-2</v>
      </c>
      <c r="E68" s="170"/>
      <c r="F68" s="1667"/>
      <c r="G68" s="1667"/>
      <c r="H68" s="151"/>
      <c r="I68" s="121"/>
      <c r="J68" s="3417"/>
      <c r="K68" s="1242" t="s">
        <v>1392</v>
      </c>
      <c r="L68" s="1242">
        <f ca="1">IF(M49&gt;10000,M49*0.5%,IF(AND(M49&gt;5000,M49&lt;=10000),M49*1%,IF(AND(M49&gt;1000,M49&lt;=5000),M49*2%,IF(AND(M49&gt;200,M49&lt;=1000),M49*3%,M49*5%))))</f>
        <v>59.38</v>
      </c>
      <c r="M68" s="294">
        <f ca="1">ROUND(L68,1)</f>
        <v>59.4</v>
      </c>
      <c r="N68" s="2325"/>
      <c r="Z68" s="1620"/>
      <c r="AI68" s="1558"/>
    </row>
    <row r="69" spans="1:35" ht="16.5" customHeight="1">
      <c r="A69" s="1669"/>
      <c r="B69" s="1670"/>
      <c r="C69" s="1671"/>
      <c r="D69" s="1672"/>
      <c r="E69" s="1673"/>
      <c r="F69" s="1463"/>
      <c r="G69" s="1463"/>
      <c r="H69" s="1464"/>
      <c r="I69" s="645"/>
      <c r="J69" s="3417"/>
      <c r="K69" s="1242" t="s">
        <v>1393</v>
      </c>
      <c r="L69" s="1242"/>
      <c r="M69" s="294">
        <f ca="1">ROUND(SUM(M63:M68),0)</f>
        <v>161</v>
      </c>
      <c r="N69" s="2327">
        <f ca="1">M69/M49</f>
        <v>2.7113506231054227E-2</v>
      </c>
      <c r="Z69" s="1620"/>
      <c r="AI69" s="1558"/>
    </row>
    <row r="70" spans="1:35" s="641" customFormat="1" ht="14.4" thickBot="1">
      <c r="A70" s="3379" t="s">
        <v>1394</v>
      </c>
      <c r="B70" s="3380"/>
      <c r="C70" s="3380"/>
      <c r="D70" s="3380"/>
      <c r="E70" s="3380"/>
      <c r="F70" s="3380"/>
      <c r="G70" s="3380"/>
      <c r="H70" s="3380"/>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58" t="s">
        <v>1375</v>
      </c>
      <c r="B71" s="3359"/>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5655</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34</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53" t="s">
        <v>1402</v>
      </c>
      <c r="F76" s="3327"/>
      <c r="G76" s="3327"/>
      <c r="H76" s="337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34</v>
      </c>
      <c r="D78" s="2358">
        <f>'数据-取费表'!B43</f>
        <v>6.000000000000001E-3</v>
      </c>
      <c r="E78" s="3337" t="s">
        <v>1406</v>
      </c>
      <c r="F78" s="3338"/>
      <c r="G78" s="3338"/>
      <c r="H78" s="334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5621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165.3235294117647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3361</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79" t="s">
        <v>1410</v>
      </c>
      <c r="B83" s="3380"/>
      <c r="C83" s="3380"/>
      <c r="D83" s="3380"/>
      <c r="E83" s="3380"/>
      <c r="F83" s="3380"/>
      <c r="G83" s="3380"/>
      <c r="H83" s="338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58" t="s">
        <v>1375</v>
      </c>
      <c r="B84" s="3359"/>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5655</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34</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419" t="s">
        <v>2129</v>
      </c>
      <c r="H90" s="342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37" t="s">
        <v>1419</v>
      </c>
      <c r="F91" s="3338"/>
      <c r="G91" s="3338"/>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37" t="s">
        <v>1422</v>
      </c>
      <c r="F92" s="3338"/>
      <c r="G92" s="3338"/>
      <c r="H92" s="334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34</v>
      </c>
      <c r="D93" s="2358">
        <f>'数据-取费表'!B43</f>
        <v>6.000000000000001E-3</v>
      </c>
      <c r="E93" s="3337" t="s">
        <v>1406</v>
      </c>
      <c r="F93" s="3338"/>
      <c r="G93" s="3338"/>
      <c r="H93" s="334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348" t="s">
        <v>1426</v>
      </c>
      <c r="F94" s="3349"/>
      <c r="G94" s="3349"/>
      <c r="H94" s="335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5621</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165.3235294117647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3361</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39"/>
      <c r="E100" s="3320" t="s">
        <v>1429</v>
      </c>
      <c r="F100" s="3320"/>
      <c r="G100" s="3320"/>
      <c r="H100" s="3339"/>
      <c r="I100" s="121"/>
    </row>
    <row r="101" spans="1:35" ht="18.75" customHeight="1">
      <c r="A101" s="3400" t="s">
        <v>1430</v>
      </c>
      <c r="B101" s="3401"/>
      <c r="C101" s="2366" t="str">
        <f>C4</f>
        <v>成本法车</v>
      </c>
      <c r="D101" s="2367" t="str">
        <f>D4</f>
        <v>收益法车</v>
      </c>
      <c r="E101" s="3414" t="s">
        <v>1431</v>
      </c>
      <c r="F101" s="3371"/>
      <c r="G101" s="1684" t="s">
        <v>1432</v>
      </c>
      <c r="H101" s="2376">
        <f ca="1">H118</f>
        <v>5938</v>
      </c>
      <c r="I101" s="121"/>
    </row>
    <row r="102" spans="1:35" ht="18.75" customHeight="1">
      <c r="A102" s="3373" t="s">
        <v>1433</v>
      </c>
      <c r="B102" s="2365" t="s">
        <v>1432</v>
      </c>
      <c r="C102" s="2366">
        <f ca="1">IF(D32="楼面单价",ROUND(C19,0),C19)</f>
        <v>6676</v>
      </c>
      <c r="D102" s="2367">
        <f ca="1">IF(D32="楼面单价",ROUND(D19,0),D19)</f>
        <v>4832</v>
      </c>
      <c r="E102" s="3414"/>
      <c r="F102" s="3371"/>
      <c r="G102" s="1684" t="s">
        <v>1434</v>
      </c>
      <c r="H102" s="2336">
        <f ca="1">I118</f>
        <v>7465</v>
      </c>
      <c r="I102" s="121"/>
    </row>
    <row r="103" spans="1:35" ht="42.75" customHeight="1">
      <c r="A103" s="3373"/>
      <c r="B103" s="2365" t="s">
        <v>1434</v>
      </c>
      <c r="C103" s="2368">
        <f ca="1">C20</f>
        <v>8393</v>
      </c>
      <c r="D103" s="2369">
        <f ca="1">D20</f>
        <v>6075</v>
      </c>
      <c r="E103" s="3408" t="s">
        <v>1435</v>
      </c>
      <c r="F103" s="3409"/>
      <c r="G103" s="1685" t="s">
        <v>1436</v>
      </c>
      <c r="H103" s="2376">
        <f>IF(D36="正常操作",H104+H105+H106,H105+H106)</f>
        <v>0</v>
      </c>
      <c r="I103" s="121"/>
    </row>
    <row r="104" spans="1:35" ht="18.75" customHeight="1">
      <c r="A104" s="3373" t="s">
        <v>1437</v>
      </c>
      <c r="B104" s="2370" t="s">
        <v>1432</v>
      </c>
      <c r="C104" s="2371">
        <f ca="1">H118</f>
        <v>5938</v>
      </c>
      <c r="D104" s="2372"/>
      <c r="E104" s="1552" t="s">
        <v>1438</v>
      </c>
      <c r="F104" s="1545"/>
      <c r="G104" s="1685" t="s">
        <v>1436</v>
      </c>
      <c r="H104" s="2377">
        <f>IF(D36="同一抵押权人同一抵押物续贷",C36&amp;"（续贷，未扣减，详见特别提示）",C36)</f>
        <v>0</v>
      </c>
      <c r="I104" s="121"/>
    </row>
    <row r="105" spans="1:35" ht="18.75" customHeight="1" thickBot="1">
      <c r="A105" s="3374"/>
      <c r="B105" s="2373" t="s">
        <v>1434</v>
      </c>
      <c r="C105" s="2374">
        <f ca="1">I118</f>
        <v>7465</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70" t="str">
        <f>IF(项目基本情况!E8="已注销","——","3.房地产抵押价值")</f>
        <v>3.房地产抵押价值</v>
      </c>
      <c r="F107" s="3371"/>
      <c r="G107" s="1684" t="s">
        <v>1432</v>
      </c>
      <c r="H107" s="2376">
        <f ca="1">IF(E107="——","——",H101-H103)</f>
        <v>5938</v>
      </c>
      <c r="I107" s="121"/>
    </row>
    <row r="108" spans="1:35" ht="18.75" customHeight="1">
      <c r="A108" s="121"/>
      <c r="B108" s="121"/>
      <c r="C108" s="121"/>
      <c r="D108" s="121"/>
      <c r="E108" s="3370"/>
      <c r="F108" s="3371"/>
      <c r="G108" s="1684" t="s">
        <v>1434</v>
      </c>
      <c r="H108" s="2336">
        <f ca="1">IF(H107=H101,H102,ROUND(H107*10000/'数据-汇总表'!E3,0))</f>
        <v>7465</v>
      </c>
      <c r="I108" s="121"/>
    </row>
    <row r="109" spans="1:35" ht="18.75" customHeight="1">
      <c r="A109" s="121"/>
      <c r="B109" s="121"/>
      <c r="C109" s="121"/>
      <c r="D109" s="121"/>
      <c r="E109" s="3370" t="str">
        <f>IF(项目基本情况!E8="已注销及未注销","4.抵押担保权已注销时的房地产抵押价值",IF(项目基本情况!E8="已注销","3.抵押担保权已注销时的房地产抵押价值","——"))</f>
        <v>——</v>
      </c>
      <c r="F109" s="3371"/>
      <c r="G109" s="1684" t="s">
        <v>1432</v>
      </c>
      <c r="H109" s="2379" t="str">
        <f>IF(E109="——","——",H101-H105-H106)</f>
        <v>——</v>
      </c>
      <c r="I109" s="121"/>
    </row>
    <row r="110" spans="1:35" ht="18.75" customHeight="1">
      <c r="A110" s="121"/>
      <c r="B110" s="121"/>
      <c r="C110" s="121"/>
      <c r="D110" s="121"/>
      <c r="E110" s="3370"/>
      <c r="F110" s="3371"/>
      <c r="G110" s="1684" t="s">
        <v>1434</v>
      </c>
      <c r="H110" s="2336"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4.抵押净值</v>
      </c>
      <c r="F111" s="3372"/>
      <c r="G111" s="1684" t="s">
        <v>1432</v>
      </c>
      <c r="H111" s="2376">
        <f ca="1">IF(E111="——","——",N59)</f>
        <v>2257</v>
      </c>
      <c r="I111" s="121"/>
      <c r="J111" s="683">
        <f ca="1">H111/L18*10000</f>
        <v>2837.4589844486632</v>
      </c>
    </row>
    <row r="112" spans="1:35" ht="18.75" customHeight="1" thickBot="1">
      <c r="A112" s="121"/>
      <c r="B112" s="121"/>
      <c r="C112" s="121"/>
      <c r="D112" s="121"/>
      <c r="E112" s="3403"/>
      <c r="F112" s="3404"/>
      <c r="G112" s="1687" t="s">
        <v>1434</v>
      </c>
      <c r="H112" s="2380">
        <f ca="1">IF(E111="——","——",N61)</f>
        <v>597</v>
      </c>
      <c r="I112" s="121"/>
    </row>
    <row r="113" spans="1:27" ht="18.75" customHeight="1">
      <c r="A113" s="121"/>
      <c r="B113" s="121"/>
      <c r="C113" s="121"/>
      <c r="D113" s="121"/>
      <c r="E113" s="3375" t="s">
        <v>1440</v>
      </c>
      <c r="F113" s="3375"/>
      <c r="G113" s="3375"/>
      <c r="H113" s="3375"/>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1" t="s">
        <v>1443</v>
      </c>
      <c r="B116" s="3376" t="s">
        <v>1444</v>
      </c>
      <c r="C116" s="3376" t="s">
        <v>1445</v>
      </c>
      <c r="D116" s="3389" t="s">
        <v>1446</v>
      </c>
      <c r="E116" s="3390"/>
      <c r="F116" s="3384" t="s">
        <v>1447</v>
      </c>
      <c r="G116" s="3384"/>
      <c r="H116" s="3341" t="s">
        <v>1448</v>
      </c>
      <c r="I116" s="3341"/>
    </row>
    <row r="117" spans="1:27" ht="18.75" customHeight="1">
      <c r="A117" s="3341"/>
      <c r="B117" s="3377"/>
      <c r="C117" s="337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7954.3</v>
      </c>
      <c r="C118" s="2147">
        <f>M19</f>
        <v>2370.23</v>
      </c>
      <c r="D118" s="2147">
        <f ca="1">ROUND(IF(D32="总价",C34,E118*B118/10000),0)</f>
        <v>3307</v>
      </c>
      <c r="E118" s="2147">
        <f ca="1">ROUND(IF(C33="自定义",IF(D32="楼面单价",C34,D118*10000/B118),I118-G118),0)</f>
        <v>4157</v>
      </c>
      <c r="F118" s="2147">
        <f ca="1">ROUND(IF(D32="总价",C35,G118*B118/10000),0)</f>
        <v>2631</v>
      </c>
      <c r="G118" s="2147">
        <f ca="1">ROUND(IF(D32="楼面单价",C35,F118*10000/B118),0)</f>
        <v>3308</v>
      </c>
      <c r="H118" s="2147">
        <f ca="1">ROUND(IF(D32="总价",C32,I118*B118/10000),0)</f>
        <v>5938</v>
      </c>
      <c r="I118" s="2147">
        <f ca="1">ROUND(IF(D32="楼面单价",C32,H118*10000/B118),0)</f>
        <v>7465</v>
      </c>
    </row>
    <row r="119" spans="1:27" ht="18.75" customHeight="1">
      <c r="A119" s="3341" t="s">
        <v>1452</v>
      </c>
      <c r="B119" s="3341"/>
      <c r="C119" s="3341"/>
      <c r="D119" s="3381" t="str">
        <f ca="1">NUMBERSTRING(INT(D118*10000),2)&amp;"元整"</f>
        <v>叁仟叁佰零柒万元整</v>
      </c>
      <c r="E119" s="3383"/>
      <c r="F119" s="3381" t="str">
        <f ca="1">NUMBERSTRING(INT(F118*10000),2)&amp;"元整"</f>
        <v>贰仟陆佰叁拾壹万元整</v>
      </c>
      <c r="G119" s="3383"/>
      <c r="H119" s="3381" t="str">
        <f ca="1">NUMBERSTRING(INT(H118*10000),2)&amp;"元整"</f>
        <v>伍仟玖佰叁拾捌万元整</v>
      </c>
      <c r="I119" s="3383"/>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1" t="s">
        <v>1452</v>
      </c>
      <c r="B121" s="3382"/>
      <c r="C121" s="3383"/>
      <c r="D121" s="3381" t="str">
        <f>IF(D120=0,"零元整",NUMBERSTRING(INT(D120*10000),2)&amp;"元整")</f>
        <v>零元整</v>
      </c>
      <c r="E121" s="3382"/>
      <c r="F121" s="3382"/>
      <c r="G121" s="3382"/>
      <c r="H121" s="3382"/>
      <c r="I121" s="3383"/>
      <c r="AA121" s="683"/>
    </row>
    <row r="122" spans="1:27" ht="18.75" customHeight="1">
      <c r="A122" s="3372" t="str">
        <f>IF(项目基本情况!B9="房地产市场价值","",MID(E107,3,LEN(E107)-2))</f>
        <v>房地产抵押价值</v>
      </c>
      <c r="B122" s="3372"/>
      <c r="C122" s="3372"/>
      <c r="D122" s="3405">
        <f ca="1">H107</f>
        <v>5938</v>
      </c>
      <c r="E122" s="3406"/>
      <c r="F122" s="3406"/>
      <c r="G122" s="3406"/>
      <c r="H122" s="3406"/>
      <c r="I122" s="3407"/>
      <c r="AA122" s="683"/>
    </row>
    <row r="123" spans="1:27" ht="18.75" customHeight="1">
      <c r="A123" s="3341" t="s">
        <v>1452</v>
      </c>
      <c r="B123" s="3341"/>
      <c r="C123" s="3341"/>
      <c r="D123" s="3381" t="str">
        <f ca="1">NUMBERSTRING(INT(D122*10000),2)&amp;"元整"</f>
        <v>伍仟玖佰叁拾捌万元整</v>
      </c>
      <c r="E123" s="3382"/>
      <c r="F123" s="3382"/>
      <c r="G123" s="3382"/>
      <c r="H123" s="3382"/>
      <c r="I123" s="3383"/>
      <c r="AA123" s="683"/>
    </row>
    <row r="124" spans="1:27" ht="18.75" customHeight="1">
      <c r="A124" s="3372" t="str">
        <f>IF(项目基本情况!B9="房地产市场价值","",MID(E109,3,LEN(E109)-2))</f>
        <v/>
      </c>
      <c r="B124" s="3372"/>
      <c r="C124" s="3372"/>
      <c r="D124" s="3405" t="str">
        <f>H109</f>
        <v>——</v>
      </c>
      <c r="E124" s="3406"/>
      <c r="F124" s="3406"/>
      <c r="G124" s="3406"/>
      <c r="H124" s="3406"/>
      <c r="I124" s="3407"/>
      <c r="AA124" s="683"/>
    </row>
    <row r="125" spans="1:27" ht="18.75" customHeight="1">
      <c r="A125" s="3341" t="s">
        <v>1452</v>
      </c>
      <c r="B125" s="3341"/>
      <c r="C125" s="3341"/>
      <c r="D125" s="3381" t="e">
        <f>NUMBERSTRING(INT(D124*10000),2)&amp;"元整"</f>
        <v>#VALUE!</v>
      </c>
      <c r="E125" s="3382"/>
      <c r="F125" s="3382"/>
      <c r="G125" s="3382"/>
      <c r="H125" s="3382"/>
      <c r="I125" s="3383"/>
      <c r="AA125" s="683"/>
    </row>
    <row r="126" spans="1:27" ht="18.75" customHeight="1">
      <c r="A126" s="3372" t="str">
        <f>IF(项目基本情况!B9="房地产市场价值","",MID(E111,3,LEN(E111)-2))</f>
        <v>抵押净值</v>
      </c>
      <c r="B126" s="3372"/>
      <c r="C126" s="3372"/>
      <c r="D126" s="3405">
        <f ca="1">H111</f>
        <v>2257</v>
      </c>
      <c r="E126" s="3406"/>
      <c r="F126" s="3406"/>
      <c r="G126" s="3406"/>
      <c r="H126" s="3406"/>
      <c r="I126" s="3407"/>
      <c r="AA126" s="683"/>
    </row>
    <row r="127" spans="1:27" ht="18.75" customHeight="1">
      <c r="A127" s="3341" t="s">
        <v>1452</v>
      </c>
      <c r="B127" s="3341"/>
      <c r="C127" s="3341"/>
      <c r="D127" s="3381" t="str">
        <f ca="1">NUMBERSTRING(INT(D126*10000),2)&amp;"元整"</f>
        <v>贰仟贰佰伍拾柒万元整</v>
      </c>
      <c r="E127" s="3382"/>
      <c r="F127" s="3382"/>
      <c r="G127" s="3382"/>
      <c r="H127" s="3382"/>
      <c r="I127" s="3383"/>
      <c r="AA127" s="683"/>
    </row>
    <row r="128" spans="1:27" ht="21.75" customHeight="1">
      <c r="A128" s="3388" t="s">
        <v>1453</v>
      </c>
      <c r="B128" s="3388"/>
      <c r="C128" s="3388"/>
      <c r="D128" s="3388"/>
      <c r="E128" s="3388"/>
      <c r="F128" s="3388"/>
      <c r="G128" s="3388"/>
      <c r="H128" s="3388"/>
      <c r="I128" s="338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4"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5E362036-4DF4-49D2-AB34-2301DDAD8DF3}">
      <formula1>估价方法</formula1>
    </dataValidation>
    <dataValidation type="list" allowBlank="1" showInputMessage="1" showErrorMessage="1" sqref="H55:H56" xr:uid="{554AC6E1-9930-47F0-951E-C57D86B1513D}">
      <formula1>"个人住宅,正常"</formula1>
    </dataValidation>
    <dataValidation type="list" allowBlank="1" showInputMessage="1" showErrorMessage="1" sqref="H48" xr:uid="{412E605F-A6F1-44BC-83A7-E712DE14A9C3}">
      <formula1>"情况1,情况2,情况3,情况4"</formula1>
    </dataValidation>
    <dataValidation type="list" allowBlank="1" showInputMessage="1" showErrorMessage="1" sqref="H58" xr:uid="{F5FEC068-526B-448F-B461-AA5647F4F5D3}">
      <formula1>"转让取得,自行开发建设"</formula1>
    </dataValidation>
    <dataValidation type="list" allowBlank="1" showInputMessage="1" showErrorMessage="1" sqref="D32" xr:uid="{3370036B-F3C6-4386-9C6D-CD853FCD36C5}">
      <formula1>"总价,楼面单价"</formula1>
    </dataValidation>
    <dataValidation type="list" allowBlank="1" showInputMessage="1" showErrorMessage="1" sqref="F45" xr:uid="{FF14293F-59FD-425F-868E-FAF587BB2472}">
      <formula1>"100%,70%,56%"</formula1>
    </dataValidation>
    <dataValidation type="list" allowBlank="1" showInputMessage="1" showErrorMessage="1" sqref="C33" xr:uid="{627D3DD1-B7D8-4921-AB0E-381E55BCFF56}">
      <formula1>"成本比率,收益比率,自定义"</formula1>
    </dataValidation>
    <dataValidation type="list" allowBlank="1" showInputMessage="1" showErrorMessage="1" sqref="H91" xr:uid="{3669BC5C-02B2-472B-9AC0-91A6F9BAE54D}">
      <formula1>"企业提供（在右侧录入）,——"</formula1>
    </dataValidation>
    <dataValidation type="list" allowBlank="1" showInputMessage="1" showErrorMessage="1" sqref="H88" xr:uid="{0EB45789-161C-4B01-AD5A-06CE070189D1}">
      <formula1>"仅含出让金,出让金+开发费"</formula1>
    </dataValidation>
    <dataValidation type="list" allowBlank="1" showInputMessage="1" showErrorMessage="1" sqref="F75" xr:uid="{7C77AEDF-26BF-42C2-BE36-79880F466916}">
      <formula1>"买卖合同,购房发票"</formula1>
    </dataValidation>
    <dataValidation type="list" allowBlank="1" showInputMessage="1" showErrorMessage="1" sqref="D36" xr:uid="{71B7B1CD-F3AC-41BD-8D8D-440BECAC7663}">
      <formula1>"同一抵押权人同一抵押物续贷,注销后放款,正常操作"</formula1>
    </dataValidation>
    <dataValidation type="list" allowBlank="1" showInputMessage="1" showErrorMessage="1" sqref="B116:B117" xr:uid="{7E2DC4EF-A614-454D-80C4-897221120B0F}">
      <formula1>"建筑面积,规划建筑面积,（规划）建筑面积"</formula1>
    </dataValidation>
    <dataValidation type="list" allowBlank="1" showInputMessage="1" showErrorMessage="1" sqref="C116:C117" xr:uid="{B895F124-B16B-4A34-AC3D-729C508FA2DB}">
      <formula1>"土地面积,分摊土地面积,（分摊）土地面积"</formula1>
    </dataValidation>
    <dataValidation type="list" allowBlank="1" showInputMessage="1" showErrorMessage="1" sqref="D116:E116" xr:uid="{75606ACE-D1A0-48B4-9542-462260C76B70}">
      <formula1>"出让国有建设用地使用权价值,划拨国有建设用地使用权价值"</formula1>
    </dataValidation>
    <dataValidation type="list" allowBlank="1" showInputMessage="1" showErrorMessage="1" sqref="F116:G116" xr:uid="{19D9FBA0-58E2-452F-816C-174D6A3A5C63}">
      <formula1>"建筑物价值,在建建筑物价值,建筑物/在建建筑物价值"</formula1>
    </dataValidation>
    <dataValidation type="list" allowBlank="1" showInputMessage="1" showErrorMessage="1" sqref="C129" xr:uid="{4590DDD3-D37C-425D-A32D-7DAE207B7F2F}">
      <formula1>"无,有"</formula1>
    </dataValidation>
    <dataValidation type="list" showInputMessage="1" showErrorMessage="1" sqref="G1" xr:uid="{713BC4F1-385E-4604-AA67-95248951FDCA}">
      <formula1>"现房,在建,土地,-"</formula1>
    </dataValidation>
    <dataValidation type="list" allowBlank="1" showInputMessage="1" showErrorMessage="1" sqref="I1" xr:uid="{7B987242-C17A-49C5-AE11-42FC7DF21F19}">
      <formula1>"项目局部,项目全部,——"</formula1>
    </dataValidation>
    <dataValidation type="list" allowBlank="1" showInputMessage="1" showErrorMessage="1" sqref="C1" xr:uid="{46787DDF-39F0-42DD-9BC9-E00B9C3B8EE6}">
      <formula1>项目类型</formula1>
    </dataValidation>
    <dataValidation type="list" allowBlank="1" showInputMessage="1" showErrorMessage="1" sqref="G77" xr:uid="{00CF13CC-13A1-4B7D-96BA-89873B52A81F}">
      <formula1>"个人住宅,2016年5月1日前购买,2016年5月1日后购买"</formula1>
    </dataValidation>
    <dataValidation type="list" allowBlank="1" showInputMessage="1" showErrorMessage="1" sqref="E103" xr:uid="{7DB2BCBA-5BCD-49B7-80A8-E6F3606D747F}">
      <formula1>"2.估价师知悉的法定优先受偿款,2.估价师知悉的除抵押担保权以外的法定优先受偿款"</formula1>
    </dataValidation>
    <dataValidation type="list" allowBlank="1" showInputMessage="1" showErrorMessage="1" sqref="H59" xr:uid="{D0C26767-A3AF-42AD-BF4D-2A57AA928FDE}">
      <formula1>"非个人房产,个人住宅（满五唯一有凭证）,个人其他（有凭证）,个人其他（无凭证）"</formula1>
    </dataValidation>
    <dataValidation type="list" allowBlank="1" showInputMessage="1" showErrorMessage="1" sqref="D92" xr:uid="{52C18BFE-0727-4705-8245-1885BB39B8D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7EA0F-2227-4A36-ACF3-D200CE19622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3494</v>
      </c>
      <c r="C1" s="190"/>
      <c r="D1" s="190"/>
      <c r="E1" s="190"/>
      <c r="F1" s="190"/>
      <c r="G1" s="1059">
        <f>MATCH(B1,'数据-取费表'!A6:A16,0)+5</f>
        <v>8</v>
      </c>
    </row>
    <row r="2" spans="1:9" s="192" customFormat="1" ht="18" customHeight="1">
      <c r="A2" s="193" t="s">
        <v>685</v>
      </c>
      <c r="B2" s="194">
        <f ca="1">IF(D2="——",C52,C52-E2)</f>
        <v>6676</v>
      </c>
      <c r="C2" s="191" t="s">
        <v>1463</v>
      </c>
      <c r="D2" s="1708" t="s">
        <v>43</v>
      </c>
      <c r="E2" s="1086" t="e">
        <f ca="1">SUMIF(INDIRECT("'"&amp;G2&amp;"'"&amp;"!A:A"),"承租人权益价值",INDIRECT("'"&amp;G2&amp;"'"&amp;"!c:c"))</f>
        <v>#REF!</v>
      </c>
      <c r="F2" s="1709" t="s">
        <v>1463</v>
      </c>
      <c r="G2" s="1710"/>
    </row>
    <row r="3" spans="1:9" s="192" customFormat="1" ht="18" customHeight="1" thickBot="1">
      <c r="A3" s="195" t="s">
        <v>686</v>
      </c>
      <c r="B3" s="196">
        <f ca="1">ROUND(B2*10000/(IF(B1="",'数据-汇总表'!E3,INDIRECT("'数据-取费表'!k"&amp;$G$1))),0)</f>
        <v>8393</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1976</v>
      </c>
      <c r="D5" s="203" t="s">
        <v>1469</v>
      </c>
      <c r="E5" s="204" t="s">
        <v>1470</v>
      </c>
      <c r="F5" s="204" t="s">
        <v>1471</v>
      </c>
      <c r="G5" s="205"/>
    </row>
    <row r="6" spans="1:9" s="206" customFormat="1" ht="13.5" customHeight="1">
      <c r="A6" s="729" t="s">
        <v>346</v>
      </c>
      <c r="B6" s="207" t="s">
        <v>1473</v>
      </c>
      <c r="C6" s="208">
        <f>基准地价修正!E42</f>
        <v>1763</v>
      </c>
      <c r="D6" s="209"/>
      <c r="E6" s="210"/>
      <c r="F6" s="210"/>
      <c r="G6" s="211"/>
    </row>
    <row r="7" spans="1:9" s="206" customFormat="1" ht="13.5" customHeight="1">
      <c r="A7" s="729" t="s">
        <v>347</v>
      </c>
      <c r="B7" s="207" t="s">
        <v>1475</v>
      </c>
      <c r="C7" s="212">
        <f>ROUND(C6*F7,0)</f>
        <v>54</v>
      </c>
      <c r="D7" s="212"/>
      <c r="E7" s="210"/>
      <c r="F7" s="213">
        <f>IF(项目基本情况!B8="出让",0,'数据-取费表'!B48+'数据-取费表'!B49)</f>
        <v>3.0499999999999999E-2</v>
      </c>
      <c r="G7" s="211"/>
    </row>
    <row r="8" spans="1:9" s="215" customFormat="1">
      <c r="A8" s="729" t="s">
        <v>348</v>
      </c>
      <c r="B8" s="207" t="s">
        <v>1477</v>
      </c>
      <c r="C8" s="212">
        <f ca="1">IF(G8="已包含在土地购买价格中","0",IF(B1="",'数据-取费表'!B29,IF(G9="全部缴纳",C9+C10,H9)))</f>
        <v>159</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159</v>
      </c>
      <c r="D10" s="792">
        <f ca="1">IF(B1="",'数据-汇总表'!E6,IF(INDIRECT("'数据-取费表'!c"&amp;$G$1)="住宅",INDIRECT("'数据-取费表'!s"&amp;$G$1),INDIRECT("'数据-取费表'!k"&amp;$G$1)+INDIRECT("'数据-取费表'!s"&amp;$G$1)))</f>
        <v>7954.3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7954.3</v>
      </c>
      <c r="E19" s="203">
        <f>'数据-取费表'!B31</f>
        <v>200</v>
      </c>
      <c r="F19" s="223"/>
      <c r="G19" s="1711" t="s">
        <v>3436</v>
      </c>
    </row>
    <row r="20" spans="1:7" s="206" customFormat="1" ht="13.5" customHeight="1">
      <c r="A20" s="247" t="s">
        <v>1493</v>
      </c>
      <c r="B20" s="202" t="s">
        <v>1494</v>
      </c>
      <c r="C20" s="224">
        <f ca="1">ROUND((C5+C19)*F20,0)</f>
        <v>40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159</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1039">
        <f ca="1">ROUND(IF('数据-取费表'!B22&lt;=1,C5*F22*'数据-取费表'!B23,C5*(POWER((1+F22),'数据-取费表'!B23)-1)),0)</f>
        <v>157</v>
      </c>
      <c r="D23" s="230"/>
      <c r="E23" s="230"/>
      <c r="F23" s="231"/>
      <c r="G23" s="232" t="s">
        <v>1504</v>
      </c>
    </row>
    <row r="24" spans="1:7" s="206" customFormat="1" ht="13.5" customHeight="1">
      <c r="A24" s="731" t="s">
        <v>347</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348</v>
      </c>
      <c r="B25" s="207" t="s">
        <v>1509</v>
      </c>
      <c r="C25" s="1039">
        <f ca="1">ROUND(IF('数据-取费表'!B22&lt;=1,C20*F22*'数据-取费表'!B23/2,C20*(POWER((1+F22),'数据-取费表'!B23/2)-1)),0)</f>
        <v>2</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101</v>
      </c>
      <c r="D27" s="227">
        <f ca="1">C29</f>
        <v>1E-3</v>
      </c>
      <c r="E27" s="228" t="s">
        <v>1498</v>
      </c>
      <c r="F27" s="238">
        <f ca="1">IF(B1="",'数据-取费表'!Q16,INDIRECT("'数据-取费表'!q"&amp;$G$1))</f>
        <v>0.05</v>
      </c>
      <c r="G27" s="239" t="s">
        <v>1515</v>
      </c>
    </row>
    <row r="28" spans="1:7" s="206" customFormat="1" ht="13.5" customHeight="1">
      <c r="A28" s="731" t="s">
        <v>346</v>
      </c>
      <c r="B28" s="240" t="s">
        <v>1516</v>
      </c>
      <c r="C28" s="241">
        <f ca="1">ROUND((C5+C19+C20)*F27*'数据-取费表'!B21/'数据-取费表'!B20,0)</f>
        <v>101</v>
      </c>
      <c r="D28" s="227"/>
      <c r="E28" s="228"/>
      <c r="F28" s="238"/>
      <c r="G28" s="239"/>
    </row>
    <row r="29" spans="1:7" s="206" customFormat="1" ht="13.5" customHeight="1">
      <c r="A29" s="731"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2461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3989</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3579</v>
      </c>
      <c r="D34" s="209"/>
      <c r="E34" s="212"/>
      <c r="F34" s="249">
        <f ca="1">IF('数据-取费表'!B24=0,1,IF(B1="",'数据-取费表'!N16,INDIRECT("'数据-取费表'!n"&amp;$G$1)))</f>
        <v>1</v>
      </c>
      <c r="G34" s="211" t="s">
        <v>1526</v>
      </c>
    </row>
    <row r="35" spans="1:7" ht="13.5" customHeight="1">
      <c r="A35" s="731" t="s">
        <v>351</v>
      </c>
      <c r="B35" s="207" t="s">
        <v>1527</v>
      </c>
      <c r="C35" s="212">
        <f ca="1">ROUND(C34*F35,0)</f>
        <v>179</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159</v>
      </c>
      <c r="D37" s="209">
        <f ca="1">D19</f>
        <v>7954.3</v>
      </c>
      <c r="E37" s="241">
        <f>'数据-取费表'!B35</f>
        <v>200</v>
      </c>
      <c r="F37" s="251"/>
      <c r="G37" s="253" t="s">
        <v>1532</v>
      </c>
    </row>
    <row r="38" spans="1:7" ht="13.5" customHeight="1">
      <c r="A38" s="731" t="s">
        <v>354</v>
      </c>
      <c r="B38" s="207" t="s">
        <v>1533</v>
      </c>
      <c r="C38" s="212">
        <f ca="1">ROUND(C34*F38,0)</f>
        <v>72</v>
      </c>
      <c r="D38" s="212"/>
      <c r="E38" s="212"/>
      <c r="F38" s="251">
        <f>'数据-取费表'!B36</f>
        <v>0.02</v>
      </c>
      <c r="G38" s="211" t="s">
        <v>1528</v>
      </c>
    </row>
    <row r="39" spans="1:7" s="206" customFormat="1" ht="13.5" customHeight="1">
      <c r="A39" s="247" t="s">
        <v>1491</v>
      </c>
      <c r="B39" s="202" t="s">
        <v>1494</v>
      </c>
      <c r="C39" s="224">
        <f ca="1">ROUND(C33*F20,0)</f>
        <v>80</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158</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f ca="1">ROUND(IF('数据-取费表'!B22&lt;=1,C33*F22*'数据-取费表'!B21/2,C33*(POWER((1+F22),'数据-取费表'!B21/2)-1)),0)</f>
        <v>155</v>
      </c>
      <c r="D42" s="230"/>
      <c r="E42" s="230"/>
      <c r="F42" s="231"/>
      <c r="G42" s="3471" t="s">
        <v>1544</v>
      </c>
    </row>
    <row r="43" spans="1:7" ht="13.5" customHeight="1">
      <c r="A43" s="731" t="s">
        <v>347</v>
      </c>
      <c r="B43" s="207" t="s">
        <v>1506</v>
      </c>
      <c r="C43" s="230">
        <f ca="1">ROUND(IF('数据-取费表'!B22&lt;=1,C39*F22*'数据-取费表'!B21/2,C39*(POWER((1+F22),'数据-取费表'!B21/2)-1)),0)</f>
        <v>3</v>
      </c>
      <c r="D43" s="230"/>
      <c r="E43" s="230"/>
      <c r="F43" s="231"/>
      <c r="G43" s="3472"/>
    </row>
    <row r="44" spans="1:7" ht="13.5" customHeight="1">
      <c r="A44" s="731" t="s">
        <v>348</v>
      </c>
      <c r="B44" s="207" t="s">
        <v>1509</v>
      </c>
      <c r="C44" s="230">
        <f ca="1">ROUND(IF('数据-取费表'!B22&lt;=1,C40*F22*'数据-取费表'!B21/2,C40*(POWER((1+F22),'数据-取费表'!B21/2)-1)),4)</f>
        <v>8.0000000000000004E-4</v>
      </c>
      <c r="D44" s="230"/>
      <c r="E44" s="230"/>
      <c r="F44" s="231"/>
      <c r="G44" s="3473"/>
    </row>
    <row r="45" spans="1:7" s="206" customFormat="1" ht="13.5" customHeight="1">
      <c r="A45" s="247" t="s">
        <v>1500</v>
      </c>
      <c r="B45" s="236" t="s">
        <v>1513</v>
      </c>
      <c r="C45" s="237">
        <f ca="1">C46</f>
        <v>203</v>
      </c>
      <c r="D45" s="227">
        <f ca="1">C47</f>
        <v>1E-3</v>
      </c>
      <c r="E45" s="228" t="s">
        <v>1539</v>
      </c>
      <c r="F45" s="238">
        <f ca="1">F27</f>
        <v>0.05</v>
      </c>
      <c r="G45" s="239" t="s">
        <v>1548</v>
      </c>
    </row>
    <row r="46" spans="1:7" s="206" customFormat="1" ht="13.5" customHeight="1">
      <c r="A46" s="731" t="s">
        <v>346</v>
      </c>
      <c r="B46" s="240" t="s">
        <v>1549</v>
      </c>
      <c r="C46" s="241">
        <f ca="1">ROUND((C33+C39)*F27,0)</f>
        <v>203</v>
      </c>
      <c r="D46" s="255"/>
      <c r="E46" s="228"/>
      <c r="F46" s="238"/>
      <c r="G46" s="239"/>
    </row>
    <row r="47" spans="1:7" s="206" customFormat="1" ht="13.5" customHeight="1">
      <c r="A47" s="731"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4790</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4215</v>
      </c>
      <c r="D51" s="224"/>
      <c r="E51" s="224"/>
      <c r="F51" s="256"/>
      <c r="G51" s="226" t="s">
        <v>1560</v>
      </c>
    </row>
    <row r="52" spans="1:7" s="200" customFormat="1" ht="16.8" thickBot="1">
      <c r="A52" s="257" t="s">
        <v>1561</v>
      </c>
      <c r="B52" s="258"/>
      <c r="C52" s="259">
        <f ca="1">C31+C51</f>
        <v>6676</v>
      </c>
      <c r="D52" s="258"/>
      <c r="E52" s="258"/>
      <c r="F52" s="258"/>
      <c r="G52" s="260"/>
    </row>
    <row r="55" spans="1:7" ht="15">
      <c r="B55" s="262" t="s">
        <v>1562</v>
      </c>
      <c r="C55" s="263"/>
    </row>
    <row r="56" spans="1:7">
      <c r="B56" s="265" t="s">
        <v>802</v>
      </c>
      <c r="C56" s="267">
        <f ca="1">1-C57</f>
        <v>0.36899999999999999</v>
      </c>
    </row>
    <row r="57" spans="1:7">
      <c r="B57" s="265" t="s">
        <v>803</v>
      </c>
      <c r="C57" s="266">
        <f ca="1">ROUND(C51/C52,3)</f>
        <v>0.63100000000000001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56B3A14D-F736-4593-A7A4-77A92EDCBB6E}">
      <formula1>"需扣减承租人权益,——"</formula1>
    </dataValidation>
    <dataValidation type="list" allowBlank="1" showInputMessage="1" showErrorMessage="1" sqref="G2" xr:uid="{2EF56BE0-DA45-4F88-9501-27E47002FE54}">
      <formula1>估价方法</formula1>
    </dataValidation>
    <dataValidation type="list" allowBlank="1" showInputMessage="1" showErrorMessage="1" sqref="G9" xr:uid="{FC92657D-57DB-4BA4-96C7-99E0F6C87B89}">
      <formula1>"部分缴纳,全部缴纳"</formula1>
    </dataValidation>
    <dataValidation type="list" allowBlank="1" showInputMessage="1" showErrorMessage="1" sqref="B1" xr:uid="{C53C819D-B8F9-4F21-B642-F13AA642ED01}">
      <formula1>项目类型</formula1>
    </dataValidation>
    <dataValidation type="list" allowBlank="1" showInputMessage="1" showErrorMessage="1" sqref="G19" xr:uid="{A6EEFF86-88DF-438C-9C0F-A5E50081D3B9}">
      <formula1>"已包含在土地取得成本中,未包含在土地取得成本中"</formula1>
    </dataValidation>
    <dataValidation type="list" allowBlank="1" showInputMessage="1" showErrorMessage="1" sqref="G8" xr:uid="{7DC8F91C-4644-43E3-A7C3-A7DA248FB65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7F9B-5BFD-4806-BBC0-452E65D94EBB}">
  <sheetPr>
    <tabColor rgb="FF92D050"/>
  </sheetPr>
  <dimension ref="A1:AK83"/>
  <sheetViews>
    <sheetView view="pageBreakPreview" zoomScale="70" zoomScaleNormal="70" zoomScaleSheetLayoutView="70" workbookViewId="0">
      <selection activeCell="P23" sqref="P2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3494</v>
      </c>
      <c r="D1" s="1268" t="s">
        <v>43</v>
      </c>
      <c r="E1" s="1269" t="s">
        <v>678</v>
      </c>
      <c r="F1" s="996">
        <f ca="1">J53</f>
        <v>27.89</v>
      </c>
      <c r="G1" s="1283">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4832</v>
      </c>
      <c r="C2" s="1286" t="s">
        <v>805</v>
      </c>
      <c r="D2" s="1286"/>
      <c r="E2" s="1292"/>
      <c r="F2" s="1293"/>
      <c r="G2" s="2473"/>
      <c r="H2" s="2463"/>
      <c r="I2" s="2463"/>
      <c r="J2" s="2463"/>
      <c r="K2" s="2464"/>
      <c r="L2" s="2463"/>
      <c r="M2" s="2463"/>
    </row>
    <row r="3" spans="1:37" ht="18" customHeight="1" thickBot="1">
      <c r="A3" s="1294" t="s">
        <v>806</v>
      </c>
      <c r="B3" s="1295">
        <f ca="1">IF(ISERROR(B2*10000/F43),0,ROUND(B2*10000/F43,0))</f>
        <v>6075</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314</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314</v>
      </c>
      <c r="D6" s="147" t="s">
        <v>2109</v>
      </c>
      <c r="E6" s="294" t="s">
        <v>696</v>
      </c>
      <c r="F6" s="295">
        <f ca="1">INDIRECT("'数据-取费表'!u"&amp;$G$1)</f>
        <v>1.2</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7954.3</v>
      </c>
      <c r="G7" s="1289"/>
      <c r="H7" s="296"/>
      <c r="I7" s="3469"/>
      <c r="J7" s="298"/>
      <c r="K7" s="299"/>
      <c r="L7" s="294" t="s">
        <v>697</v>
      </c>
      <c r="M7" s="295">
        <f ca="1">F7</f>
        <v>7954.3</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4215</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3579</v>
      </c>
      <c r="D14" s="1254" t="s">
        <v>708</v>
      </c>
      <c r="E14" s="1252"/>
      <c r="F14" s="311"/>
      <c r="G14" s="1289"/>
      <c r="H14" s="925" t="s">
        <v>398</v>
      </c>
      <c r="I14" s="294" t="s">
        <v>709</v>
      </c>
      <c r="J14" s="21">
        <f ca="1">C29</f>
        <v>4790</v>
      </c>
      <c r="K14" s="12"/>
      <c r="L14" s="756"/>
      <c r="M14" s="757"/>
    </row>
    <row r="15" spans="1:37" s="1301" customFormat="1" ht="18" customHeight="1" thickBot="1">
      <c r="A15" s="925" t="s">
        <v>399</v>
      </c>
      <c r="B15" s="294" t="s">
        <v>710</v>
      </c>
      <c r="C15" s="21">
        <f ca="1">ROUND(C14*F15,0)</f>
        <v>179</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10</v>
      </c>
      <c r="K16" s="1021" t="s">
        <v>715</v>
      </c>
      <c r="L16" s="1022"/>
      <c r="M16" s="1006"/>
    </row>
    <row r="17" spans="1:37" s="1301" customFormat="1" ht="18" customHeight="1">
      <c r="A17" s="925" t="s">
        <v>681</v>
      </c>
      <c r="B17" s="294" t="s">
        <v>716</v>
      </c>
      <c r="C17" s="21">
        <f ca="1">ROUND(F17*(F43+INDIRECT("'数据-取费表'!S"&amp;$G$1))/10000,0)</f>
        <v>159</v>
      </c>
      <c r="D17" s="294" t="s">
        <v>717</v>
      </c>
      <c r="E17" s="294" t="s">
        <v>718</v>
      </c>
      <c r="F17" s="23">
        <f>'数据-取费表'!B35</f>
        <v>200</v>
      </c>
      <c r="G17" s="1300"/>
      <c r="H17" s="925" t="s">
        <v>398</v>
      </c>
      <c r="I17" s="294" t="s">
        <v>719</v>
      </c>
      <c r="J17" s="2137">
        <f ca="1">ROUND(IF(AND(项目基本情况!B11="自然人",项目基本情况!B10="北京市"),J6*M17/(1+'数据-取费表'!C42),J18+J19+J20),2)</f>
        <v>0.71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72</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3989</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80</v>
      </c>
      <c r="D20" s="315" t="s">
        <v>729</v>
      </c>
      <c r="E20" s="294" t="s">
        <v>712</v>
      </c>
      <c r="F20" s="314">
        <f>'数据-取费表'!B37</f>
        <v>0.02</v>
      </c>
      <c r="G20" s="1300"/>
      <c r="H20" s="925" t="s">
        <v>680</v>
      </c>
      <c r="I20" s="147" t="s">
        <v>730</v>
      </c>
      <c r="J20" s="22">
        <f ca="1">ROUND(M20*M21/10000,2)</f>
        <v>0.71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2370.23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9.58</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158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-10</v>
      </c>
      <c r="K25" s="1029" t="s">
        <v>753</v>
      </c>
      <c r="L25" s="1030"/>
      <c r="M25" s="1031"/>
    </row>
    <row r="26" spans="1:37">
      <c r="A26" s="925" t="s">
        <v>397</v>
      </c>
      <c r="B26" s="294" t="s">
        <v>754</v>
      </c>
      <c r="C26" s="21">
        <f ca="1">ROUND((C19+C20)*F26,0)</f>
        <v>203</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4790</v>
      </c>
      <c r="D29" s="1026"/>
      <c r="E29" s="1024"/>
      <c r="F29" s="1027"/>
      <c r="G29" s="1300"/>
      <c r="H29" s="325" t="s">
        <v>396</v>
      </c>
      <c r="I29" s="326" t="s">
        <v>768</v>
      </c>
      <c r="J29" s="327">
        <f ca="1">ROUND(J26/(1+F40)^F41,0)</f>
        <v>0</v>
      </c>
      <c r="K29" s="328" t="s">
        <v>769</v>
      </c>
      <c r="L29" s="329"/>
      <c r="M29" s="330">
        <f ca="1">INDIRECT("'数据-取费表'!k"&amp;$G$1)</f>
        <v>7954.3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69</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53.35</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16.75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35.89</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0.71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2370.23</v>
      </c>
      <c r="G35" s="1289"/>
      <c r="H35" s="2465"/>
      <c r="I35" s="1302"/>
      <c r="J35" s="1303"/>
      <c r="K35" s="2469"/>
      <c r="L35" s="2468"/>
      <c r="M35" s="2468"/>
    </row>
    <row r="36" spans="1:18" ht="18" customHeight="1">
      <c r="A36" s="1036" t="s">
        <v>402</v>
      </c>
      <c r="B36" s="294" t="s">
        <v>738</v>
      </c>
      <c r="C36" s="21">
        <f ca="1">ROUND(C29*F36,2)</f>
        <v>9.58</v>
      </c>
      <c r="D36" s="1253" t="s">
        <v>771</v>
      </c>
      <c r="E36" s="294" t="s">
        <v>712</v>
      </c>
      <c r="F36" s="320">
        <f ca="1">INDIRECT("'数据-取费表'!Ak"&amp;$G$1)</f>
        <v>2E-3</v>
      </c>
      <c r="G36" s="1289"/>
      <c r="H36" s="2468"/>
      <c r="I36" s="1302"/>
      <c r="J36" s="1303"/>
      <c r="K36" s="2326"/>
      <c r="L36" s="2468"/>
      <c r="M36" s="2468"/>
    </row>
    <row r="37" spans="1:18" ht="18" customHeight="1">
      <c r="A37" s="925" t="s">
        <v>437</v>
      </c>
      <c r="B37" s="294" t="s">
        <v>742</v>
      </c>
      <c r="C37" s="21">
        <f ca="1">ROUND(C13*F37,2)</f>
        <v>4.22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1.57</v>
      </c>
      <c r="D38" s="1026" t="s">
        <v>748</v>
      </c>
      <c r="E38" s="1024" t="s">
        <v>712</v>
      </c>
      <c r="F38" s="1020">
        <f ca="1">INDIRECT("'数据-取费表'!Am"&amp;$G$1)</f>
        <v>5.0000000000000001E-3</v>
      </c>
      <c r="G38" s="1289"/>
      <c r="H38" s="2468"/>
      <c r="I38" s="1302"/>
      <c r="J38" s="1303"/>
      <c r="K38" s="2466"/>
      <c r="L38" s="2468"/>
      <c r="M38" s="2468"/>
    </row>
    <row r="39" spans="1:18" ht="24.6" customHeight="1" thickTop="1">
      <c r="A39" s="1013" t="s">
        <v>394</v>
      </c>
      <c r="B39" s="1028" t="s">
        <v>752</v>
      </c>
      <c r="C39" s="302">
        <f ca="1">C5-C30</f>
        <v>245</v>
      </c>
      <c r="D39" s="1029" t="s">
        <v>753</v>
      </c>
      <c r="E39" s="1030"/>
      <c r="F39" s="1031"/>
      <c r="G39" s="1289"/>
      <c r="H39" s="2468"/>
      <c r="I39" s="1302"/>
      <c r="J39" s="1303"/>
      <c r="K39" s="2466"/>
      <c r="L39" s="2468"/>
      <c r="M39" s="2468"/>
    </row>
    <row r="40" spans="1:18" ht="18" customHeight="1">
      <c r="A40" s="291" t="s">
        <v>395</v>
      </c>
      <c r="B40" s="292" t="s">
        <v>774</v>
      </c>
      <c r="C40" s="293">
        <f ca="1">ROUND(C39*(1-((1+F42)/(1+F40))^F41)/(F40-F42),0)</f>
        <v>4528</v>
      </c>
      <c r="D40" s="316" t="s">
        <v>758</v>
      </c>
      <c r="E40" s="294" t="s">
        <v>759</v>
      </c>
      <c r="F40" s="304">
        <f ca="1">INDIRECT("'数据-取费表'!I"&amp;$G$1)</f>
        <v>0.05</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27.89</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5693</v>
      </c>
      <c r="D43" s="328" t="s">
        <v>777</v>
      </c>
      <c r="E43" s="329" t="s">
        <v>778</v>
      </c>
      <c r="F43" s="330">
        <f ca="1">INDIRECT("'数据-取费表'!k"&amp;$G$1)</f>
        <v>7954.3</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-4751</v>
      </c>
      <c r="D46" s="1310" t="str">
        <f>C2</f>
        <v>万元</v>
      </c>
      <c r="E46" s="1304"/>
      <c r="F46" s="1304"/>
      <c r="I46" s="1311" t="s">
        <v>810</v>
      </c>
      <c r="J46" s="1312"/>
      <c r="K46" s="1313"/>
      <c r="L46" s="1314">
        <f ca="1">IF(M47="住宅",0,IF(L48&gt;J51,L60,J60))</f>
        <v>304</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50</v>
      </c>
      <c r="M47" s="1285" t="str">
        <f>IF(ISNUMBER(FIND("住宅",C1)),"住宅","非住宅")</f>
        <v>非住宅</v>
      </c>
      <c r="O47" s="1322" t="s">
        <v>403</v>
      </c>
      <c r="P47" s="1323" t="s">
        <v>817</v>
      </c>
      <c r="Q47" s="1324">
        <f ca="1">C40+J29</f>
        <v>4528</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27.89</v>
      </c>
      <c r="O48" s="1322" t="s">
        <v>404</v>
      </c>
      <c r="P48" s="1323" t="s">
        <v>821</v>
      </c>
      <c r="Q48" s="1324">
        <f ca="1">J60</f>
        <v>304</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4790</v>
      </c>
      <c r="R49" s="1324" t="s">
        <v>818</v>
      </c>
    </row>
    <row r="50" spans="1:18" s="1289" customFormat="1" ht="13.8" thickBot="1">
      <c r="A50" s="919"/>
      <c r="B50" s="922"/>
      <c r="C50" s="1052"/>
      <c r="D50" s="896"/>
      <c r="E50" s="990" t="s">
        <v>697</v>
      </c>
      <c r="F50" s="991">
        <f ca="1">F7</f>
        <v>7954.3</v>
      </c>
      <c r="H50" s="681"/>
      <c r="I50" s="1325" t="s">
        <v>826</v>
      </c>
      <c r="J50" s="1332">
        <f>SUMPRODUCT((I63:I65=J47)*(J62:L62=J48)*(J63:L65))</f>
        <v>60</v>
      </c>
      <c r="K50" s="1327" t="s">
        <v>827</v>
      </c>
      <c r="L50" s="1330"/>
      <c r="M50" s="1333"/>
      <c r="O50" s="1331" t="s">
        <v>406</v>
      </c>
      <c r="P50" s="1323" t="s">
        <v>828</v>
      </c>
      <c r="Q50" s="1334">
        <f ca="1">J58</f>
        <v>0.41899999999999998</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-1004</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27.89</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27.89</v>
      </c>
      <c r="K53" s="3466" t="s">
        <v>837</v>
      </c>
      <c r="L53" s="3467"/>
      <c r="O53" s="1322" t="s">
        <v>409</v>
      </c>
      <c r="P53" s="1323" t="s">
        <v>838</v>
      </c>
      <c r="Q53" s="1324">
        <f ca="1">Q47+Q48</f>
        <v>4832</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0.41899999999999998</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4215</v>
      </c>
      <c r="D56" s="1349"/>
      <c r="E56" s="1350"/>
      <c r="F56" s="1342"/>
      <c r="I56" s="1351" t="s">
        <v>842</v>
      </c>
      <c r="J56" s="1352" t="s">
        <v>3454</v>
      </c>
      <c r="K56" s="1325" t="s">
        <v>843</v>
      </c>
      <c r="L56" s="1328" t="str">
        <f ca="1">IF(L48&lt;J51,"——",L48-J53)</f>
        <v>——</v>
      </c>
      <c r="O56" s="1322" t="s">
        <v>403</v>
      </c>
      <c r="P56" s="1323" t="s">
        <v>817</v>
      </c>
      <c r="Q56" s="1324">
        <f ca="1">C40+J29</f>
        <v>4528</v>
      </c>
      <c r="R56" s="1324" t="s">
        <v>818</v>
      </c>
    </row>
    <row r="57" spans="1:18" s="1289" customFormat="1" ht="24.6" thickBot="1">
      <c r="A57" s="1353"/>
      <c r="B57" s="893" t="s">
        <v>767</v>
      </c>
      <c r="C57" s="230">
        <f ca="1">C29</f>
        <v>4790</v>
      </c>
      <c r="D57" s="1354"/>
      <c r="E57" s="1355"/>
      <c r="F57" s="1356"/>
      <c r="I57" s="1357" t="s">
        <v>844</v>
      </c>
      <c r="J57" s="1358">
        <f ca="1">IF(OR(M47="住宅",J51&lt;L48,J56="是"),"——",J51-L48)</f>
        <v>25.11</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15</v>
      </c>
      <c r="D58" s="903" t="s">
        <v>715</v>
      </c>
      <c r="E58" s="904"/>
      <c r="F58" s="905"/>
      <c r="I58" s="1357" t="s">
        <v>848</v>
      </c>
      <c r="J58" s="1359">
        <f ca="1">IF(J55&lt;0.4,0.4,J55)</f>
        <v>0.41899999999999998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2007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304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0.71</v>
      </c>
      <c r="D62" s="908" t="s">
        <v>731</v>
      </c>
      <c r="E62" s="893" t="s">
        <v>732</v>
      </c>
      <c r="F62" s="317">
        <f t="shared" si="0"/>
        <v>3</v>
      </c>
      <c r="I62" s="1364" t="s">
        <v>858</v>
      </c>
      <c r="J62" s="609" t="s">
        <v>859</v>
      </c>
      <c r="K62" s="609" t="s">
        <v>860</v>
      </c>
      <c r="L62" s="609" t="s">
        <v>861</v>
      </c>
      <c r="M62" s="1365" t="s">
        <v>862</v>
      </c>
      <c r="O62" s="1322" t="s">
        <v>409</v>
      </c>
      <c r="P62" s="1323" t="s">
        <v>838</v>
      </c>
      <c r="Q62" s="1324">
        <f ca="1">Q56+Q57</f>
        <v>4528</v>
      </c>
      <c r="R62" s="1324" t="s">
        <v>410</v>
      </c>
    </row>
    <row r="63" spans="1:18" s="1289" customFormat="1" ht="13.8" thickBot="1">
      <c r="A63" s="318"/>
      <c r="B63" s="899"/>
      <c r="C63" s="26"/>
      <c r="D63" s="909"/>
      <c r="E63" s="893" t="s">
        <v>736</v>
      </c>
      <c r="F63" s="295">
        <f t="shared" ca="1" si="0"/>
        <v>2370.23</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9.58</v>
      </c>
      <c r="D64" s="907" t="s">
        <v>771</v>
      </c>
      <c r="E64" s="893" t="s">
        <v>712</v>
      </c>
      <c r="F64" s="320">
        <f t="shared" ca="1" si="0"/>
        <v>2E-3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4.22</v>
      </c>
      <c r="D65" s="907" t="s">
        <v>743</v>
      </c>
      <c r="E65" s="893" t="s">
        <v>712</v>
      </c>
      <c r="F65" s="321">
        <f t="shared" ca="1" si="0"/>
        <v>1E-3</v>
      </c>
      <c r="I65" s="1364" t="s">
        <v>867</v>
      </c>
      <c r="J65" s="609">
        <v>40</v>
      </c>
      <c r="K65" s="609">
        <v>30</v>
      </c>
      <c r="L65" s="609">
        <v>50</v>
      </c>
      <c r="M65" s="1366">
        <v>0.02</v>
      </c>
      <c r="O65" s="1322" t="s">
        <v>403</v>
      </c>
      <c r="P65" s="1323" t="s">
        <v>817</v>
      </c>
      <c r="Q65" s="1324">
        <f ca="1">C40+J29</f>
        <v>4528</v>
      </c>
      <c r="R65" s="1324" t="s">
        <v>818</v>
      </c>
    </row>
    <row r="66" spans="1:18" s="1289" customFormat="1" ht="16.2"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-15</v>
      </c>
      <c r="D67" s="906" t="s">
        <v>753</v>
      </c>
      <c r="E67" s="911"/>
      <c r="F67" s="912"/>
      <c r="O67" s="1331" t="s">
        <v>405</v>
      </c>
      <c r="P67" s="1323" t="s">
        <v>850</v>
      </c>
      <c r="Q67" s="1367">
        <f ca="1">L51</f>
        <v>-1004</v>
      </c>
      <c r="R67" s="1324" t="s">
        <v>870</v>
      </c>
    </row>
    <row r="68" spans="1:18" s="1289" customFormat="1" ht="16.2" thickBot="1">
      <c r="A68" s="890" t="s">
        <v>395</v>
      </c>
      <c r="B68" s="891" t="s">
        <v>774</v>
      </c>
      <c r="C68" s="293">
        <f ca="1">ROUND(C67*(1-((1+F70)/(1+F68))^F69)/(F68-F70),0)</f>
        <v>-223</v>
      </c>
      <c r="D68" s="908" t="s">
        <v>758</v>
      </c>
      <c r="E68" s="893" t="s">
        <v>759</v>
      </c>
      <c r="F68" s="304">
        <f ca="1">F40</f>
        <v>0.05</v>
      </c>
      <c r="O68" s="1331" t="s">
        <v>406</v>
      </c>
      <c r="P68" s="1368" t="s">
        <v>871</v>
      </c>
      <c r="Q68" s="1324">
        <f ca="1">ROUND(Q69-Q70*Q71,0)</f>
        <v>-50</v>
      </c>
      <c r="R68" s="1324" t="s">
        <v>414</v>
      </c>
    </row>
    <row r="69" spans="1:18" s="1289" customFormat="1" ht="13.8" thickBot="1">
      <c r="A69" s="894"/>
      <c r="B69" s="895"/>
      <c r="C69" s="298"/>
      <c r="D69" s="913" t="s">
        <v>762</v>
      </c>
      <c r="E69" s="893" t="s">
        <v>763</v>
      </c>
      <c r="F69" s="324">
        <f ca="1">F41</f>
        <v>27.89</v>
      </c>
      <c r="O69" s="1331" t="s">
        <v>411</v>
      </c>
      <c r="P69" s="1368" t="s">
        <v>872</v>
      </c>
      <c r="Q69" s="1324">
        <f ca="1">C39</f>
        <v>245</v>
      </c>
      <c r="R69" s="1324" t="s">
        <v>818</v>
      </c>
    </row>
    <row r="70" spans="1:18" s="1289" customFormat="1" ht="13.8" thickBot="1">
      <c r="A70" s="897"/>
      <c r="B70" s="898"/>
      <c r="C70" s="302"/>
      <c r="D70" s="909"/>
      <c r="E70" s="893" t="s">
        <v>766</v>
      </c>
      <c r="F70" s="988"/>
      <c r="O70" s="1331" t="s">
        <v>412</v>
      </c>
      <c r="P70" s="1368" t="s">
        <v>873</v>
      </c>
      <c r="Q70" s="1324">
        <f ca="1">C13</f>
        <v>4215</v>
      </c>
      <c r="R70" s="1324" t="s">
        <v>818</v>
      </c>
    </row>
    <row r="71" spans="1:18" s="1289" customFormat="1" ht="13.8" thickBot="1">
      <c r="A71" s="914" t="s">
        <v>396</v>
      </c>
      <c r="B71" s="915" t="s">
        <v>776</v>
      </c>
      <c r="C71" s="327">
        <f ca="1">ROUND(C68*10000/F71,0)</f>
        <v>-280</v>
      </c>
      <c r="D71" s="916" t="s">
        <v>777</v>
      </c>
      <c r="E71" s="917" t="s">
        <v>778</v>
      </c>
      <c r="F71" s="330">
        <f ca="1">F43</f>
        <v>7954.3</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295</v>
      </c>
      <c r="D75" s="1289"/>
      <c r="E75" s="1289"/>
      <c r="F75" s="1289"/>
      <c r="K75" s="1306"/>
      <c r="L75" s="1289"/>
      <c r="O75" s="1322" t="s">
        <v>409</v>
      </c>
      <c r="P75" s="1323" t="s">
        <v>838</v>
      </c>
      <c r="Q75" s="1324">
        <f ca="1">Q65+Q66</f>
        <v>4528</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-0.20399999999999996</v>
      </c>
    </row>
    <row r="80" spans="1:18">
      <c r="B80" s="331" t="s">
        <v>800</v>
      </c>
      <c r="C80" s="266">
        <f ca="1">ROUND(C75/C39,3)</f>
        <v>1.204</v>
      </c>
    </row>
    <row r="81" spans="2:3">
      <c r="B81" s="262" t="s">
        <v>801</v>
      </c>
      <c r="C81" s="230"/>
    </row>
    <row r="82" spans="2:3">
      <c r="B82" s="265" t="s">
        <v>802</v>
      </c>
      <c r="C82" s="267">
        <f ca="1">1-C83</f>
        <v>6.899999999999995E-2</v>
      </c>
    </row>
    <row r="83" spans="2:3">
      <c r="B83" s="265" t="s">
        <v>803</v>
      </c>
      <c r="C83" s="266">
        <f ca="1">ROUND(C13/C40,3)</f>
        <v>0.93100000000000005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8CE9AF40-D744-44CA-A089-29F3B766112E}">
      <formula1>"在建（套用方法）,土地（套用方法）,——"</formula1>
    </dataValidation>
    <dataValidation type="list" allowBlank="1" showInputMessage="1" showErrorMessage="1" sqref="M10 F10 F53" xr:uid="{002EEA14-D3AD-4B59-B84F-39827C2D0ED2}">
      <formula1>"押一,押二,押三,自定义"</formula1>
    </dataValidation>
    <dataValidation type="list" allowBlank="1" showInputMessage="1" showErrorMessage="1" sqref="L55" xr:uid="{8D886FF2-3E92-43F6-98DC-42930F854F22}">
      <formula1>"比较法,基准地价,收益还原"</formula1>
    </dataValidation>
    <dataValidation type="list" allowBlank="1" showInputMessage="1" showErrorMessage="1" sqref="J56" xr:uid="{FC32D262-9CED-4B8E-A864-3129455A8742}">
      <formula1>估价范围判定</formula1>
    </dataValidation>
    <dataValidation type="list" allowBlank="1" showInputMessage="1" showErrorMessage="1" sqref="J48" xr:uid="{134A223A-1B33-432C-B096-6AA19F77C2EB}">
      <formula1>"非生产用房,生产用房,受腐蚀的生产用房"</formula1>
    </dataValidation>
    <dataValidation type="list" allowBlank="1" showInputMessage="1" showErrorMessage="1" sqref="J47" xr:uid="{E19ACE0B-EDE0-448B-ACB2-25B7DFADF26E}">
      <formula1>"钢,钢混,砖混"</formula1>
    </dataValidation>
    <dataValidation type="list" allowBlank="1" showInputMessage="1" showErrorMessage="1" sqref="C1" xr:uid="{BBD1F166-53A1-42C5-BEFA-8AFAF220F9E7}">
      <formula1>项目类型</formula1>
    </dataValidation>
    <dataValidation type="list" allowBlank="1" showInputMessage="1" showErrorMessage="1" sqref="D33 D61" xr:uid="{ACCC3CE8-5D60-4A6F-9DDC-140689E8A1C0}">
      <formula1>"按租金收入计税,按房产原值计税,按票据"</formula1>
    </dataValidation>
    <dataValidation type="list" allowBlank="1" showInputMessage="1" showErrorMessage="1" sqref="K19" xr:uid="{9886EA58-5660-4595-9E0F-F3844A80B2F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0" t="s">
        <v>2311</v>
      </c>
      <c r="B2" s="2588" t="e">
        <f>IF(D2="——",C40,C40+E2)</f>
        <v>#DIV/0!</v>
      </c>
      <c r="C2" s="2589" t="s">
        <v>2312</v>
      </c>
      <c r="D2" s="3131" t="s">
        <v>3355</v>
      </c>
      <c r="E2" s="3132"/>
      <c r="F2" s="2591"/>
      <c r="G2" s="2592"/>
      <c r="H2" s="2593"/>
      <c r="I2" s="2594"/>
      <c r="J2" s="3499" t="s">
        <v>2313</v>
      </c>
      <c r="K2" s="3500"/>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501" t="s">
        <v>2323</v>
      </c>
      <c r="K3" s="3502"/>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501" t="s">
        <v>2325</v>
      </c>
      <c r="K4" s="3502"/>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507" t="s">
        <v>2329</v>
      </c>
      <c r="B6" s="3508"/>
      <c r="C6" s="3509"/>
      <c r="D6" s="2615"/>
      <c r="E6" s="2616"/>
      <c r="F6" s="2617"/>
      <c r="G6" s="2618"/>
      <c r="H6" s="2593"/>
      <c r="I6" s="2594"/>
      <c r="J6" s="3493">
        <v>1</v>
      </c>
      <c r="K6" s="3494"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493"/>
      <c r="K7" s="3495"/>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510" t="s">
        <v>2343</v>
      </c>
      <c r="C8" s="3511"/>
      <c r="D8" s="2634" t="s">
        <v>2344</v>
      </c>
      <c r="E8" s="2635" t="s">
        <v>2345</v>
      </c>
      <c r="F8" s="2636" t="s">
        <v>2346</v>
      </c>
      <c r="G8" s="2637"/>
      <c r="H8" s="2593"/>
      <c r="I8" s="2594"/>
      <c r="J8" s="3493"/>
      <c r="K8" s="3495"/>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510" t="s">
        <v>2349</v>
      </c>
      <c r="C9" s="3511"/>
      <c r="D9" s="2634">
        <f>ROUND(D6*E9,0)</f>
        <v>0</v>
      </c>
      <c r="E9" s="2638"/>
      <c r="F9" s="2639" t="s">
        <v>2350</v>
      </c>
      <c r="G9" s="2618"/>
      <c r="H9" s="2593"/>
      <c r="I9" s="2594"/>
      <c r="J9" s="3493"/>
      <c r="K9" s="3495"/>
      <c r="L9" s="2628" t="s">
        <v>2351</v>
      </c>
      <c r="M9" s="2629"/>
      <c r="N9" s="2605"/>
      <c r="O9" s="2630"/>
      <c r="P9" s="2630"/>
      <c r="Q9" s="2631">
        <v>365</v>
      </c>
      <c r="R9" s="2632">
        <f t="shared" si="0"/>
        <v>0</v>
      </c>
      <c r="S9" s="2586"/>
      <c r="T9" s="2586"/>
      <c r="U9" s="2586"/>
      <c r="V9" s="2594"/>
    </row>
    <row r="10" spans="1:22" s="2598" customFormat="1" ht="13.2" customHeight="1">
      <c r="A10" s="2633">
        <v>2</v>
      </c>
      <c r="B10" s="3510" t="s">
        <v>2352</v>
      </c>
      <c r="C10" s="3511"/>
      <c r="D10" s="2634">
        <f>ROUND(D6*E10,0)</f>
        <v>0</v>
      </c>
      <c r="E10" s="2638"/>
      <c r="F10" s="2639" t="s">
        <v>2353</v>
      </c>
      <c r="G10" s="2618"/>
      <c r="H10" s="2593"/>
      <c r="I10" s="2594"/>
      <c r="J10" s="3493"/>
      <c r="K10" s="3495"/>
      <c r="L10" s="2628" t="s">
        <v>2354</v>
      </c>
      <c r="M10" s="2629"/>
      <c r="N10" s="2605"/>
      <c r="O10" s="2630"/>
      <c r="P10" s="2630"/>
      <c r="Q10" s="2631">
        <v>365</v>
      </c>
      <c r="R10" s="2632">
        <f t="shared" si="0"/>
        <v>0</v>
      </c>
      <c r="S10" s="2586"/>
      <c r="T10" s="2586"/>
      <c r="U10" s="2586"/>
      <c r="V10" s="2594"/>
    </row>
    <row r="11" spans="1:22" s="2598" customFormat="1" ht="13.2" customHeight="1">
      <c r="A11" s="2633">
        <v>3</v>
      </c>
      <c r="B11" s="3510" t="s">
        <v>2355</v>
      </c>
      <c r="C11" s="3511"/>
      <c r="D11" s="2634">
        <f>D12+D14+D15+D16</f>
        <v>0</v>
      </c>
      <c r="E11" s="2640" t="e">
        <f>D11/D6</f>
        <v>#DIV/0!</v>
      </c>
      <c r="F11" s="2636"/>
      <c r="G11" s="2637"/>
      <c r="H11" s="2593"/>
      <c r="I11" s="2594"/>
      <c r="J11" s="3493"/>
      <c r="K11" s="3495"/>
      <c r="L11" s="2628" t="s">
        <v>2356</v>
      </c>
      <c r="M11" s="2629"/>
      <c r="N11" s="2605"/>
      <c r="O11" s="2630"/>
      <c r="P11" s="2630"/>
      <c r="Q11" s="2631">
        <v>365</v>
      </c>
      <c r="R11" s="2632">
        <f t="shared" si="0"/>
        <v>0</v>
      </c>
      <c r="S11" s="2586"/>
      <c r="T11" s="2586"/>
      <c r="U11" s="2586"/>
      <c r="V11" s="2594"/>
    </row>
    <row r="12" spans="1:22" s="2598" customFormat="1" ht="13.2" customHeight="1">
      <c r="A12" s="2641" t="s">
        <v>2357</v>
      </c>
      <c r="B12" s="3503" t="s">
        <v>2358</v>
      </c>
      <c r="C12" s="3504"/>
      <c r="D12" s="2642">
        <f>ROUND(D13*1.2%*(1-30%),0)</f>
        <v>0</v>
      </c>
      <c r="E12" s="2643">
        <v>1.2E-2</v>
      </c>
      <c r="F12" s="2636" t="s">
        <v>2359</v>
      </c>
      <c r="G12" s="2637"/>
      <c r="H12" s="2593"/>
      <c r="I12" s="2594"/>
      <c r="J12" s="3493"/>
      <c r="K12" s="3495"/>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493"/>
      <c r="K13" s="3495"/>
      <c r="L13" s="2628" t="s">
        <v>2362</v>
      </c>
      <c r="M13" s="2629"/>
      <c r="N13" s="2605"/>
      <c r="O13" s="2630"/>
      <c r="P13" s="2630"/>
      <c r="Q13" s="2631">
        <v>365</v>
      </c>
      <c r="R13" s="2632">
        <f t="shared" si="0"/>
        <v>0</v>
      </c>
      <c r="S13" s="2586"/>
      <c r="T13" s="2586"/>
      <c r="U13" s="2586"/>
      <c r="V13" s="2594"/>
    </row>
    <row r="14" spans="1:22" s="2598" customFormat="1" ht="13.2" customHeight="1">
      <c r="A14" s="2641" t="s">
        <v>2363</v>
      </c>
      <c r="B14" s="3503" t="s">
        <v>2364</v>
      </c>
      <c r="C14" s="3504"/>
      <c r="D14" s="2642">
        <f>ROUND(E14*B5/10000,0)</f>
        <v>0</v>
      </c>
      <c r="E14" s="2631"/>
      <c r="F14" s="2636" t="s">
        <v>2365</v>
      </c>
      <c r="G14" s="2637"/>
      <c r="H14" s="2593"/>
      <c r="I14" s="2594"/>
      <c r="J14" s="3493"/>
      <c r="K14" s="3496"/>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503" t="s">
        <v>2368</v>
      </c>
      <c r="C15" s="3504"/>
      <c r="D15" s="2642">
        <f>ROUND(D6*E15,0)</f>
        <v>0</v>
      </c>
      <c r="E15" s="2643">
        <v>5.5E-2</v>
      </c>
      <c r="F15" s="2636" t="s">
        <v>2369</v>
      </c>
      <c r="G15" s="2618"/>
      <c r="H15" s="2593"/>
      <c r="I15" s="2594"/>
      <c r="J15" s="3493">
        <v>2</v>
      </c>
      <c r="K15" s="3494"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503" t="s">
        <v>2377</v>
      </c>
      <c r="C16" s="3504"/>
      <c r="D16" s="2653">
        <f>D6*E16</f>
        <v>0</v>
      </c>
      <c r="E16" s="2654"/>
      <c r="F16" s="2639" t="s">
        <v>2378</v>
      </c>
      <c r="G16" s="2618"/>
      <c r="H16" s="2593"/>
      <c r="I16" s="2594"/>
      <c r="J16" s="3493"/>
      <c r="K16" s="3495"/>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505" t="s">
        <v>2380</v>
      </c>
      <c r="C17" s="3506"/>
      <c r="D17" s="2656">
        <f>ROUND(D6*E17,0)</f>
        <v>0</v>
      </c>
      <c r="E17" s="2657"/>
      <c r="F17" s="2658" t="s">
        <v>2381</v>
      </c>
      <c r="G17" s="2618"/>
      <c r="H17" s="2593"/>
      <c r="I17" s="2594"/>
      <c r="J17" s="3493"/>
      <c r="K17" s="3495"/>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493"/>
      <c r="K18" s="3495"/>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493"/>
      <c r="K19" s="3496"/>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93">
        <v>3</v>
      </c>
      <c r="K20" s="3494"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493"/>
      <c r="K21" s="3495"/>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493"/>
      <c r="K22" s="3495"/>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493"/>
      <c r="K23" s="3495"/>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493"/>
      <c r="K24" s="3496"/>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497">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498"/>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499" t="s">
        <v>2313</v>
      </c>
      <c r="K32" s="3500"/>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501" t="s">
        <v>2323</v>
      </c>
      <c r="K33" s="3502"/>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501" t="s">
        <v>2325</v>
      </c>
      <c r="K34" s="3502"/>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493">
        <v>1</v>
      </c>
      <c r="K36" s="3494"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493"/>
      <c r="K37" s="3495"/>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93"/>
      <c r="K38" s="3495"/>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493"/>
      <c r="K39" s="3495"/>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493"/>
      <c r="K40" s="3496"/>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497">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498"/>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4"/>
      <c r="G1" s="459"/>
      <c r="H1" s="459"/>
      <c r="I1" s="459"/>
      <c r="J1" s="459"/>
      <c r="K1" s="459"/>
      <c r="L1" s="459"/>
      <c r="M1" s="459"/>
      <c r="N1" s="459"/>
      <c r="O1" s="459"/>
      <c r="P1" s="459"/>
      <c r="Q1" s="459"/>
      <c r="R1" s="459"/>
      <c r="S1" s="459"/>
    </row>
    <row r="2" spans="1:22" ht="15.6">
      <c r="A2" s="1725" t="s">
        <v>1462</v>
      </c>
      <c r="B2" s="808">
        <f ca="1">SUMIF(B6:B13,"&lt;&gt;#ref!",B6:B13)</f>
        <v>73799</v>
      </c>
      <c r="C2" s="1726" t="s">
        <v>1651</v>
      </c>
      <c r="D2" s="1727" t="s">
        <v>1652</v>
      </c>
      <c r="E2" s="2388">
        <f>SUM(E6:E13)</f>
        <v>37817.270000000004</v>
      </c>
      <c r="F2" s="2474"/>
      <c r="G2" s="459"/>
      <c r="H2" s="459"/>
      <c r="I2" s="459"/>
      <c r="J2" s="459"/>
      <c r="K2" s="459"/>
      <c r="L2" s="459"/>
      <c r="M2" s="459"/>
      <c r="N2" s="459"/>
      <c r="O2" s="459"/>
      <c r="P2" s="459"/>
      <c r="Q2" s="459"/>
      <c r="R2" s="459"/>
      <c r="S2" s="459"/>
    </row>
    <row r="3" spans="1:22" ht="15.6">
      <c r="A3" s="1725" t="s">
        <v>686</v>
      </c>
      <c r="B3" s="2382">
        <f ca="1">ROUND(B2*10000/E2,0)</f>
        <v>19515</v>
      </c>
      <c r="C3" s="1726"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12" t="s">
        <v>1654</v>
      </c>
      <c r="C5" s="3513"/>
      <c r="D5" s="2475"/>
      <c r="E5" s="1728"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44500</v>
      </c>
      <c r="C6" s="1726" t="s">
        <v>1651</v>
      </c>
      <c r="D6" s="2474"/>
      <c r="E6" s="2387">
        <f>IF(OR(A6=0,F6="否"),0,'数据-取费表'!K6+'数据-取费表'!S6)</f>
        <v>15259.08</v>
      </c>
      <c r="F6" s="1729" t="s">
        <v>1657</v>
      </c>
      <c r="G6" s="459"/>
      <c r="H6" s="459"/>
      <c r="I6" s="459"/>
      <c r="J6" s="459"/>
      <c r="K6" s="459"/>
      <c r="L6" s="459"/>
      <c r="M6" s="459"/>
      <c r="N6" s="459"/>
      <c r="O6" s="459"/>
      <c r="P6" s="459"/>
      <c r="Q6" s="459"/>
      <c r="R6" s="459"/>
      <c r="S6" s="459"/>
    </row>
    <row r="7" spans="1:22" ht="14.4">
      <c r="A7" s="2385" t="str">
        <f>'数据-取费表'!AN7</f>
        <v>收益法商</v>
      </c>
      <c r="B7" s="2383">
        <f ca="1">IF(F7="是",'数据-取费表'!AO7,0)</f>
        <v>24467</v>
      </c>
      <c r="C7" s="1726" t="s">
        <v>1651</v>
      </c>
      <c r="D7" s="2474"/>
      <c r="E7" s="2387">
        <f>IF(OR(A7=0,F7="否"),0,'数据-取费表'!K7+'数据-取费表'!S7)</f>
        <v>14603.89</v>
      </c>
      <c r="F7" s="1729" t="s">
        <v>1657</v>
      </c>
      <c r="G7" s="459"/>
      <c r="H7" s="459"/>
      <c r="I7" s="459"/>
      <c r="J7" s="459"/>
      <c r="K7" s="459"/>
      <c r="L7" s="459"/>
      <c r="M7" s="459"/>
      <c r="N7" s="459"/>
      <c r="O7" s="459"/>
      <c r="P7" s="459"/>
      <c r="Q7" s="459"/>
      <c r="R7" s="459"/>
      <c r="S7" s="459"/>
    </row>
    <row r="8" spans="1:22" ht="14.4">
      <c r="A8" s="2385" t="str">
        <f>'数据-取费表'!AN8</f>
        <v>收益法车</v>
      </c>
      <c r="B8" s="2383">
        <f ca="1">IF(F8="是",'数据-取费表'!AO8,0)</f>
        <v>4832</v>
      </c>
      <c r="C8" s="1726" t="s">
        <v>1651</v>
      </c>
      <c r="D8" s="2474"/>
      <c r="E8" s="2387">
        <f>IF(OR(A8=0,F8="否"),0,'数据-取费表'!K8+'数据-取费表'!S8)</f>
        <v>7954.3</v>
      </c>
      <c r="F8" s="1729"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6" t="s">
        <v>1651</v>
      </c>
      <c r="D9" s="2474"/>
      <c r="E9" s="2387">
        <f>IF(OR(A9=0,F9="否"),0,'数据-取费表'!K9+'数据-取费表'!S9)</f>
        <v>0</v>
      </c>
      <c r="F9" s="1729"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6" t="s">
        <v>1651</v>
      </c>
      <c r="D10" s="2474"/>
      <c r="E10" s="2387">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6" t="s">
        <v>1651</v>
      </c>
      <c r="D11" s="2474"/>
      <c r="E11" s="2387">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6" t="s">
        <v>1651</v>
      </c>
      <c r="D12" s="2474"/>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6"/>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37817.270000000004</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5" t="s">
        <v>1666</v>
      </c>
      <c r="B4" s="346"/>
      <c r="C4" s="3439" t="s">
        <v>1667</v>
      </c>
      <c r="D4" s="3440"/>
      <c r="E4" s="3441" t="s">
        <v>1668</v>
      </c>
      <c r="F4" s="3442"/>
      <c r="G4" s="3439" t="s">
        <v>1669</v>
      </c>
      <c r="H4" s="3440"/>
      <c r="I4" s="3439" t="s">
        <v>1670</v>
      </c>
      <c r="J4" s="3440"/>
      <c r="K4" s="1741" t="s">
        <v>1671</v>
      </c>
      <c r="L4" s="2481"/>
      <c r="M4" s="2482"/>
      <c r="N4" s="2482"/>
      <c r="O4" s="2482"/>
      <c r="P4" s="3443" t="s">
        <v>1672</v>
      </c>
      <c r="Q4" s="3444"/>
      <c r="R4" s="3449" t="s">
        <v>1668</v>
      </c>
      <c r="S4" s="3450"/>
      <c r="T4" s="3449" t="s">
        <v>1669</v>
      </c>
      <c r="U4" s="3450"/>
      <c r="V4" s="3422" t="s">
        <v>1670</v>
      </c>
      <c r="W4" s="3422"/>
      <c r="X4" s="1262"/>
      <c r="Y4" s="3449" t="s">
        <v>1672</v>
      </c>
      <c r="Z4" s="3450"/>
      <c r="AA4" s="3436" t="s">
        <v>1668</v>
      </c>
      <c r="AB4" s="3436" t="s">
        <v>1669</v>
      </c>
      <c r="AC4" s="3436" t="s">
        <v>1670</v>
      </c>
    </row>
    <row r="5" spans="1:29">
      <c r="A5" s="348"/>
      <c r="B5" s="349"/>
      <c r="C5" s="3457" t="s">
        <v>1673</v>
      </c>
      <c r="D5" s="3458"/>
      <c r="E5" s="3464" t="s">
        <v>1674</v>
      </c>
      <c r="F5" s="3465"/>
      <c r="G5" s="3457" t="s">
        <v>1675</v>
      </c>
      <c r="H5" s="3458"/>
      <c r="I5" s="3457" t="s">
        <v>1676</v>
      </c>
      <c r="J5" s="3458"/>
      <c r="K5" s="1742"/>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1742"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SUMIF(58:58,YEAR(E7)&amp;"-"&amp;MONTH(E7),59:59)</f>
        <v>0</v>
      </c>
      <c r="G7" s="356"/>
      <c r="H7" s="355">
        <f>SUMIF(58:58,YEAR(G7)&amp;"-"&amp;MONTH(G7),59:59)</f>
        <v>0</v>
      </c>
      <c r="I7" s="356"/>
      <c r="J7" s="355">
        <f>SUMIF(58:58,YEAR(I7)&amp;"-"&amp;MONTH(I7),59:59)</f>
        <v>0</v>
      </c>
      <c r="K7" s="1743"/>
      <c r="L7" s="2483"/>
      <c r="M7" s="2435"/>
      <c r="N7" s="2435"/>
      <c r="O7" s="2435"/>
      <c r="P7" s="3459" t="s">
        <v>1680</v>
      </c>
      <c r="Q7" s="3461"/>
      <c r="R7" s="663" t="s">
        <v>20</v>
      </c>
      <c r="S7" s="664">
        <f t="shared" ref="S7:S15" si="0">F7</f>
        <v>0</v>
      </c>
      <c r="T7" s="663" t="s">
        <v>20</v>
      </c>
      <c r="U7" s="664">
        <f t="shared" ref="U7:U15" si="1">H7</f>
        <v>0</v>
      </c>
      <c r="V7" s="663" t="s">
        <v>20</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3"/>
      <c r="M8" s="2435"/>
      <c r="N8" s="2435"/>
      <c r="O8" s="2435"/>
      <c r="P8" s="3459" t="s">
        <v>1683</v>
      </c>
      <c r="Q8" s="3460"/>
      <c r="R8" s="663" t="s">
        <v>20</v>
      </c>
      <c r="S8" s="664">
        <f t="shared" si="0"/>
        <v>100</v>
      </c>
      <c r="T8" s="663" t="s">
        <v>20</v>
      </c>
      <c r="U8" s="664">
        <f t="shared" si="1"/>
        <v>100</v>
      </c>
      <c r="V8" s="663" t="s">
        <v>20</v>
      </c>
      <c r="W8" s="664">
        <f t="shared" si="2"/>
        <v>100</v>
      </c>
      <c r="X8" s="665"/>
      <c r="Y8" s="3459" t="s">
        <v>1683</v>
      </c>
      <c r="Z8" s="346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3"/>
      <c r="M9" s="2435"/>
      <c r="N9" s="2435"/>
      <c r="O9" s="2435"/>
      <c r="P9" s="343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4"/>
      <c r="M10" s="2485"/>
      <c r="N10" s="2485"/>
      <c r="O10" s="2485"/>
      <c r="P10" s="343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35"/>
      <c r="Q11" s="530" t="str">
        <f t="shared" si="6"/>
        <v>容积率</v>
      </c>
      <c r="R11" s="663" t="s">
        <v>18</v>
      </c>
      <c r="S11" s="664" t="e">
        <f t="shared" si="0"/>
        <v>#N/A</v>
      </c>
      <c r="T11" s="663" t="s">
        <v>18</v>
      </c>
      <c r="U11" s="664" t="e">
        <f t="shared" si="1"/>
        <v>#N/A</v>
      </c>
      <c r="V11" s="663" t="s">
        <v>18</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3"/>
      <c r="M12" s="2435"/>
      <c r="N12" s="2435"/>
      <c r="O12" s="2435"/>
      <c r="P12" s="3435"/>
      <c r="Q12" s="530">
        <f t="shared" si="6"/>
        <v>111</v>
      </c>
      <c r="R12" s="663" t="s">
        <v>18</v>
      </c>
      <c r="S12" s="664">
        <f t="shared" si="0"/>
        <v>100</v>
      </c>
      <c r="T12" s="663" t="s">
        <v>18</v>
      </c>
      <c r="U12" s="664">
        <f t="shared" si="1"/>
        <v>100</v>
      </c>
      <c r="V12" s="663" t="s">
        <v>18</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7"/>
      <c r="M13" s="2482"/>
      <c r="N13" s="2482"/>
      <c r="O13" s="2482"/>
      <c r="P13" s="3435"/>
      <c r="Q13" s="530">
        <f t="shared" si="6"/>
        <v>111</v>
      </c>
      <c r="R13" s="663" t="s">
        <v>18</v>
      </c>
      <c r="S13" s="664">
        <f t="shared" si="0"/>
        <v>100</v>
      </c>
      <c r="T13" s="663" t="s">
        <v>18</v>
      </c>
      <c r="U13" s="664">
        <f t="shared" si="1"/>
        <v>100</v>
      </c>
      <c r="V13" s="663" t="s">
        <v>18</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7"/>
      <c r="M14" s="2482"/>
      <c r="N14" s="2482"/>
      <c r="O14" s="2482"/>
      <c r="P14" s="3435"/>
      <c r="Q14" s="530">
        <f t="shared" si="6"/>
        <v>111</v>
      </c>
      <c r="R14" s="663" t="s">
        <v>18</v>
      </c>
      <c r="S14" s="664">
        <f t="shared" si="0"/>
        <v>100</v>
      </c>
      <c r="T14" s="663" t="s">
        <v>18</v>
      </c>
      <c r="U14" s="664">
        <f t="shared" si="1"/>
        <v>100</v>
      </c>
      <c r="V14" s="663" t="s">
        <v>18</v>
      </c>
      <c r="W14" s="664">
        <f t="shared" si="2"/>
        <v>100</v>
      </c>
      <c r="X14" s="665"/>
      <c r="Y14" s="3328"/>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26" t="s">
        <v>1691</v>
      </c>
      <c r="Q15" s="1260" t="str">
        <f t="shared" si="6"/>
        <v>居住社区成熟度</v>
      </c>
      <c r="R15" s="666" t="s">
        <v>18</v>
      </c>
      <c r="S15" s="667">
        <f t="shared" si="0"/>
        <v>100</v>
      </c>
      <c r="T15" s="666" t="s">
        <v>18</v>
      </c>
      <c r="U15" s="667">
        <f t="shared" si="1"/>
        <v>100</v>
      </c>
      <c r="V15" s="666" t="s">
        <v>18</v>
      </c>
      <c r="W15" s="667">
        <f t="shared" si="2"/>
        <v>100</v>
      </c>
      <c r="X15" s="1262"/>
      <c r="Y15" s="3428"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7"/>
      <c r="M16" s="2482"/>
      <c r="N16" s="2482"/>
      <c r="O16" s="2482"/>
      <c r="P16" s="3427"/>
      <c r="Q16" s="1260"/>
      <c r="R16" s="666"/>
      <c r="S16" s="667"/>
      <c r="T16" s="666"/>
      <c r="U16" s="667"/>
      <c r="V16" s="666"/>
      <c r="W16" s="667"/>
      <c r="X16" s="1262"/>
      <c r="Y16" s="3429"/>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27"/>
      <c r="Q17" s="1260" t="str">
        <f>B17</f>
        <v>交通便捷度</v>
      </c>
      <c r="R17" s="666" t="s">
        <v>18</v>
      </c>
      <c r="S17" s="667">
        <f>F17</f>
        <v>100</v>
      </c>
      <c r="T17" s="666" t="s">
        <v>18</v>
      </c>
      <c r="U17" s="667">
        <f>H17</f>
        <v>100</v>
      </c>
      <c r="V17" s="666" t="s">
        <v>18</v>
      </c>
      <c r="W17" s="667">
        <f>J17</f>
        <v>100</v>
      </c>
      <c r="X17" s="1262"/>
      <c r="Y17" s="3429"/>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7"/>
      <c r="M18" s="2482"/>
      <c r="N18" s="2482"/>
      <c r="O18" s="2482"/>
      <c r="P18" s="3427"/>
      <c r="Q18" s="1260"/>
      <c r="R18" s="666"/>
      <c r="S18" s="667"/>
      <c r="T18" s="666"/>
      <c r="U18" s="667"/>
      <c r="V18" s="666"/>
      <c r="W18" s="667"/>
      <c r="X18" s="1262"/>
      <c r="Y18" s="3429"/>
      <c r="Z18" s="1261"/>
      <c r="AA18" s="1261">
        <v>1</v>
      </c>
      <c r="AB18" s="1261">
        <v>1</v>
      </c>
      <c r="AC18" s="1261">
        <v>1</v>
      </c>
    </row>
    <row r="19" spans="1:29" ht="82.8">
      <c r="A19" s="367"/>
      <c r="B19" s="390" t="s">
        <v>1258</v>
      </c>
      <c r="C19" s="1751"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27"/>
      <c r="Q19" s="1260" t="str">
        <f>B19</f>
        <v>公共配套设施</v>
      </c>
      <c r="R19" s="666" t="s">
        <v>18</v>
      </c>
      <c r="S19" s="667">
        <f>F19</f>
        <v>100</v>
      </c>
      <c r="T19" s="666" t="s">
        <v>18</v>
      </c>
      <c r="U19" s="667">
        <f>H19</f>
        <v>100</v>
      </c>
      <c r="V19" s="666" t="s">
        <v>18</v>
      </c>
      <c r="W19" s="667">
        <f>J19</f>
        <v>100</v>
      </c>
      <c r="X19" s="1262"/>
      <c r="Y19" s="3429"/>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7"/>
      <c r="M20" s="2482"/>
      <c r="N20" s="2482"/>
      <c r="O20" s="2482"/>
      <c r="P20" s="3427"/>
      <c r="Q20" s="1260"/>
      <c r="R20" s="666"/>
      <c r="S20" s="667"/>
      <c r="T20" s="666"/>
      <c r="U20" s="667"/>
      <c r="V20" s="666"/>
      <c r="W20" s="667"/>
      <c r="X20" s="1262"/>
      <c r="Y20" s="3429"/>
      <c r="Z20" s="1261"/>
      <c r="AA20" s="1261">
        <v>1</v>
      </c>
      <c r="AB20" s="1261">
        <v>1</v>
      </c>
      <c r="AC20" s="1261">
        <v>1</v>
      </c>
    </row>
    <row r="21" spans="1:29" ht="41.4">
      <c r="A21" s="367"/>
      <c r="B21" s="585" t="s">
        <v>1260</v>
      </c>
      <c r="C21" s="1751"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7"/>
      <c r="M22" s="2482"/>
      <c r="N22" s="2482"/>
      <c r="O22" s="2482"/>
      <c r="P22" s="3427"/>
      <c r="Q22" s="1260"/>
      <c r="R22" s="666"/>
      <c r="S22" s="667"/>
      <c r="T22" s="666"/>
      <c r="U22" s="667"/>
      <c r="V22" s="666"/>
      <c r="W22" s="667"/>
      <c r="X22" s="1262"/>
      <c r="Y22" s="3429"/>
      <c r="Z22" s="1261"/>
      <c r="AA22" s="1261">
        <v>1</v>
      </c>
      <c r="AB22" s="1261">
        <v>1</v>
      </c>
      <c r="AC22" s="1261">
        <v>1</v>
      </c>
    </row>
    <row r="23" spans="1:29" ht="69">
      <c r="A23" s="367"/>
      <c r="B23" s="390" t="s">
        <v>1261</v>
      </c>
      <c r="C23" s="1751" t="str">
        <f>估价对象房地状况!C9</f>
        <v>区域内有奥森公园等自然及人文环境，综合评价自然及人文环境状况较好。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27"/>
      <c r="Q23" s="1260" t="str">
        <f>B23</f>
        <v>自然及人文环境</v>
      </c>
      <c r="R23" s="666" t="s">
        <v>18</v>
      </c>
      <c r="S23" s="667">
        <f>F23</f>
        <v>100</v>
      </c>
      <c r="T23" s="666" t="s">
        <v>18</v>
      </c>
      <c r="U23" s="667">
        <f>H23</f>
        <v>100</v>
      </c>
      <c r="V23" s="666" t="s">
        <v>18</v>
      </c>
      <c r="W23" s="667">
        <f>J23</f>
        <v>100</v>
      </c>
      <c r="X23" s="1262"/>
      <c r="Y23" s="3429"/>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7"/>
      <c r="M24" s="2482"/>
      <c r="N24" s="2482"/>
      <c r="O24" s="2482"/>
      <c r="P24" s="3427"/>
      <c r="Q24" s="1260"/>
      <c r="R24" s="666"/>
      <c r="S24" s="667"/>
      <c r="T24" s="666"/>
      <c r="U24" s="667"/>
      <c r="V24" s="666"/>
      <c r="W24" s="667"/>
      <c r="X24" s="1262"/>
      <c r="Y24" s="3429"/>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7"/>
      <c r="M25" s="2482"/>
      <c r="N25" s="2482"/>
      <c r="O25" s="2482"/>
      <c r="P25" s="3427"/>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29"/>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7"/>
      <c r="M26" s="2482"/>
      <c r="N26" s="2482"/>
      <c r="O26" s="2482"/>
      <c r="P26" s="3427"/>
      <c r="Q26" s="1260" t="str">
        <f t="shared" si="11"/>
        <v>朝向</v>
      </c>
      <c r="R26" s="666" t="s">
        <v>18</v>
      </c>
      <c r="S26" s="667">
        <f t="shared" si="12"/>
        <v>100</v>
      </c>
      <c r="T26" s="666" t="s">
        <v>18</v>
      </c>
      <c r="U26" s="667">
        <f t="shared" si="13"/>
        <v>100</v>
      </c>
      <c r="V26" s="666" t="s">
        <v>18</v>
      </c>
      <c r="W26" s="667">
        <f t="shared" si="14"/>
        <v>100</v>
      </c>
      <c r="X26" s="1262"/>
      <c r="Y26" s="3429"/>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3"/>
      <c r="M27" s="2435"/>
      <c r="N27" s="2435"/>
      <c r="O27" s="2435"/>
      <c r="P27" s="3427"/>
      <c r="Q27" s="530">
        <f t="shared" si="11"/>
        <v>111</v>
      </c>
      <c r="R27" s="663" t="s">
        <v>18</v>
      </c>
      <c r="S27" s="664">
        <f t="shared" si="12"/>
        <v>100</v>
      </c>
      <c r="T27" s="663" t="s">
        <v>18</v>
      </c>
      <c r="U27" s="664">
        <f t="shared" si="13"/>
        <v>100</v>
      </c>
      <c r="V27" s="663" t="s">
        <v>18</v>
      </c>
      <c r="W27" s="664">
        <f t="shared" si="14"/>
        <v>100</v>
      </c>
      <c r="X27" s="665"/>
      <c r="Y27" s="3429"/>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7"/>
      <c r="M28" s="2482"/>
      <c r="N28" s="2482"/>
      <c r="O28" s="2482"/>
      <c r="P28" s="3427"/>
      <c r="Q28" s="1260">
        <f t="shared" si="11"/>
        <v>111</v>
      </c>
      <c r="R28" s="666" t="s">
        <v>18</v>
      </c>
      <c r="S28" s="667">
        <f t="shared" si="12"/>
        <v>100</v>
      </c>
      <c r="T28" s="666" t="s">
        <v>18</v>
      </c>
      <c r="U28" s="667">
        <f t="shared" si="13"/>
        <v>100</v>
      </c>
      <c r="V28" s="666" t="s">
        <v>18</v>
      </c>
      <c r="W28" s="667">
        <f t="shared" si="14"/>
        <v>100</v>
      </c>
      <c r="X28" s="1262"/>
      <c r="Y28" s="3429"/>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7"/>
      <c r="M29" s="2482"/>
      <c r="N29" s="2482"/>
      <c r="O29" s="2482"/>
      <c r="P29" s="3427"/>
      <c r="Q29" s="1260">
        <f t="shared" si="11"/>
        <v>111</v>
      </c>
      <c r="R29" s="666" t="s">
        <v>18</v>
      </c>
      <c r="S29" s="667">
        <f t="shared" si="12"/>
        <v>100</v>
      </c>
      <c r="T29" s="666" t="s">
        <v>18</v>
      </c>
      <c r="U29" s="667">
        <f t="shared" si="13"/>
        <v>100</v>
      </c>
      <c r="V29" s="666" t="s">
        <v>18</v>
      </c>
      <c r="W29" s="667">
        <f t="shared" si="14"/>
        <v>100</v>
      </c>
      <c r="X29" s="1262"/>
      <c r="Y29" s="3429"/>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7"/>
      <c r="M30" s="2482"/>
      <c r="N30" s="2482"/>
      <c r="O30" s="2482"/>
      <c r="P30" s="3427"/>
      <c r="Q30" s="1260">
        <f t="shared" si="11"/>
        <v>111</v>
      </c>
      <c r="R30" s="666" t="s">
        <v>18</v>
      </c>
      <c r="S30" s="667">
        <f t="shared" si="12"/>
        <v>100</v>
      </c>
      <c r="T30" s="666" t="s">
        <v>18</v>
      </c>
      <c r="U30" s="667">
        <f t="shared" si="13"/>
        <v>100</v>
      </c>
      <c r="V30" s="666" t="s">
        <v>18</v>
      </c>
      <c r="W30" s="667">
        <f t="shared" si="14"/>
        <v>100</v>
      </c>
      <c r="X30" s="1262"/>
      <c r="Y30" s="3429"/>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7"/>
      <c r="M31" s="2482"/>
      <c r="N31" s="2482"/>
      <c r="O31" s="2482"/>
      <c r="P31" s="3427"/>
      <c r="Q31" s="1260">
        <f t="shared" si="11"/>
        <v>111</v>
      </c>
      <c r="R31" s="666" t="s">
        <v>18</v>
      </c>
      <c r="S31" s="667">
        <f t="shared" si="12"/>
        <v>100</v>
      </c>
      <c r="T31" s="666" t="s">
        <v>18</v>
      </c>
      <c r="U31" s="667">
        <f t="shared" si="13"/>
        <v>100</v>
      </c>
      <c r="V31" s="666" t="s">
        <v>18</v>
      </c>
      <c r="W31" s="667">
        <f t="shared" si="14"/>
        <v>100</v>
      </c>
      <c r="X31" s="1262"/>
      <c r="Y31" s="3429"/>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7"/>
      <c r="M32" s="2482"/>
      <c r="N32" s="2482"/>
      <c r="O32" s="2482"/>
      <c r="P32" s="3430" t="s">
        <v>1696</v>
      </c>
      <c r="Q32" s="1260" t="str">
        <f t="shared" si="11"/>
        <v>建筑类型</v>
      </c>
      <c r="R32" s="666" t="s">
        <v>18</v>
      </c>
      <c r="S32" s="667">
        <f t="shared" si="12"/>
        <v>100</v>
      </c>
      <c r="T32" s="666" t="s">
        <v>18</v>
      </c>
      <c r="U32" s="667">
        <f t="shared" si="13"/>
        <v>100</v>
      </c>
      <c r="V32" s="666" t="s">
        <v>18</v>
      </c>
      <c r="W32" s="667">
        <f t="shared" si="14"/>
        <v>100</v>
      </c>
      <c r="X32" s="1262"/>
      <c r="Y32" s="3433"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6"/>
      <c r="M33" s="2488"/>
      <c r="N33" s="2488"/>
      <c r="O33" s="2488"/>
      <c r="P33" s="3431"/>
      <c r="Q33" s="531" t="str">
        <f t="shared" si="11"/>
        <v>项目建筑规模</v>
      </c>
      <c r="R33" s="668" t="s">
        <v>18</v>
      </c>
      <c r="S33" s="669" t="e">
        <f t="shared" si="12"/>
        <v>#N/A</v>
      </c>
      <c r="T33" s="668" t="s">
        <v>18</v>
      </c>
      <c r="U33" s="669" t="e">
        <f t="shared" si="13"/>
        <v>#N/A</v>
      </c>
      <c r="V33" s="668" t="s">
        <v>18</v>
      </c>
      <c r="W33" s="669" t="e">
        <f t="shared" si="14"/>
        <v>#N/A</v>
      </c>
      <c r="X33" s="670"/>
      <c r="Y33" s="3433"/>
      <c r="Z33" s="671"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7"/>
      <c r="M34" s="2482"/>
      <c r="N34" s="2482"/>
      <c r="O34" s="2482"/>
      <c r="P34" s="3431"/>
      <c r="Q34" s="1260" t="str">
        <f t="shared" si="11"/>
        <v>建筑结构</v>
      </c>
      <c r="R34" s="666" t="s">
        <v>18</v>
      </c>
      <c r="S34" s="667">
        <f t="shared" si="12"/>
        <v>100</v>
      </c>
      <c r="T34" s="666" t="s">
        <v>18</v>
      </c>
      <c r="U34" s="667">
        <f t="shared" si="13"/>
        <v>100</v>
      </c>
      <c r="V34" s="666" t="s">
        <v>18</v>
      </c>
      <c r="W34" s="667">
        <f t="shared" si="14"/>
        <v>100</v>
      </c>
      <c r="X34" s="1262"/>
      <c r="Y34" s="3433"/>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7"/>
      <c r="M35" s="2482"/>
      <c r="N35" s="2482"/>
      <c r="O35" s="2482"/>
      <c r="P35" s="3431"/>
      <c r="Q35" s="1260" t="str">
        <f t="shared" si="11"/>
        <v>建筑品质</v>
      </c>
      <c r="R35" s="666" t="s">
        <v>18</v>
      </c>
      <c r="S35" s="667">
        <f t="shared" si="12"/>
        <v>100</v>
      </c>
      <c r="T35" s="666" t="s">
        <v>18</v>
      </c>
      <c r="U35" s="667">
        <f t="shared" si="13"/>
        <v>100</v>
      </c>
      <c r="V35" s="666" t="s">
        <v>18</v>
      </c>
      <c r="W35" s="667">
        <f t="shared" si="14"/>
        <v>100</v>
      </c>
      <c r="X35" s="1262"/>
      <c r="Y35" s="3433"/>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7"/>
      <c r="M36" s="2482"/>
      <c r="N36" s="2482"/>
      <c r="O36" s="2482"/>
      <c r="P36" s="3431"/>
      <c r="Q36" s="1260" t="str">
        <f t="shared" si="11"/>
        <v>公共部分装修</v>
      </c>
      <c r="R36" s="666" t="s">
        <v>18</v>
      </c>
      <c r="S36" s="667">
        <f t="shared" si="12"/>
        <v>100</v>
      </c>
      <c r="T36" s="666" t="s">
        <v>18</v>
      </c>
      <c r="U36" s="667">
        <f t="shared" si="13"/>
        <v>100</v>
      </c>
      <c r="V36" s="666" t="s">
        <v>18</v>
      </c>
      <c r="W36" s="667">
        <f t="shared" si="14"/>
        <v>100</v>
      </c>
      <c r="X36" s="1262"/>
      <c r="Y36" s="3433"/>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31"/>
      <c r="Q37" s="530" t="str">
        <f t="shared" si="11"/>
        <v>成新度</v>
      </c>
      <c r="R37" s="663" t="s">
        <v>18</v>
      </c>
      <c r="S37" s="664" t="e">
        <f t="shared" si="12"/>
        <v>#N/A</v>
      </c>
      <c r="T37" s="663" t="s">
        <v>18</v>
      </c>
      <c r="U37" s="664" t="e">
        <f t="shared" si="13"/>
        <v>#N/A</v>
      </c>
      <c r="V37" s="663" t="s">
        <v>18</v>
      </c>
      <c r="W37" s="664" t="e">
        <f t="shared" si="14"/>
        <v>#N/A</v>
      </c>
      <c r="X37" s="665"/>
      <c r="Y37" s="3433"/>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7"/>
      <c r="M38" s="2482"/>
      <c r="N38" s="2482"/>
      <c r="O38" s="2482"/>
      <c r="P38" s="3431" t="s">
        <v>1696</v>
      </c>
      <c r="Q38" s="1260" t="str">
        <f t="shared" si="11"/>
        <v>物业管理</v>
      </c>
      <c r="R38" s="666" t="s">
        <v>18</v>
      </c>
      <c r="S38" s="667">
        <f t="shared" si="12"/>
        <v>100</v>
      </c>
      <c r="T38" s="666" t="s">
        <v>18</v>
      </c>
      <c r="U38" s="667">
        <f t="shared" si="13"/>
        <v>100</v>
      </c>
      <c r="V38" s="666" t="s">
        <v>18</v>
      </c>
      <c r="W38" s="667">
        <f t="shared" si="14"/>
        <v>100</v>
      </c>
      <c r="X38" s="1262"/>
      <c r="Y38" s="3433"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7"/>
      <c r="M39" s="2482"/>
      <c r="N39" s="2482"/>
      <c r="O39" s="2482"/>
      <c r="P39" s="3431"/>
      <c r="Q39" s="1260" t="str">
        <f t="shared" si="11"/>
        <v>市政基础设施</v>
      </c>
      <c r="R39" s="666" t="s">
        <v>18</v>
      </c>
      <c r="S39" s="667">
        <f t="shared" si="12"/>
        <v>100</v>
      </c>
      <c r="T39" s="666" t="s">
        <v>18</v>
      </c>
      <c r="U39" s="667">
        <f t="shared" si="13"/>
        <v>100</v>
      </c>
      <c r="V39" s="666" t="s">
        <v>18</v>
      </c>
      <c r="W39" s="667">
        <f t="shared" si="14"/>
        <v>100</v>
      </c>
      <c r="X39" s="1262"/>
      <c r="Y39" s="3433"/>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7"/>
      <c r="M40" s="2482"/>
      <c r="N40" s="2482"/>
      <c r="O40" s="2482"/>
      <c r="P40" s="3431"/>
      <c r="Q40" s="1260" t="str">
        <f t="shared" si="11"/>
        <v>房型</v>
      </c>
      <c r="R40" s="666" t="s">
        <v>18</v>
      </c>
      <c r="S40" s="667">
        <f t="shared" si="12"/>
        <v>100</v>
      </c>
      <c r="T40" s="666" t="s">
        <v>18</v>
      </c>
      <c r="U40" s="667">
        <f t="shared" si="13"/>
        <v>100</v>
      </c>
      <c r="V40" s="666" t="s">
        <v>18</v>
      </c>
      <c r="W40" s="667">
        <f t="shared" si="14"/>
        <v>100</v>
      </c>
      <c r="X40" s="1262"/>
      <c r="Y40" s="3433"/>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6"/>
      <c r="M41" s="2488"/>
      <c r="N41" s="2488"/>
      <c r="O41" s="2488"/>
      <c r="P41" s="3431"/>
      <c r="Q41" s="531" t="str">
        <f t="shared" si="11"/>
        <v>单套/主力户型建筑面积</v>
      </c>
      <c r="R41" s="668" t="s">
        <v>18</v>
      </c>
      <c r="S41" s="669">
        <f t="shared" si="12"/>
        <v>100</v>
      </c>
      <c r="T41" s="668" t="s">
        <v>18</v>
      </c>
      <c r="U41" s="669">
        <f t="shared" si="13"/>
        <v>100</v>
      </c>
      <c r="V41" s="668" t="s">
        <v>18</v>
      </c>
      <c r="W41" s="669">
        <f t="shared" si="14"/>
        <v>100</v>
      </c>
      <c r="X41" s="670"/>
      <c r="Y41" s="3433"/>
      <c r="Z41" s="671"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7"/>
      <c r="M42" s="2482"/>
      <c r="N42" s="2482"/>
      <c r="O42" s="2482"/>
      <c r="P42" s="3431"/>
      <c r="Q42" s="1260" t="str">
        <f t="shared" si="11"/>
        <v>内部装修</v>
      </c>
      <c r="R42" s="666" t="s">
        <v>18</v>
      </c>
      <c r="S42" s="667">
        <f t="shared" si="12"/>
        <v>100</v>
      </c>
      <c r="T42" s="666" t="s">
        <v>18</v>
      </c>
      <c r="U42" s="667">
        <f t="shared" si="13"/>
        <v>100</v>
      </c>
      <c r="V42" s="666" t="s">
        <v>18</v>
      </c>
      <c r="W42" s="667">
        <f t="shared" si="14"/>
        <v>100</v>
      </c>
      <c r="X42" s="1262"/>
      <c r="Y42" s="3433"/>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7"/>
      <c r="M43" s="2482"/>
      <c r="N43" s="2482"/>
      <c r="O43" s="2482"/>
      <c r="P43" s="3431"/>
      <c r="Q43" s="1260" t="str">
        <f t="shared" si="11"/>
        <v>内部装修维护情况</v>
      </c>
      <c r="R43" s="666" t="s">
        <v>18</v>
      </c>
      <c r="S43" s="667">
        <f t="shared" si="12"/>
        <v>100</v>
      </c>
      <c r="T43" s="666" t="s">
        <v>18</v>
      </c>
      <c r="U43" s="667">
        <f t="shared" si="13"/>
        <v>100</v>
      </c>
      <c r="V43" s="666" t="s">
        <v>18</v>
      </c>
      <c r="W43" s="667">
        <f t="shared" si="14"/>
        <v>100</v>
      </c>
      <c r="X43" s="1262"/>
      <c r="Y43" s="3433"/>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3"/>
      <c r="M44" s="2435"/>
      <c r="N44" s="2435"/>
      <c r="O44" s="2435"/>
      <c r="P44" s="3431"/>
      <c r="Q44" s="530">
        <f t="shared" si="11"/>
        <v>111</v>
      </c>
      <c r="R44" s="663" t="s">
        <v>18</v>
      </c>
      <c r="S44" s="664">
        <f t="shared" si="12"/>
        <v>100</v>
      </c>
      <c r="T44" s="663" t="s">
        <v>18</v>
      </c>
      <c r="U44" s="664">
        <f t="shared" si="13"/>
        <v>100</v>
      </c>
      <c r="V44" s="663" t="s">
        <v>18</v>
      </c>
      <c r="W44" s="664">
        <f t="shared" si="14"/>
        <v>100</v>
      </c>
      <c r="X44" s="665"/>
      <c r="Y44" s="3433"/>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7"/>
      <c r="M45" s="2482"/>
      <c r="N45" s="2482"/>
      <c r="O45" s="2482"/>
      <c r="P45" s="3431"/>
      <c r="Q45" s="1260">
        <f t="shared" si="11"/>
        <v>111</v>
      </c>
      <c r="R45" s="666" t="s">
        <v>18</v>
      </c>
      <c r="S45" s="667">
        <f t="shared" si="12"/>
        <v>100</v>
      </c>
      <c r="T45" s="666" t="s">
        <v>18</v>
      </c>
      <c r="U45" s="667">
        <f t="shared" si="13"/>
        <v>100</v>
      </c>
      <c r="V45" s="666" t="s">
        <v>18</v>
      </c>
      <c r="W45" s="667">
        <f t="shared" si="14"/>
        <v>100</v>
      </c>
      <c r="X45" s="1262"/>
      <c r="Y45" s="3433"/>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7"/>
      <c r="M46" s="2482"/>
      <c r="N46" s="2482"/>
      <c r="O46" s="2482"/>
      <c r="P46" s="3432"/>
      <c r="Q46" s="1260">
        <f t="shared" si="11"/>
        <v>111</v>
      </c>
      <c r="R46" s="666" t="s">
        <v>17</v>
      </c>
      <c r="S46" s="667">
        <f t="shared" si="12"/>
        <v>100</v>
      </c>
      <c r="T46" s="666" t="s">
        <v>17</v>
      </c>
      <c r="U46" s="667">
        <f t="shared" si="13"/>
        <v>100</v>
      </c>
      <c r="V46" s="666" t="s">
        <v>17</v>
      </c>
      <c r="W46" s="667">
        <f t="shared" si="14"/>
        <v>100</v>
      </c>
      <c r="X46" s="1262"/>
      <c r="Y46" s="3434"/>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9"/>
      <c r="M47" s="2482"/>
      <c r="N47" s="2482"/>
      <c r="O47" s="2482"/>
      <c r="P47" s="3421" t="str">
        <f>A47</f>
        <v>成交单价（元/平方米）</v>
      </c>
      <c r="Q47" s="3421"/>
      <c r="R47" s="3422">
        <f>E47</f>
        <v>0</v>
      </c>
      <c r="S47" s="3422"/>
      <c r="T47" s="3422">
        <f>G47</f>
        <v>0</v>
      </c>
      <c r="U47" s="3422"/>
      <c r="V47" s="3422">
        <f>I47</f>
        <v>0</v>
      </c>
      <c r="W47" s="3422"/>
      <c r="X47" s="385"/>
      <c r="Y47" s="672"/>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9"/>
      <c r="M49" s="2482"/>
      <c r="N49" s="2482"/>
      <c r="O49" s="2482"/>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7"/>
    </row>
    <row r="55" spans="1:29" s="437"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4"/>
      <c r="L57" s="885"/>
      <c r="M57" s="883"/>
      <c r="N57" s="883"/>
      <c r="O57" s="883"/>
      <c r="P57" s="1768"/>
      <c r="Q57" s="439"/>
    </row>
    <row r="58" spans="1:29" s="442" customFormat="1" ht="14.4">
      <c r="A58" s="440" t="s">
        <v>1715</v>
      </c>
      <c r="B58" s="441"/>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37817.270000000004</v>
      </c>
      <c r="E3" s="1802"/>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520" t="s">
        <v>1775</v>
      </c>
      <c r="Q4" s="3521"/>
      <c r="R4" s="3524" t="s">
        <v>1771</v>
      </c>
      <c r="S4" s="3525"/>
      <c r="T4" s="3524" t="s">
        <v>1772</v>
      </c>
      <c r="U4" s="3525"/>
      <c r="V4" s="3526" t="s">
        <v>1773</v>
      </c>
      <c r="W4" s="3526"/>
      <c r="X4" s="1806"/>
      <c r="Y4" s="3524" t="s">
        <v>1775</v>
      </c>
      <c r="Z4" s="3525"/>
      <c r="AA4" s="3528" t="s">
        <v>1771</v>
      </c>
      <c r="AB4" s="3528" t="s">
        <v>1772</v>
      </c>
      <c r="AC4" s="3517" t="s">
        <v>1773</v>
      </c>
    </row>
    <row r="5" spans="1:29">
      <c r="A5" s="348"/>
      <c r="B5" s="349"/>
      <c r="C5" s="3457" t="s">
        <v>1673</v>
      </c>
      <c r="D5" s="3458"/>
      <c r="E5" s="3464" t="s">
        <v>1674</v>
      </c>
      <c r="F5" s="3465"/>
      <c r="G5" s="3457" t="s">
        <v>1675</v>
      </c>
      <c r="H5" s="3458"/>
      <c r="I5" s="3457" t="s">
        <v>1676</v>
      </c>
      <c r="J5" s="3458"/>
      <c r="K5" s="537"/>
      <c r="L5" s="2481"/>
      <c r="M5" s="2482"/>
      <c r="N5" s="2482"/>
      <c r="O5" s="2482"/>
      <c r="P5" s="3522"/>
      <c r="Q5" s="3446"/>
      <c r="R5" s="3451"/>
      <c r="S5" s="3452"/>
      <c r="T5" s="3451"/>
      <c r="U5" s="3452"/>
      <c r="V5" s="3422"/>
      <c r="W5" s="3422"/>
      <c r="X5" s="1262"/>
      <c r="Y5" s="3451"/>
      <c r="Z5" s="3452"/>
      <c r="AA5" s="3437"/>
      <c r="AB5" s="3437"/>
      <c r="AC5" s="3518"/>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523"/>
      <c r="Q6" s="3448"/>
      <c r="R6" s="3451"/>
      <c r="S6" s="3452"/>
      <c r="T6" s="3453"/>
      <c r="U6" s="3454"/>
      <c r="V6" s="3422"/>
      <c r="W6" s="3422"/>
      <c r="X6" s="1262"/>
      <c r="Y6" s="3453"/>
      <c r="Z6" s="3454"/>
      <c r="AA6" s="3438"/>
      <c r="AB6" s="3438"/>
      <c r="AC6" s="3519"/>
    </row>
    <row r="7" spans="1:29" s="102" customFormat="1" ht="15" thickBot="1">
      <c r="A7" s="352" t="s">
        <v>1679</v>
      </c>
      <c r="B7" s="353"/>
      <c r="C7" s="354">
        <f>'数据-取费表'!B2</f>
        <v>45771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27"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27" t="s">
        <v>1683</v>
      </c>
      <c r="Q8" s="3460"/>
      <c r="R8" s="663" t="s">
        <v>14</v>
      </c>
      <c r="S8" s="664">
        <f t="shared" si="0"/>
        <v>100</v>
      </c>
      <c r="T8" s="663" t="s">
        <v>14</v>
      </c>
      <c r="U8" s="664">
        <f t="shared" si="1"/>
        <v>100</v>
      </c>
      <c r="V8" s="663" t="s">
        <v>14</v>
      </c>
      <c r="W8" s="664">
        <f t="shared" si="2"/>
        <v>100</v>
      </c>
      <c r="X8" s="665"/>
      <c r="Y8" s="3459" t="s">
        <v>1683</v>
      </c>
      <c r="Z8" s="3460"/>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3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799">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4"/>
      <c r="M10" s="2485"/>
      <c r="N10" s="2485"/>
      <c r="O10" s="2485"/>
      <c r="P10" s="343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3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3"/>
      <c r="M12" s="2435"/>
      <c r="N12" s="2435"/>
      <c r="O12" s="2435"/>
      <c r="P12" s="343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7"/>
      <c r="M13" s="2482"/>
      <c r="N13" s="2482"/>
      <c r="O13" s="2482"/>
      <c r="P13" s="343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799">
        <f t="shared" si="5"/>
        <v>1</v>
      </c>
    </row>
    <row r="14" spans="1:29" ht="15.6"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7"/>
      <c r="M14" s="2482"/>
      <c r="N14" s="2482"/>
      <c r="O14" s="2482"/>
      <c r="P14" s="343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799">
        <f t="shared" si="5"/>
        <v>1</v>
      </c>
    </row>
    <row r="15" spans="1:29" ht="15">
      <c r="A15" s="379" t="s">
        <v>1690</v>
      </c>
      <c r="B15" s="553"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26" t="s">
        <v>1691</v>
      </c>
      <c r="Q15" s="1260" t="str">
        <f t="shared" si="6"/>
        <v>办公集聚程度</v>
      </c>
      <c r="R15" s="666" t="s">
        <v>14</v>
      </c>
      <c r="S15" s="667">
        <f t="shared" si="0"/>
        <v>100</v>
      </c>
      <c r="T15" s="666" t="s">
        <v>14</v>
      </c>
      <c r="U15" s="667">
        <f t="shared" si="1"/>
        <v>100</v>
      </c>
      <c r="V15" s="666" t="s">
        <v>14</v>
      </c>
      <c r="W15" s="667">
        <f t="shared" si="2"/>
        <v>100</v>
      </c>
      <c r="X15" s="1262"/>
      <c r="Y15" s="3428" t="s">
        <v>1691</v>
      </c>
      <c r="Z15" s="1261" t="str">
        <f t="shared" si="7"/>
        <v>办公集聚程度</v>
      </c>
      <c r="AA15" s="1261">
        <f t="shared" si="3"/>
        <v>1</v>
      </c>
      <c r="AB15" s="1261">
        <f t="shared" si="4"/>
        <v>1</v>
      </c>
      <c r="AC15" s="1809">
        <f t="shared" si="5"/>
        <v>1</v>
      </c>
    </row>
    <row r="16" spans="1:29" ht="15">
      <c r="A16" s="367"/>
      <c r="B16" s="554"/>
      <c r="C16" s="1755"/>
      <c r="D16" s="387"/>
      <c r="E16" s="386"/>
      <c r="F16" s="387"/>
      <c r="G16" s="1755"/>
      <c r="H16" s="389"/>
      <c r="I16" s="386"/>
      <c r="J16" s="387"/>
      <c r="K16" s="541"/>
      <c r="L16" s="2487"/>
      <c r="M16" s="2482"/>
      <c r="N16" s="2482"/>
      <c r="O16" s="2482"/>
      <c r="P16" s="3427"/>
      <c r="Q16" s="1260"/>
      <c r="R16" s="666"/>
      <c r="S16" s="667"/>
      <c r="T16" s="666"/>
      <c r="U16" s="667"/>
      <c r="V16" s="666"/>
      <c r="W16" s="667"/>
      <c r="X16" s="1262"/>
      <c r="Y16" s="3429"/>
      <c r="Z16" s="1261"/>
      <c r="AA16" s="1261">
        <v>1</v>
      </c>
      <c r="AB16" s="1261">
        <v>1</v>
      </c>
      <c r="AC16" s="1809">
        <v>1</v>
      </c>
    </row>
    <row r="17" spans="1:29" ht="82.8">
      <c r="A17" s="367"/>
      <c r="B17" s="555" t="s">
        <v>1259</v>
      </c>
      <c r="C17" s="1810" t="str">
        <f>估价对象房地状况!C6</f>
        <v>周边有466、484、593路及地铁5号，周边道路密集，停车便捷程度，综合评价交通便捷度较好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27"/>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7"/>
      <c r="M18" s="2482"/>
      <c r="N18" s="2482"/>
      <c r="O18" s="2482"/>
      <c r="P18" s="3427"/>
      <c r="Q18" s="1260"/>
      <c r="R18" s="666"/>
      <c r="S18" s="667"/>
      <c r="T18" s="666"/>
      <c r="U18" s="667"/>
      <c r="V18" s="666"/>
      <c r="W18" s="667"/>
      <c r="X18" s="1262"/>
      <c r="Y18" s="3429"/>
      <c r="Z18" s="1261"/>
      <c r="AA18" s="1261">
        <v>1</v>
      </c>
      <c r="AB18" s="1261">
        <v>1</v>
      </c>
      <c r="AC18" s="1809">
        <v>1</v>
      </c>
    </row>
    <row r="19" spans="1:29" ht="82.8">
      <c r="A19" s="367"/>
      <c r="B19" s="555" t="s">
        <v>1812</v>
      </c>
      <c r="C19" s="1810"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27"/>
      <c r="Q19" s="1260" t="str">
        <f>B19</f>
        <v>公共配套设施</v>
      </c>
      <c r="R19" s="666" t="s">
        <v>14</v>
      </c>
      <c r="S19" s="667">
        <f>F19</f>
        <v>100</v>
      </c>
      <c r="T19" s="666" t="s">
        <v>14</v>
      </c>
      <c r="U19" s="667">
        <f>H19</f>
        <v>100</v>
      </c>
      <c r="V19" s="666" t="s">
        <v>14</v>
      </c>
      <c r="W19" s="667">
        <f>J19</f>
        <v>100</v>
      </c>
      <c r="X19" s="1262"/>
      <c r="Y19" s="3429"/>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7"/>
      <c r="M20" s="2482"/>
      <c r="N20" s="2482"/>
      <c r="O20" s="2482"/>
      <c r="P20" s="3427"/>
      <c r="Q20" s="1260"/>
      <c r="R20" s="666"/>
      <c r="S20" s="667"/>
      <c r="T20" s="666"/>
      <c r="U20" s="667"/>
      <c r="V20" s="666"/>
      <c r="W20" s="667"/>
      <c r="X20" s="1262"/>
      <c r="Y20" s="3429"/>
      <c r="Z20" s="1261"/>
      <c r="AA20" s="1261">
        <v>1</v>
      </c>
      <c r="AB20" s="1261">
        <v>1</v>
      </c>
      <c r="AC20" s="1809">
        <v>1</v>
      </c>
    </row>
    <row r="21" spans="1:29" ht="41.4">
      <c r="A21" s="367"/>
      <c r="B21" s="556" t="s">
        <v>1813</v>
      </c>
      <c r="C21" s="1810"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27"/>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809">
        <f t="shared" ref="AC21" si="10">D21/J21</f>
        <v>1</v>
      </c>
    </row>
    <row r="22" spans="1:29" ht="15">
      <c r="A22" s="367"/>
      <c r="B22" s="556"/>
      <c r="C22" s="1811"/>
      <c r="D22" s="387"/>
      <c r="E22" s="386"/>
      <c r="F22" s="387"/>
      <c r="G22" s="1755"/>
      <c r="H22" s="387"/>
      <c r="I22" s="1755"/>
      <c r="J22" s="387"/>
      <c r="K22" s="1061"/>
      <c r="L22" s="2487"/>
      <c r="M22" s="2482"/>
      <c r="N22" s="2482"/>
      <c r="O22" s="2482"/>
      <c r="P22" s="3427"/>
      <c r="Q22" s="1260"/>
      <c r="R22" s="666"/>
      <c r="S22" s="667"/>
      <c r="T22" s="666"/>
      <c r="U22" s="667"/>
      <c r="V22" s="666"/>
      <c r="W22" s="667"/>
      <c r="X22" s="1262"/>
      <c r="Y22" s="3429"/>
      <c r="Z22" s="1261"/>
      <c r="AA22" s="1261">
        <v>1</v>
      </c>
      <c r="AB22" s="1261">
        <v>1</v>
      </c>
      <c r="AC22" s="1809">
        <v>1</v>
      </c>
    </row>
    <row r="23" spans="1:29" ht="69">
      <c r="A23" s="367"/>
      <c r="B23" s="555" t="s">
        <v>1814</v>
      </c>
      <c r="C23" s="1810" t="str">
        <f>估价对象房地状况!C9</f>
        <v>区域内有奥森公园等自然及人文环境，综合评价自然及人文环境状况较好。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27"/>
      <c r="Q23" s="1260" t="str">
        <f>B23</f>
        <v>环境质量</v>
      </c>
      <c r="R23" s="666" t="s">
        <v>14</v>
      </c>
      <c r="S23" s="667">
        <f>F23</f>
        <v>100</v>
      </c>
      <c r="T23" s="666" t="s">
        <v>14</v>
      </c>
      <c r="U23" s="667">
        <f>H23</f>
        <v>100</v>
      </c>
      <c r="V23" s="666" t="s">
        <v>14</v>
      </c>
      <c r="W23" s="667">
        <f>J23</f>
        <v>100</v>
      </c>
      <c r="X23" s="1262"/>
      <c r="Y23" s="3429"/>
      <c r="Z23" s="1261" t="str">
        <f>Q23</f>
        <v>环境质量</v>
      </c>
      <c r="AA23" s="1261">
        <f t="shared" si="3"/>
        <v>1</v>
      </c>
      <c r="AB23" s="1261">
        <f t="shared" si="4"/>
        <v>1</v>
      </c>
      <c r="AC23" s="1809">
        <f t="shared" si="5"/>
        <v>1</v>
      </c>
    </row>
    <row r="24" spans="1:29" ht="15">
      <c r="A24" s="367"/>
      <c r="B24" s="556"/>
      <c r="C24" s="1755"/>
      <c r="D24" s="387"/>
      <c r="E24" s="1748"/>
      <c r="F24" s="387"/>
      <c r="G24" s="1749"/>
      <c r="H24" s="387"/>
      <c r="I24" s="1749"/>
      <c r="J24" s="387"/>
      <c r="K24" s="541"/>
      <c r="L24" s="2487"/>
      <c r="M24" s="2482"/>
      <c r="N24" s="2482"/>
      <c r="O24" s="2482"/>
      <c r="P24" s="3427"/>
      <c r="Q24" s="1260"/>
      <c r="R24" s="666"/>
      <c r="S24" s="667"/>
      <c r="T24" s="666"/>
      <c r="U24" s="667"/>
      <c r="V24" s="666"/>
      <c r="W24" s="667"/>
      <c r="X24" s="1262"/>
      <c r="Y24" s="3429"/>
      <c r="Z24" s="1261"/>
      <c r="AA24" s="1261">
        <v>1</v>
      </c>
      <c r="AB24" s="1261">
        <v>1</v>
      </c>
      <c r="AC24" s="1809">
        <v>1</v>
      </c>
    </row>
    <row r="25" spans="1:29" ht="28.8">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7"/>
      <c r="M25" s="2482"/>
      <c r="N25" s="2482"/>
      <c r="O25" s="2482"/>
      <c r="P25" s="3427"/>
      <c r="Q25" s="1260" t="str">
        <f>B25</f>
        <v>毗邻道路的类型与等级</v>
      </c>
      <c r="R25" s="666" t="s">
        <v>14</v>
      </c>
      <c r="S25" s="667">
        <f>F25</f>
        <v>100</v>
      </c>
      <c r="T25" s="666" t="s">
        <v>14</v>
      </c>
      <c r="U25" s="667">
        <f>H25</f>
        <v>100</v>
      </c>
      <c r="V25" s="666" t="s">
        <v>14</v>
      </c>
      <c r="W25" s="667">
        <f>J25</f>
        <v>100</v>
      </c>
      <c r="X25" s="1262"/>
      <c r="Y25" s="3429"/>
      <c r="Z25" s="1261" t="str">
        <f>Q25</f>
        <v>毗邻道路的类型与等级</v>
      </c>
      <c r="AA25" s="1261">
        <f t="shared" si="3"/>
        <v>1</v>
      </c>
      <c r="AB25" s="1261">
        <f t="shared" si="4"/>
        <v>1</v>
      </c>
      <c r="AC25" s="1809">
        <f t="shared" si="5"/>
        <v>1</v>
      </c>
    </row>
    <row r="26" spans="1:29" ht="15">
      <c r="A26" s="348"/>
      <c r="B26" s="401"/>
      <c r="C26" s="557"/>
      <c r="D26" s="374"/>
      <c r="E26" s="542"/>
      <c r="F26" s="374"/>
      <c r="G26" s="557"/>
      <c r="H26" s="374"/>
      <c r="I26" s="542"/>
      <c r="J26" s="374"/>
      <c r="K26" s="541"/>
      <c r="L26" s="2487"/>
      <c r="M26" s="2482"/>
      <c r="N26" s="2482"/>
      <c r="O26" s="2482"/>
      <c r="P26" s="3427"/>
      <c r="Q26" s="1260"/>
      <c r="R26" s="666"/>
      <c r="S26" s="667"/>
      <c r="T26" s="666"/>
      <c r="U26" s="667"/>
      <c r="V26" s="666"/>
      <c r="W26" s="667"/>
      <c r="X26" s="1262"/>
      <c r="Y26" s="3429"/>
      <c r="Z26" s="1261"/>
      <c r="AA26" s="1261">
        <v>1</v>
      </c>
      <c r="AB26" s="1261">
        <v>1</v>
      </c>
      <c r="AC26" s="1809">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7"/>
      <c r="M27" s="2482"/>
      <c r="N27" s="2482"/>
      <c r="O27" s="2482"/>
      <c r="P27" s="3427"/>
      <c r="Q27" s="1260" t="str">
        <f t="shared" ref="Q27:Q47" si="11">B27</f>
        <v>楼层</v>
      </c>
      <c r="R27" s="666" t="s">
        <v>14</v>
      </c>
      <c r="S27" s="667">
        <f>F27</f>
        <v>100</v>
      </c>
      <c r="T27" s="666" t="s">
        <v>14</v>
      </c>
      <c r="U27" s="667">
        <f>H27</f>
        <v>100</v>
      </c>
      <c r="V27" s="666" t="s">
        <v>14</v>
      </c>
      <c r="W27" s="667">
        <f>J27</f>
        <v>100</v>
      </c>
      <c r="X27" s="1262"/>
      <c r="Y27" s="3429"/>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3"/>
      <c r="M28" s="2435"/>
      <c r="N28" s="2435"/>
      <c r="O28" s="2435"/>
      <c r="P28" s="3427"/>
      <c r="Q28" s="530" t="str">
        <f t="shared" si="11"/>
        <v>朝向</v>
      </c>
      <c r="R28" s="663" t="s">
        <v>14</v>
      </c>
      <c r="S28" s="664">
        <f>F28</f>
        <v>100</v>
      </c>
      <c r="T28" s="663" t="s">
        <v>14</v>
      </c>
      <c r="U28" s="664">
        <f>H28</f>
        <v>100</v>
      </c>
      <c r="V28" s="663" t="s">
        <v>14</v>
      </c>
      <c r="W28" s="664">
        <f>J28</f>
        <v>100</v>
      </c>
      <c r="X28" s="665"/>
      <c r="Y28" s="3429"/>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7"/>
      <c r="M29" s="2482"/>
      <c r="N29" s="2482"/>
      <c r="O29" s="2482"/>
      <c r="P29" s="3427"/>
      <c r="Q29" s="1260">
        <f t="shared" si="11"/>
        <v>111</v>
      </c>
      <c r="R29" s="666" t="s">
        <v>14</v>
      </c>
      <c r="S29" s="667">
        <f t="shared" ref="S29:S47" si="12">F29</f>
        <v>100</v>
      </c>
      <c r="T29" s="666" t="s">
        <v>14</v>
      </c>
      <c r="U29" s="667">
        <f t="shared" ref="U29:U47" si="13">H29</f>
        <v>100</v>
      </c>
      <c r="V29" s="666" t="s">
        <v>14</v>
      </c>
      <c r="W29" s="667">
        <f t="shared" ref="W29:W47" si="14">J29</f>
        <v>100</v>
      </c>
      <c r="X29" s="1262"/>
      <c r="Y29" s="3429"/>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7"/>
      <c r="M30" s="2482"/>
      <c r="N30" s="2482"/>
      <c r="O30" s="2482"/>
      <c r="P30" s="3427"/>
      <c r="Q30" s="1260">
        <f t="shared" si="11"/>
        <v>111</v>
      </c>
      <c r="R30" s="666" t="s">
        <v>14</v>
      </c>
      <c r="S30" s="667">
        <f t="shared" si="12"/>
        <v>100</v>
      </c>
      <c r="T30" s="666" t="s">
        <v>14</v>
      </c>
      <c r="U30" s="667">
        <f t="shared" si="13"/>
        <v>100</v>
      </c>
      <c r="V30" s="666" t="s">
        <v>14</v>
      </c>
      <c r="W30" s="667">
        <f t="shared" si="14"/>
        <v>100</v>
      </c>
      <c r="X30" s="1262"/>
      <c r="Y30" s="3429"/>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7"/>
      <c r="M31" s="2482"/>
      <c r="N31" s="2482"/>
      <c r="O31" s="2482"/>
      <c r="P31" s="3427"/>
      <c r="Q31" s="1260">
        <f t="shared" si="11"/>
        <v>111</v>
      </c>
      <c r="R31" s="666" t="s">
        <v>14</v>
      </c>
      <c r="S31" s="667">
        <f t="shared" si="12"/>
        <v>100</v>
      </c>
      <c r="T31" s="666" t="s">
        <v>14</v>
      </c>
      <c r="U31" s="667">
        <f t="shared" si="13"/>
        <v>100</v>
      </c>
      <c r="V31" s="666" t="s">
        <v>14</v>
      </c>
      <c r="W31" s="667">
        <f t="shared" si="14"/>
        <v>100</v>
      </c>
      <c r="X31" s="1262"/>
      <c r="Y31" s="3429"/>
      <c r="Z31" s="1261">
        <f t="shared" si="15"/>
        <v>111</v>
      </c>
      <c r="AA31" s="1261">
        <f t="shared" si="3"/>
        <v>1</v>
      </c>
      <c r="AB31" s="1261">
        <f t="shared" si="4"/>
        <v>1</v>
      </c>
      <c r="AC31" s="1809">
        <f t="shared" si="5"/>
        <v>1</v>
      </c>
    </row>
    <row r="32" spans="1:29" ht="15.6" thickBot="1">
      <c r="A32" s="375"/>
      <c r="B32" s="558">
        <v>111</v>
      </c>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7"/>
      <c r="M32" s="2482"/>
      <c r="N32" s="2482"/>
      <c r="O32" s="2482"/>
      <c r="P32" s="3427"/>
      <c r="Q32" s="1260">
        <f t="shared" si="11"/>
        <v>111</v>
      </c>
      <c r="R32" s="666" t="s">
        <v>14</v>
      </c>
      <c r="S32" s="667">
        <f t="shared" si="12"/>
        <v>100</v>
      </c>
      <c r="T32" s="666" t="s">
        <v>14</v>
      </c>
      <c r="U32" s="667">
        <f t="shared" si="13"/>
        <v>100</v>
      </c>
      <c r="V32" s="666" t="s">
        <v>14</v>
      </c>
      <c r="W32" s="667">
        <f t="shared" si="14"/>
        <v>100</v>
      </c>
      <c r="X32" s="1262"/>
      <c r="Y32" s="3429"/>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7"/>
      <c r="M33" s="2482"/>
      <c r="N33" s="2482"/>
      <c r="O33" s="2482"/>
      <c r="P33" s="3430" t="s">
        <v>1696</v>
      </c>
      <c r="Q33" s="1260" t="str">
        <f t="shared" si="11"/>
        <v>建筑类型</v>
      </c>
      <c r="R33" s="666" t="s">
        <v>14</v>
      </c>
      <c r="S33" s="667">
        <f t="shared" si="12"/>
        <v>100</v>
      </c>
      <c r="T33" s="666" t="s">
        <v>14</v>
      </c>
      <c r="U33" s="667">
        <f t="shared" si="13"/>
        <v>100</v>
      </c>
      <c r="V33" s="666" t="s">
        <v>14</v>
      </c>
      <c r="W33" s="667">
        <f t="shared" si="14"/>
        <v>100</v>
      </c>
      <c r="X33" s="1262"/>
      <c r="Y33" s="3433"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31"/>
      <c r="Q34" s="531" t="str">
        <f t="shared" si="11"/>
        <v>项目建筑规模</v>
      </c>
      <c r="R34" s="668" t="s">
        <v>14</v>
      </c>
      <c r="S34" s="669" t="e">
        <f t="shared" si="12"/>
        <v>#N/A</v>
      </c>
      <c r="T34" s="668" t="s">
        <v>14</v>
      </c>
      <c r="U34" s="669" t="e">
        <f t="shared" si="13"/>
        <v>#N/A</v>
      </c>
      <c r="V34" s="668" t="s">
        <v>14</v>
      </c>
      <c r="W34" s="669" t="e">
        <f t="shared" si="14"/>
        <v>#N/A</v>
      </c>
      <c r="X34" s="670"/>
      <c r="Y34" s="3433"/>
      <c r="Z34" s="671"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31"/>
      <c r="Q35" s="1260" t="str">
        <f t="shared" si="11"/>
        <v>建筑结构</v>
      </c>
      <c r="R35" s="666" t="s">
        <v>14</v>
      </c>
      <c r="S35" s="667">
        <f t="shared" si="12"/>
        <v>100</v>
      </c>
      <c r="T35" s="666" t="s">
        <v>14</v>
      </c>
      <c r="U35" s="667">
        <f t="shared" si="13"/>
        <v>100</v>
      </c>
      <c r="V35" s="666" t="s">
        <v>14</v>
      </c>
      <c r="W35" s="667">
        <f t="shared" si="14"/>
        <v>100</v>
      </c>
      <c r="X35" s="1262"/>
      <c r="Y35" s="3433"/>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31"/>
      <c r="Q36" s="1260" t="str">
        <f t="shared" si="11"/>
        <v>公共部分装修</v>
      </c>
      <c r="R36" s="666" t="s">
        <v>14</v>
      </c>
      <c r="S36" s="667">
        <f t="shared" si="12"/>
        <v>100</v>
      </c>
      <c r="T36" s="666" t="s">
        <v>14</v>
      </c>
      <c r="U36" s="667">
        <f t="shared" si="13"/>
        <v>100</v>
      </c>
      <c r="V36" s="666" t="s">
        <v>14</v>
      </c>
      <c r="W36" s="667">
        <f t="shared" si="14"/>
        <v>100</v>
      </c>
      <c r="X36" s="1262"/>
      <c r="Y36" s="3433"/>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31"/>
      <c r="Q37" s="1260" t="str">
        <f t="shared" si="11"/>
        <v>成新度</v>
      </c>
      <c r="R37" s="666" t="s">
        <v>14</v>
      </c>
      <c r="S37" s="667" t="e">
        <f t="shared" si="12"/>
        <v>#N/A</v>
      </c>
      <c r="T37" s="666" t="s">
        <v>14</v>
      </c>
      <c r="U37" s="667" t="e">
        <f t="shared" si="13"/>
        <v>#N/A</v>
      </c>
      <c r="V37" s="666" t="s">
        <v>14</v>
      </c>
      <c r="W37" s="667" t="e">
        <f t="shared" si="14"/>
        <v>#N/A</v>
      </c>
      <c r="X37" s="1262"/>
      <c r="Y37" s="3433"/>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31"/>
      <c r="Q38" s="530" t="str">
        <f t="shared" si="11"/>
        <v>写字楼等级</v>
      </c>
      <c r="R38" s="663" t="s">
        <v>14</v>
      </c>
      <c r="S38" s="664">
        <f t="shared" si="12"/>
        <v>100</v>
      </c>
      <c r="T38" s="663" t="s">
        <v>14</v>
      </c>
      <c r="U38" s="664">
        <f t="shared" si="13"/>
        <v>100</v>
      </c>
      <c r="V38" s="663" t="s">
        <v>14</v>
      </c>
      <c r="W38" s="664">
        <f t="shared" si="14"/>
        <v>100</v>
      </c>
      <c r="X38" s="665"/>
      <c r="Y38" s="3433"/>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31" t="s">
        <v>1696</v>
      </c>
      <c r="Q39" s="1260" t="str">
        <f t="shared" si="11"/>
        <v>物业管理</v>
      </c>
      <c r="R39" s="666" t="s">
        <v>14</v>
      </c>
      <c r="S39" s="667">
        <f t="shared" si="12"/>
        <v>100</v>
      </c>
      <c r="T39" s="666" t="s">
        <v>14</v>
      </c>
      <c r="U39" s="667">
        <f t="shared" si="13"/>
        <v>100</v>
      </c>
      <c r="V39" s="666" t="s">
        <v>14</v>
      </c>
      <c r="W39" s="667">
        <f t="shared" si="14"/>
        <v>100</v>
      </c>
      <c r="X39" s="1262"/>
      <c r="Y39" s="3433"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31"/>
      <c r="Q40" s="1260" t="str">
        <f t="shared" si="11"/>
        <v>市政基础设施</v>
      </c>
      <c r="R40" s="666" t="s">
        <v>14</v>
      </c>
      <c r="S40" s="667">
        <f t="shared" si="12"/>
        <v>100</v>
      </c>
      <c r="T40" s="666" t="s">
        <v>14</v>
      </c>
      <c r="U40" s="667">
        <f t="shared" si="13"/>
        <v>100</v>
      </c>
      <c r="V40" s="666" t="s">
        <v>14</v>
      </c>
      <c r="W40" s="667">
        <f t="shared" si="14"/>
        <v>100</v>
      </c>
      <c r="X40" s="1262"/>
      <c r="Y40" s="3433"/>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31"/>
      <c r="Q41" s="1260" t="str">
        <f t="shared" si="11"/>
        <v>层高</v>
      </c>
      <c r="R41" s="666" t="s">
        <v>14</v>
      </c>
      <c r="S41" s="667">
        <f t="shared" si="12"/>
        <v>100</v>
      </c>
      <c r="T41" s="666" t="s">
        <v>14</v>
      </c>
      <c r="U41" s="667">
        <f t="shared" si="13"/>
        <v>100</v>
      </c>
      <c r="V41" s="666" t="s">
        <v>14</v>
      </c>
      <c r="W41" s="667">
        <f t="shared" si="14"/>
        <v>100</v>
      </c>
      <c r="X41" s="1262"/>
      <c r="Y41" s="3433"/>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31"/>
      <c r="Q42" s="531" t="str">
        <f t="shared" si="11"/>
        <v>单套建筑面积</v>
      </c>
      <c r="R42" s="668" t="s">
        <v>14</v>
      </c>
      <c r="S42" s="669">
        <f t="shared" si="12"/>
        <v>100</v>
      </c>
      <c r="T42" s="668" t="s">
        <v>14</v>
      </c>
      <c r="U42" s="669">
        <f t="shared" si="13"/>
        <v>100</v>
      </c>
      <c r="V42" s="668" t="s">
        <v>14</v>
      </c>
      <c r="W42" s="669">
        <f t="shared" si="14"/>
        <v>100</v>
      </c>
      <c r="X42" s="670"/>
      <c r="Y42" s="3433"/>
      <c r="Z42" s="671"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31"/>
      <c r="Q43" s="1260" t="str">
        <f t="shared" si="11"/>
        <v>内部装修</v>
      </c>
      <c r="R43" s="666" t="s">
        <v>14</v>
      </c>
      <c r="S43" s="667">
        <f t="shared" si="12"/>
        <v>100</v>
      </c>
      <c r="T43" s="666" t="s">
        <v>14</v>
      </c>
      <c r="U43" s="667">
        <f t="shared" si="13"/>
        <v>100</v>
      </c>
      <c r="V43" s="666" t="s">
        <v>14</v>
      </c>
      <c r="W43" s="667">
        <f t="shared" si="14"/>
        <v>100</v>
      </c>
      <c r="X43" s="1262"/>
      <c r="Y43" s="3433"/>
      <c r="Z43" s="1261" t="str">
        <f t="shared" si="15"/>
        <v>内部装修</v>
      </c>
      <c r="AA43" s="1261">
        <f t="shared" si="3"/>
        <v>1</v>
      </c>
      <c r="AB43" s="1261">
        <f t="shared" si="4"/>
        <v>1</v>
      </c>
      <c r="AC43" s="1809">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7"/>
      <c r="M44" s="2482"/>
      <c r="N44" s="2482"/>
      <c r="O44" s="2482"/>
      <c r="P44" s="3431"/>
      <c r="Q44" s="1260" t="str">
        <f t="shared" si="11"/>
        <v>内部装修维护情况</v>
      </c>
      <c r="R44" s="666" t="s">
        <v>14</v>
      </c>
      <c r="S44" s="667">
        <f t="shared" si="12"/>
        <v>100</v>
      </c>
      <c r="T44" s="666" t="s">
        <v>14</v>
      </c>
      <c r="U44" s="667">
        <f t="shared" si="13"/>
        <v>100</v>
      </c>
      <c r="V44" s="666" t="s">
        <v>14</v>
      </c>
      <c r="W44" s="667">
        <f t="shared" si="14"/>
        <v>100</v>
      </c>
      <c r="X44" s="1262"/>
      <c r="Y44" s="3433"/>
      <c r="Z44" s="1261" t="str">
        <f t="shared" si="15"/>
        <v>内部装修维护情况</v>
      </c>
      <c r="AA44" s="1261">
        <f t="shared" si="3"/>
        <v>1</v>
      </c>
      <c r="AB44" s="1261">
        <f t="shared" si="4"/>
        <v>1</v>
      </c>
      <c r="AC44" s="1809">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31"/>
      <c r="Q45" s="530">
        <f t="shared" si="11"/>
        <v>111</v>
      </c>
      <c r="R45" s="663" t="s">
        <v>14</v>
      </c>
      <c r="S45" s="664">
        <f t="shared" si="12"/>
        <v>100</v>
      </c>
      <c r="T45" s="663" t="s">
        <v>14</v>
      </c>
      <c r="U45" s="664">
        <f t="shared" si="13"/>
        <v>100</v>
      </c>
      <c r="V45" s="663" t="s">
        <v>14</v>
      </c>
      <c r="W45" s="664">
        <f t="shared" si="14"/>
        <v>100</v>
      </c>
      <c r="X45" s="665"/>
      <c r="Y45" s="343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31"/>
      <c r="Q46" s="1260">
        <f t="shared" si="11"/>
        <v>111</v>
      </c>
      <c r="R46" s="666" t="s">
        <v>14</v>
      </c>
      <c r="S46" s="667">
        <f t="shared" si="12"/>
        <v>100</v>
      </c>
      <c r="T46" s="666" t="s">
        <v>14</v>
      </c>
      <c r="U46" s="667">
        <f t="shared" si="13"/>
        <v>100</v>
      </c>
      <c r="V46" s="666" t="s">
        <v>14</v>
      </c>
      <c r="W46" s="667">
        <f t="shared" si="14"/>
        <v>100</v>
      </c>
      <c r="X46" s="1262"/>
      <c r="Y46" s="3433"/>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32"/>
      <c r="Q47" s="1260">
        <f t="shared" si="11"/>
        <v>111</v>
      </c>
      <c r="R47" s="666" t="s">
        <v>14</v>
      </c>
      <c r="S47" s="667">
        <f t="shared" si="12"/>
        <v>100</v>
      </c>
      <c r="T47" s="666" t="s">
        <v>14</v>
      </c>
      <c r="U47" s="667">
        <f t="shared" si="13"/>
        <v>100</v>
      </c>
      <c r="V47" s="666" t="s">
        <v>14</v>
      </c>
      <c r="W47" s="667">
        <f t="shared" si="14"/>
        <v>100</v>
      </c>
      <c r="X47" s="1262"/>
      <c r="Y47" s="3434"/>
      <c r="Z47" s="1261">
        <f t="shared" si="15"/>
        <v>111</v>
      </c>
      <c r="AA47" s="1261">
        <f t="shared" si="3"/>
        <v>1</v>
      </c>
      <c r="AB47" s="1261">
        <f t="shared" si="4"/>
        <v>1</v>
      </c>
      <c r="AC47" s="1809">
        <f t="shared" si="5"/>
        <v>1</v>
      </c>
    </row>
    <row r="48" spans="1:29" ht="14.4">
      <c r="A48" s="416" t="s">
        <v>1708</v>
      </c>
      <c r="B48" s="417"/>
      <c r="C48" s="1078" t="s">
        <v>0</v>
      </c>
      <c r="D48" s="418"/>
      <c r="E48" s="419"/>
      <c r="F48" s="420"/>
      <c r="G48" s="421"/>
      <c r="H48" s="422"/>
      <c r="I48" s="419"/>
      <c r="J48" s="422"/>
      <c r="K48" s="673"/>
      <c r="L48" s="2489"/>
      <c r="M48" s="2482"/>
      <c r="N48" s="2482"/>
      <c r="O48" s="2482"/>
      <c r="P48" s="3435" t="str">
        <f>A48</f>
        <v>成交单价（元/平方米）</v>
      </c>
      <c r="Q48" s="3421"/>
      <c r="R48" s="3422">
        <f>E48</f>
        <v>0</v>
      </c>
      <c r="S48" s="3422"/>
      <c r="T48" s="3422">
        <f>G48</f>
        <v>0</v>
      </c>
      <c r="U48" s="3422"/>
      <c r="V48" s="3422">
        <f>I48</f>
        <v>0</v>
      </c>
      <c r="W48" s="3422"/>
      <c r="X48" s="385"/>
      <c r="Y48" s="672"/>
      <c r="Z48" s="385"/>
      <c r="AA48" s="385"/>
      <c r="AB48" s="385"/>
      <c r="AC48" s="554"/>
    </row>
    <row r="49" spans="1:29" ht="15" thickBot="1">
      <c r="A49" s="423" t="s">
        <v>1793</v>
      </c>
      <c r="B49" s="424"/>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35"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89"/>
      <c r="M50" s="2482"/>
      <c r="N50" s="2482"/>
      <c r="O50" s="2482"/>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8"/>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8"/>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8"/>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8"/>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19"/>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19"/>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8"/>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5"/>
      <c r="M58" s="883"/>
      <c r="N58" s="2531"/>
      <c r="O58" s="2531"/>
      <c r="P58" s="2520"/>
      <c r="Q58" s="2503"/>
      <c r="R58" s="2482"/>
      <c r="S58" s="2482"/>
      <c r="T58" s="2482"/>
      <c r="U58" s="2482"/>
      <c r="V58" s="2482"/>
      <c r="W58" s="2482"/>
      <c r="X58" s="2482"/>
      <c r="Y58" s="2482"/>
      <c r="Z58" s="2482"/>
      <c r="AA58" s="2482"/>
      <c r="AB58" s="2482"/>
      <c r="AC58" s="2482"/>
    </row>
    <row r="59" spans="1:29" s="442" customFormat="1" ht="14.4">
      <c r="A59" s="440" t="s">
        <v>1679</v>
      </c>
      <c r="B59" s="441"/>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2" customFormat="1">
      <c r="A60" s="443"/>
      <c r="B60" s="444"/>
      <c r="C60" s="1099">
        <v>100</v>
      </c>
      <c r="D60" s="446"/>
      <c r="E60" s="446"/>
      <c r="F60" s="446"/>
      <c r="G60" s="446"/>
      <c r="H60" s="446"/>
      <c r="I60" s="446"/>
      <c r="J60" s="446"/>
      <c r="K60" s="446"/>
      <c r="L60" s="446"/>
      <c r="M60" s="447"/>
      <c r="N60" s="446"/>
      <c r="O60" s="447"/>
      <c r="P60" s="2522"/>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2"/>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
      <c r="E62" s="31"/>
      <c r="F62" s="31"/>
      <c r="G62" s="31"/>
      <c r="H62" s="31"/>
      <c r="I62" s="31"/>
      <c r="J62" s="31"/>
      <c r="K62" s="31"/>
      <c r="L62" s="457"/>
      <c r="M62" s="458"/>
      <c r="N62" s="2514"/>
      <c r="O62" s="2514"/>
      <c r="P62" s="2523"/>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c r="E63" s="446"/>
      <c r="F63" s="446"/>
      <c r="G63" s="446"/>
      <c r="H63" s="446"/>
      <c r="I63" s="446"/>
      <c r="J63" s="446"/>
      <c r="K63" s="446"/>
      <c r="L63" s="446"/>
      <c r="M63" s="448"/>
      <c r="N63" s="2514"/>
      <c r="O63" s="2514"/>
      <c r="P63" s="2522"/>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5"/>
      <c r="O64" s="2515"/>
      <c r="P64" s="2524"/>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6"/>
      <c r="O65" s="2516"/>
      <c r="P65" s="2524"/>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5"/>
      <c r="O66" s="2515"/>
      <c r="P66" s="2524"/>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6"/>
      <c r="O67" s="2516"/>
      <c r="P67" s="2524"/>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5"/>
      <c r="O69" s="2515"/>
      <c r="P69" s="2524"/>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6"/>
      <c r="O72" s="2516"/>
      <c r="P72" s="2525"/>
      <c r="Q72" s="2509"/>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7"/>
      <c r="O74" s="2517"/>
      <c r="P74" s="2525"/>
      <c r="Q74" s="2509"/>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7"/>
      <c r="O76" s="2517"/>
      <c r="P76" s="2525"/>
      <c r="Q76" s="2509"/>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3"/>
      <c r="R82" s="2482"/>
      <c r="S82" s="2482"/>
      <c r="T82" s="2482"/>
      <c r="U82" s="2482"/>
      <c r="V82" s="2482"/>
      <c r="W82" s="2482"/>
      <c r="X82" s="2482"/>
      <c r="Y82" s="2482"/>
      <c r="Z82" s="2482"/>
      <c r="AA82" s="2482"/>
      <c r="AB82" s="2482"/>
      <c r="AC82" s="2482"/>
    </row>
    <row r="83" spans="1:29" ht="15" thickTop="1">
      <c r="A83" s="367"/>
      <c r="B83" s="477" t="s">
        <v>1813</v>
      </c>
      <c r="C83" s="580" t="s">
        <v>1799</v>
      </c>
      <c r="D83" s="580" t="s">
        <v>1800</v>
      </c>
      <c r="E83" s="580" t="s">
        <v>1801</v>
      </c>
      <c r="F83" s="580" t="s">
        <v>1802</v>
      </c>
      <c r="G83" s="580" t="s">
        <v>1803</v>
      </c>
      <c r="H83" s="470"/>
      <c r="I83" s="470"/>
      <c r="J83" s="470"/>
      <c r="K83" s="470"/>
      <c r="L83" s="470"/>
      <c r="M83" s="1060"/>
      <c r="N83" s="2516"/>
      <c r="O83" s="2516"/>
      <c r="P83" s="2524"/>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4"/>
      <c r="O87" s="2514"/>
      <c r="P87" s="2524"/>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7"/>
      <c r="G89" s="485"/>
      <c r="H89" s="485"/>
      <c r="I89" s="485"/>
      <c r="J89" s="485"/>
      <c r="K89" s="485"/>
      <c r="L89" s="485"/>
      <c r="M89" s="511"/>
      <c r="N89" s="2514"/>
      <c r="O89" s="2514"/>
      <c r="P89" s="2524"/>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6"/>
      <c r="O94" s="2516"/>
      <c r="P94" s="2524"/>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6"/>
      <c r="O96" s="2516"/>
      <c r="P96" s="2524"/>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5"/>
      <c r="O97" s="2515"/>
      <c r="P97" s="2524"/>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6"/>
      <c r="O98" s="2516"/>
      <c r="P98" s="2524"/>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5"/>
      <c r="O99" s="2515"/>
      <c r="P99" s="2524"/>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6"/>
      <c r="O100" s="2516"/>
      <c r="P100" s="2524"/>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7"/>
      <c r="O104" s="2517"/>
      <c r="P104" s="2525"/>
      <c r="Q104" s="2509"/>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6"/>
      <c r="O105" s="2516"/>
      <c r="P105" s="2525"/>
      <c r="Q105" s="2509"/>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5"/>
      <c r="O106" s="2515"/>
      <c r="P106" s="2524"/>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5"/>
      <c r="O108" s="2515"/>
      <c r="P108" s="2524"/>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5"/>
      <c r="O115" s="2515"/>
      <c r="P115" s="2524"/>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5"/>
      <c r="O117" s="2515"/>
      <c r="P117" s="2524"/>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3"/>
      <c r="R118" s="2482"/>
      <c r="S118" s="2482"/>
      <c r="T118" s="2482"/>
      <c r="U118" s="2482"/>
      <c r="V118" s="2482"/>
      <c r="W118" s="2482"/>
      <c r="X118" s="2482"/>
      <c r="Y118" s="2482"/>
      <c r="Z118" s="2482"/>
      <c r="AA118" s="2482"/>
      <c r="AB118" s="2482"/>
      <c r="AC118" s="2482"/>
    </row>
    <row r="119" spans="1:29" ht="15" thickTop="1">
      <c r="A119" s="409"/>
      <c r="B119" s="559" t="s">
        <v>1825</v>
      </c>
      <c r="C119" s="513"/>
      <c r="D119" s="513"/>
      <c r="E119" s="513"/>
      <c r="F119" s="513"/>
      <c r="G119" s="513"/>
      <c r="H119" s="513"/>
      <c r="I119" s="513"/>
      <c r="J119" s="513"/>
      <c r="K119" s="513"/>
      <c r="L119" s="1813"/>
      <c r="M119" s="1814"/>
      <c r="N119" s="2516"/>
      <c r="O119" s="2516"/>
      <c r="P119" s="2529"/>
      <c r="Q119" s="2530"/>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5"/>
      <c r="O123" s="2515"/>
      <c r="P123" s="2524"/>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7"/>
      <c r="O127" s="2517"/>
      <c r="P127" s="2525"/>
      <c r="Q127" s="2509"/>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7"/>
      <c r="O128" s="2517"/>
      <c r="P128" s="2525"/>
      <c r="Q128" s="2509"/>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5"/>
      <c r="O129" s="2515"/>
      <c r="P129" s="2524"/>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6"/>
      <c r="O130" s="2516"/>
      <c r="P130" s="2524"/>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5"/>
      <c r="O131" s="2515"/>
      <c r="P131" s="2524"/>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6"/>
      <c r="O132" s="2516"/>
      <c r="P132" s="2524"/>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37817.270000000004</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857"/>
      <c r="M4" s="858"/>
      <c r="N4" s="858"/>
      <c r="O4" s="858"/>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857"/>
      <c r="M5" s="858"/>
      <c r="N5" s="858"/>
      <c r="O5" s="858"/>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857"/>
      <c r="M6" s="858"/>
      <c r="N6" s="858"/>
      <c r="O6" s="858"/>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SUMIF(52:52,YEAR(E7)&amp;"-"&amp;MONTH(E7),53:53)</f>
        <v>0</v>
      </c>
      <c r="G7" s="356"/>
      <c r="H7" s="355">
        <f>SUMIF(52:52,YEAR(G7)&amp;"-"&amp;MONTH(G7),53:53)</f>
        <v>0</v>
      </c>
      <c r="I7" s="356"/>
      <c r="J7" s="355">
        <f>SUMIF(52:52,YEAR(I7)&amp;"-"&amp;MONTH(I7),53:53)</f>
        <v>0</v>
      </c>
      <c r="K7" s="38"/>
      <c r="L7" s="859"/>
      <c r="M7" s="860"/>
      <c r="N7" s="860"/>
      <c r="O7" s="860"/>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59" t="s">
        <v>1683</v>
      </c>
      <c r="Q8" s="3460"/>
      <c r="R8" s="663" t="s">
        <v>14</v>
      </c>
      <c r="S8" s="664">
        <f t="shared" si="0"/>
        <v>100</v>
      </c>
      <c r="T8" s="663" t="s">
        <v>14</v>
      </c>
      <c r="U8" s="664">
        <f t="shared" si="1"/>
        <v>100</v>
      </c>
      <c r="V8" s="663" t="s">
        <v>14</v>
      </c>
      <c r="W8" s="664">
        <f t="shared" si="2"/>
        <v>100</v>
      </c>
      <c r="X8" s="665"/>
      <c r="Y8" s="3459" t="s">
        <v>1683</v>
      </c>
      <c r="Z8" s="346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2"/>
      <c r="M10" s="863"/>
      <c r="N10" s="863"/>
      <c r="O10" s="864"/>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1"/>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28" t="s">
        <v>1691</v>
      </c>
      <c r="Q15" s="1260" t="str">
        <f t="shared" si="6"/>
        <v>产业集聚程度</v>
      </c>
      <c r="R15" s="666" t="s">
        <v>14</v>
      </c>
      <c r="S15" s="667">
        <f t="shared" si="0"/>
        <v>100</v>
      </c>
      <c r="T15" s="666" t="s">
        <v>14</v>
      </c>
      <c r="U15" s="667">
        <f t="shared" si="1"/>
        <v>100</v>
      </c>
      <c r="V15" s="666" t="s">
        <v>14</v>
      </c>
      <c r="W15" s="667">
        <f t="shared" si="2"/>
        <v>100</v>
      </c>
      <c r="X15" s="1262"/>
      <c r="Y15" s="342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429"/>
      <c r="Q16" s="1260"/>
      <c r="R16" s="666"/>
      <c r="S16" s="667"/>
      <c r="T16" s="666"/>
      <c r="U16" s="667"/>
      <c r="V16" s="666"/>
      <c r="W16" s="667"/>
      <c r="X16" s="1262"/>
      <c r="Y16" s="3429"/>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29"/>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429"/>
      <c r="Q18" s="1260"/>
      <c r="R18" s="666"/>
      <c r="S18" s="667"/>
      <c r="T18" s="666"/>
      <c r="U18" s="667"/>
      <c r="V18" s="666"/>
      <c r="W18" s="667"/>
      <c r="X18" s="1262"/>
      <c r="Y18" s="3429"/>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29"/>
      <c r="Q19" s="1260" t="str">
        <f>B19</f>
        <v>公共配套设施</v>
      </c>
      <c r="R19" s="666" t="s">
        <v>14</v>
      </c>
      <c r="S19" s="667">
        <f>F19</f>
        <v>100</v>
      </c>
      <c r="T19" s="666" t="s">
        <v>14</v>
      </c>
      <c r="U19" s="667">
        <f>H19</f>
        <v>100</v>
      </c>
      <c r="V19" s="666" t="s">
        <v>14</v>
      </c>
      <c r="W19" s="667">
        <f>J19</f>
        <v>100</v>
      </c>
      <c r="X19" s="1262"/>
      <c r="Y19" s="342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429"/>
      <c r="Q20" s="1260"/>
      <c r="R20" s="666"/>
      <c r="S20" s="667"/>
      <c r="T20" s="666"/>
      <c r="U20" s="667"/>
      <c r="V20" s="666"/>
      <c r="W20" s="667"/>
      <c r="X20" s="1262"/>
      <c r="Y20" s="3429"/>
      <c r="Z20" s="1261"/>
      <c r="AA20" s="1261">
        <v>1</v>
      </c>
      <c r="AB20" s="1261">
        <v>1</v>
      </c>
      <c r="AC20" s="1261">
        <v>1</v>
      </c>
    </row>
    <row r="21" spans="1:29" ht="41.4">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29"/>
      <c r="Q21" s="1260" t="str">
        <f>B21</f>
        <v>基础设施水平</v>
      </c>
      <c r="R21" s="666" t="s">
        <v>14</v>
      </c>
      <c r="S21" s="667">
        <f>F21</f>
        <v>100</v>
      </c>
      <c r="T21" s="666" t="s">
        <v>14</v>
      </c>
      <c r="U21" s="667">
        <f>H21</f>
        <v>100</v>
      </c>
      <c r="V21" s="666" t="s">
        <v>14</v>
      </c>
      <c r="W21" s="667">
        <f>J21</f>
        <v>100</v>
      </c>
      <c r="X21" s="1262"/>
      <c r="Y21" s="3429"/>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7"/>
      <c r="M22" s="858"/>
      <c r="N22" s="858"/>
      <c r="O22" s="866"/>
      <c r="P22" s="3429"/>
      <c r="Q22" s="1260"/>
      <c r="R22" s="666"/>
      <c r="S22" s="667"/>
      <c r="T22" s="666"/>
      <c r="U22" s="667"/>
      <c r="V22" s="666"/>
      <c r="W22" s="667"/>
      <c r="X22" s="1262"/>
      <c r="Y22" s="3429"/>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29"/>
      <c r="Q23" s="1260" t="str">
        <f>B23</f>
        <v>环境质量</v>
      </c>
      <c r="R23" s="666" t="s">
        <v>14</v>
      </c>
      <c r="S23" s="667">
        <f>F23</f>
        <v>100</v>
      </c>
      <c r="T23" s="666" t="s">
        <v>14</v>
      </c>
      <c r="U23" s="667">
        <f>H23</f>
        <v>100</v>
      </c>
      <c r="V23" s="666" t="s">
        <v>14</v>
      </c>
      <c r="W23" s="667">
        <f>J23</f>
        <v>100</v>
      </c>
      <c r="X23" s="1262"/>
      <c r="Y23" s="3429"/>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7"/>
      <c r="M24" s="858"/>
      <c r="N24" s="858"/>
      <c r="O24" s="866"/>
      <c r="P24" s="3429"/>
      <c r="Q24" s="1260"/>
      <c r="R24" s="666"/>
      <c r="S24" s="667"/>
      <c r="T24" s="666"/>
      <c r="U24" s="667"/>
      <c r="V24" s="666"/>
      <c r="W24" s="667"/>
      <c r="X24" s="1262"/>
      <c r="Y24" s="342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29"/>
      <c r="Q25" s="1260">
        <f>B25</f>
        <v>111</v>
      </c>
      <c r="R25" s="666" t="s">
        <v>14</v>
      </c>
      <c r="S25" s="667">
        <f>F25</f>
        <v>100</v>
      </c>
      <c r="T25" s="666" t="s">
        <v>14</v>
      </c>
      <c r="U25" s="667">
        <f>H25</f>
        <v>100</v>
      </c>
      <c r="V25" s="666" t="s">
        <v>14</v>
      </c>
      <c r="W25" s="667">
        <f>J25</f>
        <v>100</v>
      </c>
      <c r="X25" s="1262"/>
      <c r="Y25" s="342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29"/>
      <c r="Q26" s="1260">
        <f t="shared" ref="Q26:Q40" si="11">B26</f>
        <v>111</v>
      </c>
      <c r="R26" s="666" t="s">
        <v>14</v>
      </c>
      <c r="S26" s="667">
        <f>F26</f>
        <v>100</v>
      </c>
      <c r="T26" s="666" t="s">
        <v>14</v>
      </c>
      <c r="U26" s="667">
        <f>H26</f>
        <v>100</v>
      </c>
      <c r="V26" s="666" t="s">
        <v>14</v>
      </c>
      <c r="W26" s="667">
        <f>J26</f>
        <v>100</v>
      </c>
      <c r="X26" s="1262"/>
      <c r="Y26" s="342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29"/>
      <c r="Q27" s="530">
        <f t="shared" si="11"/>
        <v>111</v>
      </c>
      <c r="R27" s="663" t="s">
        <v>14</v>
      </c>
      <c r="S27" s="664">
        <f>F27</f>
        <v>100</v>
      </c>
      <c r="T27" s="663" t="s">
        <v>14</v>
      </c>
      <c r="U27" s="664">
        <f>H27</f>
        <v>100</v>
      </c>
      <c r="V27" s="663" t="s">
        <v>14</v>
      </c>
      <c r="W27" s="664">
        <f>J27</f>
        <v>100</v>
      </c>
      <c r="X27" s="665"/>
      <c r="Y27" s="3429"/>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29"/>
      <c r="Q28" s="1260">
        <f t="shared" si="11"/>
        <v>111</v>
      </c>
      <c r="R28" s="666" t="s">
        <v>14</v>
      </c>
      <c r="S28" s="667">
        <f t="shared" ref="S28:S40" si="12">F28</f>
        <v>100</v>
      </c>
      <c r="T28" s="666" t="s">
        <v>14</v>
      </c>
      <c r="U28" s="667">
        <f t="shared" ref="U28:U40" si="13">H28</f>
        <v>100</v>
      </c>
      <c r="V28" s="666" t="s">
        <v>14</v>
      </c>
      <c r="W28" s="667">
        <f t="shared" ref="W28:W40" si="14">J28</f>
        <v>100</v>
      </c>
      <c r="X28" s="1262"/>
      <c r="Y28" s="3429"/>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29" t="s">
        <v>1696</v>
      </c>
      <c r="Q29" s="1260" t="str">
        <f t="shared" si="11"/>
        <v>建筑类型</v>
      </c>
      <c r="R29" s="666" t="s">
        <v>14</v>
      </c>
      <c r="S29" s="667">
        <f t="shared" si="12"/>
        <v>100</v>
      </c>
      <c r="T29" s="666" t="s">
        <v>14</v>
      </c>
      <c r="U29" s="667">
        <f t="shared" si="13"/>
        <v>100</v>
      </c>
      <c r="V29" s="666" t="s">
        <v>14</v>
      </c>
      <c r="W29" s="667">
        <f t="shared" si="14"/>
        <v>100</v>
      </c>
      <c r="X29" s="1262"/>
      <c r="Y29" s="3433"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33"/>
      <c r="Q30" s="531" t="str">
        <f t="shared" si="11"/>
        <v>项目建筑规模</v>
      </c>
      <c r="R30" s="668" t="s">
        <v>14</v>
      </c>
      <c r="S30" s="669" t="e">
        <f t="shared" si="12"/>
        <v>#N/A</v>
      </c>
      <c r="T30" s="668" t="s">
        <v>14</v>
      </c>
      <c r="U30" s="669" t="e">
        <f t="shared" si="13"/>
        <v>#N/A</v>
      </c>
      <c r="V30" s="668" t="s">
        <v>14</v>
      </c>
      <c r="W30" s="669" t="e">
        <f t="shared" si="14"/>
        <v>#N/A</v>
      </c>
      <c r="X30" s="670"/>
      <c r="Y30" s="3433"/>
      <c r="Z30" s="671"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33"/>
      <c r="Q31" s="1260" t="str">
        <f t="shared" si="11"/>
        <v>建筑结构</v>
      </c>
      <c r="R31" s="666" t="s">
        <v>14</v>
      </c>
      <c r="S31" s="667">
        <f t="shared" si="12"/>
        <v>100</v>
      </c>
      <c r="T31" s="666" t="s">
        <v>14</v>
      </c>
      <c r="U31" s="667">
        <f t="shared" si="13"/>
        <v>100</v>
      </c>
      <c r="V31" s="666" t="s">
        <v>14</v>
      </c>
      <c r="W31" s="667">
        <f t="shared" si="14"/>
        <v>100</v>
      </c>
      <c r="X31" s="1262"/>
      <c r="Y31" s="3433"/>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33"/>
      <c r="Q32" s="1260" t="str">
        <f t="shared" si="11"/>
        <v>公共部分装修</v>
      </c>
      <c r="R32" s="666" t="s">
        <v>14</v>
      </c>
      <c r="S32" s="667">
        <f t="shared" si="12"/>
        <v>100</v>
      </c>
      <c r="T32" s="666" t="s">
        <v>14</v>
      </c>
      <c r="U32" s="667">
        <f t="shared" si="13"/>
        <v>100</v>
      </c>
      <c r="V32" s="666" t="s">
        <v>14</v>
      </c>
      <c r="W32" s="667">
        <f t="shared" si="14"/>
        <v>100</v>
      </c>
      <c r="X32" s="1262"/>
      <c r="Y32" s="3433"/>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33"/>
      <c r="Q33" s="1260" t="str">
        <f t="shared" si="11"/>
        <v>成新度</v>
      </c>
      <c r="R33" s="666" t="s">
        <v>14</v>
      </c>
      <c r="S33" s="667" t="e">
        <f t="shared" si="12"/>
        <v>#N/A</v>
      </c>
      <c r="T33" s="666" t="s">
        <v>14</v>
      </c>
      <c r="U33" s="667" t="e">
        <f t="shared" si="13"/>
        <v>#N/A</v>
      </c>
      <c r="V33" s="666" t="s">
        <v>14</v>
      </c>
      <c r="W33" s="667" t="e">
        <f t="shared" si="14"/>
        <v>#N/A</v>
      </c>
      <c r="X33" s="1262"/>
      <c r="Y33" s="3433"/>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33"/>
      <c r="Q34" s="530" t="str">
        <f t="shared" si="11"/>
        <v>物业管理</v>
      </c>
      <c r="R34" s="663" t="s">
        <v>14</v>
      </c>
      <c r="S34" s="664">
        <f t="shared" si="12"/>
        <v>100</v>
      </c>
      <c r="T34" s="663" t="s">
        <v>14</v>
      </c>
      <c r="U34" s="664">
        <f t="shared" si="13"/>
        <v>100</v>
      </c>
      <c r="V34" s="663" t="s">
        <v>14</v>
      </c>
      <c r="W34" s="664">
        <f t="shared" si="14"/>
        <v>100</v>
      </c>
      <c r="X34" s="665"/>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33" t="s">
        <v>1696</v>
      </c>
      <c r="Q35" s="1260" t="str">
        <f t="shared" si="11"/>
        <v>市政基础设施</v>
      </c>
      <c r="R35" s="666" t="s">
        <v>14</v>
      </c>
      <c r="S35" s="667">
        <f t="shared" si="12"/>
        <v>100</v>
      </c>
      <c r="T35" s="666" t="s">
        <v>14</v>
      </c>
      <c r="U35" s="667">
        <f t="shared" si="13"/>
        <v>100</v>
      </c>
      <c r="V35" s="666" t="s">
        <v>14</v>
      </c>
      <c r="W35" s="667">
        <f t="shared" si="14"/>
        <v>100</v>
      </c>
      <c r="X35" s="1262"/>
      <c r="Y35" s="3433"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33"/>
      <c r="Q36" s="1260" t="str">
        <f t="shared" si="11"/>
        <v>内部装修</v>
      </c>
      <c r="R36" s="666" t="s">
        <v>14</v>
      </c>
      <c r="S36" s="667">
        <f t="shared" si="12"/>
        <v>100</v>
      </c>
      <c r="T36" s="666" t="s">
        <v>14</v>
      </c>
      <c r="U36" s="667">
        <f t="shared" si="13"/>
        <v>100</v>
      </c>
      <c r="V36" s="666" t="s">
        <v>14</v>
      </c>
      <c r="W36" s="667">
        <f t="shared" si="14"/>
        <v>100</v>
      </c>
      <c r="X36" s="1262"/>
      <c r="Y36" s="3433"/>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33"/>
      <c r="Q37" s="1260" t="str">
        <f t="shared" si="11"/>
        <v>内部装修状况</v>
      </c>
      <c r="R37" s="666" t="s">
        <v>14</v>
      </c>
      <c r="S37" s="667">
        <f t="shared" si="12"/>
        <v>100</v>
      </c>
      <c r="T37" s="666" t="s">
        <v>14</v>
      </c>
      <c r="U37" s="667">
        <f t="shared" si="13"/>
        <v>100</v>
      </c>
      <c r="V37" s="666" t="s">
        <v>14</v>
      </c>
      <c r="W37" s="667">
        <f t="shared" si="14"/>
        <v>100</v>
      </c>
      <c r="X37" s="1262"/>
      <c r="Y37" s="3433"/>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33"/>
      <c r="Q38" s="531">
        <f t="shared" si="11"/>
        <v>111</v>
      </c>
      <c r="R38" s="668" t="s">
        <v>14</v>
      </c>
      <c r="S38" s="669">
        <f t="shared" si="12"/>
        <v>100</v>
      </c>
      <c r="T38" s="668" t="s">
        <v>14</v>
      </c>
      <c r="U38" s="669">
        <f t="shared" si="13"/>
        <v>100</v>
      </c>
      <c r="V38" s="668" t="s">
        <v>14</v>
      </c>
      <c r="W38" s="669">
        <f t="shared" si="14"/>
        <v>100</v>
      </c>
      <c r="X38" s="670"/>
      <c r="Y38" s="3433"/>
      <c r="Z38" s="671">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33"/>
      <c r="Q39" s="1260">
        <f t="shared" si="11"/>
        <v>111</v>
      </c>
      <c r="R39" s="666" t="s">
        <v>14</v>
      </c>
      <c r="S39" s="667">
        <f t="shared" si="12"/>
        <v>100</v>
      </c>
      <c r="T39" s="666" t="s">
        <v>14</v>
      </c>
      <c r="U39" s="667">
        <f t="shared" si="13"/>
        <v>100</v>
      </c>
      <c r="V39" s="666" t="s">
        <v>14</v>
      </c>
      <c r="W39" s="667">
        <f t="shared" si="14"/>
        <v>100</v>
      </c>
      <c r="X39" s="1262"/>
      <c r="Y39" s="3433"/>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34"/>
      <c r="Q40" s="1260">
        <f t="shared" si="11"/>
        <v>111</v>
      </c>
      <c r="R40" s="666" t="s">
        <v>14</v>
      </c>
      <c r="S40" s="667">
        <f t="shared" si="12"/>
        <v>100</v>
      </c>
      <c r="T40" s="666" t="s">
        <v>14</v>
      </c>
      <c r="U40" s="667">
        <f t="shared" si="13"/>
        <v>100</v>
      </c>
      <c r="V40" s="666" t="s">
        <v>14</v>
      </c>
      <c r="W40" s="667">
        <f t="shared" si="14"/>
        <v>100</v>
      </c>
      <c r="X40" s="1262"/>
      <c r="Y40" s="3434"/>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3"/>
      <c r="L41" s="870"/>
      <c r="M41" s="858"/>
      <c r="N41" s="858"/>
      <c r="O41" s="858"/>
      <c r="P41" s="3421" t="str">
        <f>A41</f>
        <v>成交单价（元/平方米）</v>
      </c>
      <c r="Q41" s="3421"/>
      <c r="R41" s="3422">
        <f>E41</f>
        <v>0</v>
      </c>
      <c r="S41" s="3422"/>
      <c r="T41" s="3422">
        <f>G41</f>
        <v>0</v>
      </c>
      <c r="U41" s="3422"/>
      <c r="V41" s="3422">
        <f>I41</f>
        <v>0</v>
      </c>
      <c r="W41" s="3422"/>
      <c r="X41" s="385"/>
      <c r="Y41" s="672"/>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0"/>
      <c r="M43" s="858"/>
      <c r="N43" s="858"/>
      <c r="O43" s="858"/>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7" t="s">
        <v>1798</v>
      </c>
      <c r="B51" s="385"/>
      <c r="C51" s="658"/>
      <c r="D51" s="658"/>
      <c r="E51" s="658"/>
      <c r="F51" s="659"/>
      <c r="G51" s="659"/>
      <c r="H51" s="658"/>
      <c r="I51" s="658"/>
      <c r="J51" s="658"/>
      <c r="K51" s="884"/>
      <c r="L51" s="885"/>
      <c r="M51" s="883"/>
      <c r="N51" s="883"/>
      <c r="O51" s="883"/>
      <c r="P51" s="438"/>
      <c r="Q51" s="439"/>
    </row>
    <row r="52" spans="1:17" s="442" customFormat="1" ht="14.4">
      <c r="A52" s="440" t="s">
        <v>1679</v>
      </c>
      <c r="B52" s="441"/>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2">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7"/>
      <c r="O106" s="877"/>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3329</v>
      </c>
      <c r="C1" s="1138" t="s">
        <v>1662</v>
      </c>
      <c r="D1" s="1139"/>
      <c r="E1" s="3124"/>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SUMIF(48:48,YEAR(E7)&amp;"-"&amp;MONTH(E7),49:49)</f>
        <v>0</v>
      </c>
      <c r="G7" s="356"/>
      <c r="H7" s="355">
        <f>SUMIF(48:48,YEAR(G7)&amp;"-"&amp;MONTH(G7),49:49)</f>
        <v>0</v>
      </c>
      <c r="I7" s="356"/>
      <c r="J7" s="355">
        <f>SUMIF(48:48,YEAR(I7)&amp;"-"&amp;MONTH(I7),49:49)</f>
        <v>0</v>
      </c>
      <c r="K7" s="38"/>
      <c r="L7" s="2483"/>
      <c r="M7" s="2435"/>
      <c r="N7" s="2435"/>
      <c r="O7" s="2435"/>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36" si="3">D8/F8</f>
        <v>1</v>
      </c>
      <c r="AB8" s="50">
        <f t="shared" ref="AB8:AB36" si="4">D8/H8</f>
        <v>1</v>
      </c>
      <c r="AC8" s="50">
        <f t="shared" ref="AC8:AC36" si="5">D8/J8</f>
        <v>1</v>
      </c>
    </row>
    <row r="9" spans="1:29" s="102" customFormat="1" ht="14.4">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21"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8.8">
      <c r="A10" s="564"/>
      <c r="B10" s="565"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4"/>
      <c r="M10" s="2485"/>
      <c r="N10" s="2485"/>
      <c r="O10" s="2485"/>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21"/>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96.6">
      <c r="A14" s="345" t="s">
        <v>1690</v>
      </c>
      <c r="B14" s="553" t="s">
        <v>1833</v>
      </c>
      <c r="C14" s="1816" t="str">
        <f>IF(B1="工业",估价对象房地状况!G4,估价对象房地状况!C6)</f>
        <v>周边有466、484、593路及地铁5号，周边道路密集，停车便捷程度，综合评价交通便捷度较好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28" t="s">
        <v>1691</v>
      </c>
      <c r="Q14" s="1260" t="str">
        <f t="shared" si="6"/>
        <v>交通便捷度</v>
      </c>
      <c r="R14" s="666" t="s">
        <v>14</v>
      </c>
      <c r="S14" s="667">
        <f t="shared" si="0"/>
        <v>100</v>
      </c>
      <c r="T14" s="666" t="s">
        <v>14</v>
      </c>
      <c r="U14" s="667">
        <f t="shared" si="1"/>
        <v>100</v>
      </c>
      <c r="V14" s="666" t="s">
        <v>14</v>
      </c>
      <c r="W14" s="667">
        <f t="shared" si="2"/>
        <v>100</v>
      </c>
      <c r="X14" s="1262"/>
      <c r="Y14" s="3428" t="s">
        <v>1691</v>
      </c>
      <c r="Z14" s="1261" t="str">
        <f t="shared" si="7"/>
        <v>交通便捷度</v>
      </c>
      <c r="AA14" s="1261">
        <f t="shared" si="3"/>
        <v>1</v>
      </c>
      <c r="AB14" s="1261">
        <f t="shared" si="4"/>
        <v>1</v>
      </c>
      <c r="AC14" s="1261">
        <f t="shared" si="5"/>
        <v>1</v>
      </c>
    </row>
    <row r="15" spans="1:29" ht="15">
      <c r="A15" s="348"/>
      <c r="B15" s="570"/>
      <c r="C15" s="386"/>
      <c r="D15" s="387"/>
      <c r="E15" s="386"/>
      <c r="F15" s="388"/>
      <c r="G15" s="386"/>
      <c r="H15" s="389"/>
      <c r="I15" s="386"/>
      <c r="J15" s="387"/>
      <c r="K15" s="541"/>
      <c r="L15" s="2487"/>
      <c r="M15" s="2482"/>
      <c r="N15" s="2482"/>
      <c r="O15" s="2482"/>
      <c r="P15" s="3429"/>
      <c r="Q15" s="1260"/>
      <c r="R15" s="666"/>
      <c r="S15" s="667"/>
      <c r="T15" s="666"/>
      <c r="U15" s="667"/>
      <c r="V15" s="666"/>
      <c r="W15" s="667"/>
      <c r="X15" s="1262"/>
      <c r="Y15" s="3429"/>
      <c r="Z15" s="1261"/>
      <c r="AA15" s="1261">
        <v>1</v>
      </c>
      <c r="AB15" s="1261">
        <v>1</v>
      </c>
      <c r="AC15" s="1261">
        <v>1</v>
      </c>
    </row>
    <row r="16" spans="1:29" ht="96.6">
      <c r="A16" s="348"/>
      <c r="B16" s="555" t="s">
        <v>1812</v>
      </c>
      <c r="C16" s="1751"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29"/>
      <c r="Q16" s="1260" t="str">
        <f>B16</f>
        <v>公共配套设施</v>
      </c>
      <c r="R16" s="666" t="s">
        <v>14</v>
      </c>
      <c r="S16" s="667">
        <f>F16</f>
        <v>100</v>
      </c>
      <c r="T16" s="666" t="s">
        <v>14</v>
      </c>
      <c r="U16" s="667">
        <f>H16</f>
        <v>100</v>
      </c>
      <c r="V16" s="666" t="s">
        <v>14</v>
      </c>
      <c r="W16" s="667">
        <f>J16</f>
        <v>100</v>
      </c>
      <c r="X16" s="1262"/>
      <c r="Y16" s="3429"/>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7"/>
      <c r="M17" s="2482"/>
      <c r="N17" s="2482"/>
      <c r="O17" s="2482"/>
      <c r="P17" s="3429"/>
      <c r="Q17" s="1260"/>
      <c r="R17" s="666"/>
      <c r="S17" s="667"/>
      <c r="T17" s="666"/>
      <c r="U17" s="667"/>
      <c r="V17" s="666"/>
      <c r="W17" s="667"/>
      <c r="X17" s="1262"/>
      <c r="Y17" s="3429"/>
      <c r="Z17" s="1261"/>
      <c r="AA17" s="1261">
        <v>1</v>
      </c>
      <c r="AB17" s="1261">
        <v>1</v>
      </c>
      <c r="AC17" s="1261">
        <v>1</v>
      </c>
    </row>
    <row r="18" spans="1:29" ht="41.4">
      <c r="A18" s="348"/>
      <c r="B18" s="556" t="s">
        <v>1813</v>
      </c>
      <c r="C18" s="1751"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29"/>
      <c r="Q18" s="1260" t="str">
        <f>B18</f>
        <v>基础设施水平</v>
      </c>
      <c r="R18" s="666" t="s">
        <v>14</v>
      </c>
      <c r="S18" s="667">
        <f>F18</f>
        <v>100</v>
      </c>
      <c r="T18" s="666" t="s">
        <v>14</v>
      </c>
      <c r="U18" s="667">
        <f>H18</f>
        <v>100</v>
      </c>
      <c r="V18" s="666" t="s">
        <v>14</v>
      </c>
      <c r="W18" s="667">
        <f>J18</f>
        <v>100</v>
      </c>
      <c r="X18" s="1262"/>
      <c r="Y18" s="3429"/>
      <c r="Z18" s="1261" t="str">
        <f>Q18</f>
        <v>基础设施水平</v>
      </c>
      <c r="AA18" s="1261">
        <f t="shared" ref="AA18" si="8">D18/F18</f>
        <v>1</v>
      </c>
      <c r="AB18" s="1261">
        <f t="shared" ref="AB18" si="9">D18/H18</f>
        <v>1</v>
      </c>
      <c r="AC18" s="1261">
        <f t="shared" ref="AC18" si="10">D18/J18</f>
        <v>1</v>
      </c>
    </row>
    <row r="19" spans="1:29" ht="15">
      <c r="A19" s="348"/>
      <c r="B19" s="556"/>
      <c r="C19" s="1752"/>
      <c r="D19" s="389"/>
      <c r="E19" s="1752"/>
      <c r="F19" s="392"/>
      <c r="G19" s="1752"/>
      <c r="H19" s="387"/>
      <c r="I19" s="386"/>
      <c r="J19" s="387"/>
      <c r="K19" s="1061"/>
      <c r="L19" s="2487"/>
      <c r="M19" s="2482"/>
      <c r="N19" s="2482"/>
      <c r="O19" s="2482"/>
      <c r="P19" s="3429"/>
      <c r="Q19" s="1260"/>
      <c r="R19" s="666"/>
      <c r="S19" s="667"/>
      <c r="T19" s="666"/>
      <c r="U19" s="667"/>
      <c r="V19" s="666"/>
      <c r="W19" s="667"/>
      <c r="X19" s="1262"/>
      <c r="Y19" s="3429"/>
      <c r="Z19" s="1261"/>
      <c r="AA19" s="1261">
        <v>1</v>
      </c>
      <c r="AB19" s="1261">
        <v>1</v>
      </c>
      <c r="AC19" s="1261">
        <v>1</v>
      </c>
    </row>
    <row r="20" spans="1:29" ht="82.8">
      <c r="A20" s="348"/>
      <c r="B20" s="555" t="s">
        <v>1834</v>
      </c>
      <c r="C20" s="1751" t="str">
        <f>IF(B1="工业",估价对象房地状况!G7,估价对象房地状况!C9)</f>
        <v>区域内有奥森公园等自然及人文环境，综合评价自然及人文环境状况较好。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29"/>
      <c r="Q20" s="1260" t="str">
        <f>B20</f>
        <v>自然及人文环境</v>
      </c>
      <c r="R20" s="666" t="s">
        <v>14</v>
      </c>
      <c r="S20" s="667">
        <f>F20</f>
        <v>100</v>
      </c>
      <c r="T20" s="666" t="s">
        <v>14</v>
      </c>
      <c r="U20" s="667">
        <f>H20</f>
        <v>100</v>
      </c>
      <c r="V20" s="666" t="s">
        <v>14</v>
      </c>
      <c r="W20" s="667">
        <f>J20</f>
        <v>100</v>
      </c>
      <c r="X20" s="1262"/>
      <c r="Y20" s="3429"/>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7"/>
      <c r="M21" s="2482"/>
      <c r="N21" s="2482"/>
      <c r="O21" s="2482"/>
      <c r="P21" s="3429"/>
      <c r="Q21" s="1260"/>
      <c r="R21" s="666"/>
      <c r="S21" s="667"/>
      <c r="T21" s="666"/>
      <c r="U21" s="667"/>
      <c r="V21" s="666"/>
      <c r="W21" s="667"/>
      <c r="X21" s="1262"/>
      <c r="Y21" s="3429"/>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29"/>
      <c r="Q22" s="1260" t="str">
        <f>B22</f>
        <v>楼层</v>
      </c>
      <c r="R22" s="666" t="s">
        <v>14</v>
      </c>
      <c r="S22" s="667">
        <f>F22</f>
        <v>100</v>
      </c>
      <c r="T22" s="666" t="s">
        <v>14</v>
      </c>
      <c r="U22" s="667">
        <f>H22</f>
        <v>100</v>
      </c>
      <c r="V22" s="666" t="s">
        <v>14</v>
      </c>
      <c r="W22" s="667">
        <f>J22</f>
        <v>100</v>
      </c>
      <c r="X22" s="1262"/>
      <c r="Y22" s="3429"/>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29"/>
      <c r="Q23" s="1260">
        <f>B23</f>
        <v>111</v>
      </c>
      <c r="R23" s="666" t="s">
        <v>14</v>
      </c>
      <c r="S23" s="667">
        <f>F23</f>
        <v>100</v>
      </c>
      <c r="T23" s="666" t="s">
        <v>14</v>
      </c>
      <c r="U23" s="667">
        <f>H23</f>
        <v>100</v>
      </c>
      <c r="V23" s="666" t="s">
        <v>14</v>
      </c>
      <c r="W23" s="667">
        <f>J23</f>
        <v>100</v>
      </c>
      <c r="X23" s="1262"/>
      <c r="Y23" s="3429"/>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29"/>
      <c r="Q24" s="1260">
        <f t="shared" ref="Q24:Q36" si="11">B24</f>
        <v>111</v>
      </c>
      <c r="R24" s="666" t="s">
        <v>14</v>
      </c>
      <c r="S24" s="667">
        <f>F24</f>
        <v>100</v>
      </c>
      <c r="T24" s="666" t="s">
        <v>14</v>
      </c>
      <c r="U24" s="667">
        <f>H24</f>
        <v>100</v>
      </c>
      <c r="V24" s="666" t="s">
        <v>14</v>
      </c>
      <c r="W24" s="667">
        <f>J24</f>
        <v>100</v>
      </c>
      <c r="X24" s="1262"/>
      <c r="Y24" s="3429"/>
      <c r="Z24" s="1261">
        <f>Q24</f>
        <v>111</v>
      </c>
      <c r="AA24" s="1261">
        <f t="shared" si="3"/>
        <v>1</v>
      </c>
      <c r="AB24" s="1261">
        <f t="shared" si="4"/>
        <v>1</v>
      </c>
      <c r="AC24" s="1261">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5"/>
      <c r="N25" s="2435"/>
      <c r="O25" s="2435"/>
      <c r="P25" s="3429"/>
      <c r="Q25" s="530">
        <f t="shared" si="11"/>
        <v>111</v>
      </c>
      <c r="R25" s="663" t="s">
        <v>14</v>
      </c>
      <c r="S25" s="664">
        <f>F25</f>
        <v>100</v>
      </c>
      <c r="T25" s="663" t="s">
        <v>14</v>
      </c>
      <c r="U25" s="664">
        <f>H25</f>
        <v>100</v>
      </c>
      <c r="V25" s="663" t="s">
        <v>14</v>
      </c>
      <c r="W25" s="664">
        <f>J25</f>
        <v>100</v>
      </c>
      <c r="X25" s="665"/>
      <c r="Y25" s="3429"/>
      <c r="Z25" s="50">
        <f>Q25</f>
        <v>111</v>
      </c>
      <c r="AA25" s="1261">
        <f>D25/F25</f>
        <v>1</v>
      </c>
      <c r="AB25" s="1261">
        <f>D25/H25</f>
        <v>1</v>
      </c>
      <c r="AC25" s="1261">
        <f>D25/J25</f>
        <v>1</v>
      </c>
    </row>
    <row r="26" spans="1:29" ht="30">
      <c r="A26" s="573"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9"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33" t="s">
        <v>1696</v>
      </c>
      <c r="Z26" s="1261" t="str">
        <f t="shared" ref="Z26:Z36" si="15">Q26</f>
        <v>配套类型</v>
      </c>
      <c r="AA26" s="1261" t="e">
        <f t="shared" si="3"/>
        <v>#DIV/0!</v>
      </c>
      <c r="AB26" s="1261" t="e">
        <f t="shared" si="4"/>
        <v>#DIV/0!</v>
      </c>
      <c r="AC26" s="1261"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33"/>
      <c r="Q27" s="531" t="str">
        <f t="shared" si="11"/>
        <v>项目停车位配比</v>
      </c>
      <c r="R27" s="668" t="s">
        <v>14</v>
      </c>
      <c r="S27" s="669">
        <f t="shared" si="12"/>
        <v>100</v>
      </c>
      <c r="T27" s="668" t="s">
        <v>14</v>
      </c>
      <c r="U27" s="669">
        <f t="shared" si="13"/>
        <v>100</v>
      </c>
      <c r="V27" s="668" t="s">
        <v>14</v>
      </c>
      <c r="W27" s="669">
        <f t="shared" si="14"/>
        <v>100</v>
      </c>
      <c r="X27" s="670"/>
      <c r="Y27" s="3433"/>
      <c r="Z27" s="671" t="str">
        <f t="shared" si="15"/>
        <v>项目停车位配比</v>
      </c>
      <c r="AA27" s="1261">
        <f t="shared" si="3"/>
        <v>1</v>
      </c>
      <c r="AB27" s="1261">
        <f t="shared" si="4"/>
        <v>1</v>
      </c>
      <c r="AC27" s="1261">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33"/>
      <c r="Q28" s="1260" t="str">
        <f t="shared" si="11"/>
        <v>公共部分装修</v>
      </c>
      <c r="R28" s="666" t="s">
        <v>14</v>
      </c>
      <c r="S28" s="667">
        <f t="shared" si="12"/>
        <v>100</v>
      </c>
      <c r="T28" s="666" t="s">
        <v>14</v>
      </c>
      <c r="U28" s="667">
        <f t="shared" si="13"/>
        <v>100</v>
      </c>
      <c r="V28" s="666" t="s">
        <v>14</v>
      </c>
      <c r="W28" s="667">
        <f t="shared" si="14"/>
        <v>100</v>
      </c>
      <c r="X28" s="1262"/>
      <c r="Y28" s="3433"/>
      <c r="Z28" s="1261" t="str">
        <f t="shared" si="15"/>
        <v>公共部分装修</v>
      </c>
      <c r="AA28" s="1261">
        <f t="shared" si="3"/>
        <v>1</v>
      </c>
      <c r="AB28" s="1261">
        <f t="shared" si="4"/>
        <v>1</v>
      </c>
      <c r="AC28" s="1261">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33"/>
      <c r="Q29" s="1260" t="str">
        <f t="shared" si="11"/>
        <v>成新率</v>
      </c>
      <c r="R29" s="666" t="s">
        <v>14</v>
      </c>
      <c r="S29" s="667" t="e">
        <f t="shared" si="12"/>
        <v>#N/A</v>
      </c>
      <c r="T29" s="666" t="s">
        <v>14</v>
      </c>
      <c r="U29" s="667" t="e">
        <f t="shared" si="13"/>
        <v>#N/A</v>
      </c>
      <c r="V29" s="666" t="s">
        <v>14</v>
      </c>
      <c r="W29" s="667" t="e">
        <f t="shared" si="14"/>
        <v>#N/A</v>
      </c>
      <c r="X29" s="1262"/>
      <c r="Y29" s="3433"/>
      <c r="Z29" s="1261" t="str">
        <f t="shared" si="15"/>
        <v>成新率</v>
      </c>
      <c r="AA29" s="1261" t="e">
        <f t="shared" si="3"/>
        <v>#N/A</v>
      </c>
      <c r="AB29" s="1261" t="e">
        <f t="shared" si="4"/>
        <v>#N/A</v>
      </c>
      <c r="AC29" s="1261"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33"/>
      <c r="Q30" s="1260" t="str">
        <f t="shared" si="11"/>
        <v>物业等级</v>
      </c>
      <c r="R30" s="666" t="s">
        <v>14</v>
      </c>
      <c r="S30" s="667">
        <f t="shared" si="12"/>
        <v>100</v>
      </c>
      <c r="T30" s="666" t="s">
        <v>14</v>
      </c>
      <c r="U30" s="667">
        <f t="shared" si="13"/>
        <v>100</v>
      </c>
      <c r="V30" s="666" t="s">
        <v>14</v>
      </c>
      <c r="W30" s="667">
        <f t="shared" si="14"/>
        <v>100</v>
      </c>
      <c r="X30" s="1262"/>
      <c r="Y30" s="3433"/>
      <c r="Z30" s="1261" t="str">
        <f t="shared" si="15"/>
        <v>物业等级</v>
      </c>
      <c r="AA30" s="1261">
        <f t="shared" si="3"/>
        <v>1</v>
      </c>
      <c r="AB30" s="1261">
        <f t="shared" si="4"/>
        <v>1</v>
      </c>
      <c r="AC30" s="1261">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33"/>
      <c r="Q31" s="530" t="str">
        <f t="shared" si="11"/>
        <v>停车位面积</v>
      </c>
      <c r="R31" s="663" t="s">
        <v>14</v>
      </c>
      <c r="S31" s="664" t="e">
        <f t="shared" si="12"/>
        <v>#N/A</v>
      </c>
      <c r="T31" s="663" t="s">
        <v>14</v>
      </c>
      <c r="U31" s="664" t="e">
        <f t="shared" si="13"/>
        <v>#N/A</v>
      </c>
      <c r="V31" s="663" t="s">
        <v>14</v>
      </c>
      <c r="W31" s="664" t="e">
        <f t="shared" si="14"/>
        <v>#N/A</v>
      </c>
      <c r="X31" s="665"/>
      <c r="Y31" s="3433"/>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33" t="s">
        <v>1696</v>
      </c>
      <c r="Q32" s="1260" t="str">
        <f t="shared" si="11"/>
        <v>车位类型</v>
      </c>
      <c r="R32" s="666" t="s">
        <v>14</v>
      </c>
      <c r="S32" s="667">
        <f t="shared" si="12"/>
        <v>100</v>
      </c>
      <c r="T32" s="666" t="s">
        <v>14</v>
      </c>
      <c r="U32" s="667">
        <f t="shared" si="13"/>
        <v>100</v>
      </c>
      <c r="V32" s="666" t="s">
        <v>14</v>
      </c>
      <c r="W32" s="667">
        <f t="shared" si="14"/>
        <v>100</v>
      </c>
      <c r="X32" s="1262"/>
      <c r="Y32" s="3433" t="s">
        <v>1696</v>
      </c>
      <c r="Z32" s="1261" t="str">
        <f t="shared" si="15"/>
        <v>车位类型</v>
      </c>
      <c r="AA32" s="1261">
        <f t="shared" si="3"/>
        <v>1</v>
      </c>
      <c r="AB32" s="1261">
        <f t="shared" si="4"/>
        <v>1</v>
      </c>
      <c r="AC32" s="1261">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33"/>
      <c r="Q33" s="1260" t="str">
        <f t="shared" si="11"/>
        <v>是否直接入户</v>
      </c>
      <c r="R33" s="666" t="s">
        <v>14</v>
      </c>
      <c r="S33" s="667">
        <f t="shared" si="12"/>
        <v>100</v>
      </c>
      <c r="T33" s="666" t="s">
        <v>14</v>
      </c>
      <c r="U33" s="667">
        <f t="shared" si="13"/>
        <v>100</v>
      </c>
      <c r="V33" s="666" t="s">
        <v>14</v>
      </c>
      <c r="W33" s="667">
        <f t="shared" si="14"/>
        <v>100</v>
      </c>
      <c r="X33" s="1262"/>
      <c r="Y33" s="3433"/>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33"/>
      <c r="Q34" s="1260">
        <f t="shared" si="11"/>
        <v>111</v>
      </c>
      <c r="R34" s="666" t="s">
        <v>14</v>
      </c>
      <c r="S34" s="667">
        <f t="shared" si="12"/>
        <v>100</v>
      </c>
      <c r="T34" s="666" t="s">
        <v>14</v>
      </c>
      <c r="U34" s="667">
        <f t="shared" si="13"/>
        <v>100</v>
      </c>
      <c r="V34" s="666" t="s">
        <v>14</v>
      </c>
      <c r="W34" s="667">
        <f t="shared" si="14"/>
        <v>100</v>
      </c>
      <c r="X34" s="1262"/>
      <c r="Y34" s="3433"/>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33"/>
      <c r="Q35" s="531">
        <f t="shared" si="11"/>
        <v>111</v>
      </c>
      <c r="R35" s="668" t="s">
        <v>14</v>
      </c>
      <c r="S35" s="669">
        <f t="shared" si="12"/>
        <v>100</v>
      </c>
      <c r="T35" s="668" t="s">
        <v>14</v>
      </c>
      <c r="U35" s="669">
        <f t="shared" si="13"/>
        <v>100</v>
      </c>
      <c r="V35" s="668" t="s">
        <v>14</v>
      </c>
      <c r="W35" s="669">
        <f t="shared" si="14"/>
        <v>100</v>
      </c>
      <c r="X35" s="670"/>
      <c r="Y35" s="3433"/>
      <c r="Z35" s="671">
        <f t="shared" si="15"/>
        <v>111</v>
      </c>
      <c r="AA35" s="1261">
        <f t="shared" si="3"/>
        <v>1</v>
      </c>
      <c r="AB35" s="1261">
        <f t="shared" si="4"/>
        <v>1</v>
      </c>
      <c r="AC35" s="1261">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33"/>
      <c r="Q36" s="1260">
        <f t="shared" si="11"/>
        <v>111</v>
      </c>
      <c r="R36" s="666" t="s">
        <v>14</v>
      </c>
      <c r="S36" s="667">
        <f t="shared" si="12"/>
        <v>100</v>
      </c>
      <c r="T36" s="666" t="s">
        <v>14</v>
      </c>
      <c r="U36" s="667">
        <f t="shared" si="13"/>
        <v>100</v>
      </c>
      <c r="V36" s="666" t="s">
        <v>14</v>
      </c>
      <c r="W36" s="667">
        <f t="shared" si="14"/>
        <v>100</v>
      </c>
      <c r="X36" s="1262"/>
      <c r="Y36" s="3433"/>
      <c r="Z36" s="1261">
        <f t="shared" si="15"/>
        <v>111</v>
      </c>
      <c r="AA36" s="1261">
        <f t="shared" si="3"/>
        <v>1</v>
      </c>
      <c r="AB36" s="1261">
        <f t="shared" si="4"/>
        <v>1</v>
      </c>
      <c r="AC36" s="1261">
        <f t="shared" si="5"/>
        <v>1</v>
      </c>
    </row>
    <row r="37" spans="1:29" ht="14.4">
      <c r="A37" s="416" t="s">
        <v>1844</v>
      </c>
      <c r="B37" s="1818" t="s">
        <v>3350</v>
      </c>
      <c r="C37" s="1078" t="s">
        <v>0</v>
      </c>
      <c r="D37" s="418"/>
      <c r="E37" s="419"/>
      <c r="F37" s="420"/>
      <c r="G37" s="421"/>
      <c r="H37" s="422"/>
      <c r="I37" s="419"/>
      <c r="J37" s="422"/>
      <c r="K37" s="544"/>
      <c r="L37" s="2489"/>
      <c r="M37" s="2482"/>
      <c r="N37" s="2482"/>
      <c r="O37" s="2482"/>
      <c r="P37" s="3421" t="str">
        <f>A37</f>
        <v>成交单价</v>
      </c>
      <c r="Q37" s="3421"/>
      <c r="R37" s="3422">
        <f>E37</f>
        <v>0</v>
      </c>
      <c r="S37" s="3422"/>
      <c r="T37" s="3422">
        <f>G37</f>
        <v>0</v>
      </c>
      <c r="U37" s="3422"/>
      <c r="V37" s="3422">
        <f>I37</f>
        <v>0</v>
      </c>
      <c r="W37" s="3422"/>
      <c r="X37" s="385"/>
      <c r="Y37" s="672"/>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5"/>
      <c r="L39" s="2489"/>
      <c r="M39" s="2482"/>
      <c r="N39" s="2482"/>
      <c r="O39" s="2482"/>
      <c r="P39" s="3423" t="str">
        <f>A39</f>
        <v>估价对象XX用房的比较价值（楼面单价，元/平方米）</v>
      </c>
      <c r="Q39" s="3424"/>
      <c r="R39" s="3530" t="e">
        <f>IF(F1="售价",ROUND(IF(D38="简单平均",AVERAGE(R38:W38),R38*F38+T38*H38+V38*J38),0),ROUND(IF(D38="简单平均",AVERAGE(R38:V38),R38*F38+T38*H38+V38*J38),1))</f>
        <v>#DIV/0!</v>
      </c>
      <c r="S39" s="3530"/>
      <c r="T39" s="3530"/>
      <c r="U39" s="3530"/>
      <c r="V39" s="3530"/>
      <c r="W39" s="353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8"/>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8"/>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8"/>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8"/>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19"/>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19"/>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8"/>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1"/>
      <c r="O47" s="2531"/>
      <c r="P47" s="2520"/>
      <c r="Q47" s="2503"/>
      <c r="R47" s="2482"/>
      <c r="S47" s="2482"/>
      <c r="T47" s="2482"/>
      <c r="U47" s="2482"/>
      <c r="V47" s="2482"/>
      <c r="W47" s="2482"/>
      <c r="X47" s="2482"/>
      <c r="Y47" s="2482"/>
      <c r="Z47" s="2482"/>
      <c r="AA47" s="2482"/>
      <c r="AB47" s="2482"/>
      <c r="AC47" s="2482"/>
    </row>
    <row r="48" spans="1:29" s="442" customFormat="1" ht="14.4">
      <c r="A48" s="440" t="s">
        <v>1851</v>
      </c>
      <c r="B48" s="441"/>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2" customFormat="1">
      <c r="A49" s="443"/>
      <c r="B49" s="444"/>
      <c r="C49" s="1094">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3"/>
      <c r="R51" s="2435"/>
      <c r="S51" s="2435"/>
      <c r="T51" s="2435"/>
      <c r="U51" s="2435"/>
      <c r="V51" s="2435"/>
      <c r="W51" s="2435"/>
      <c r="X51" s="2435"/>
      <c r="Y51" s="2435"/>
      <c r="Z51" s="2435"/>
      <c r="AA51" s="2435"/>
      <c r="AB51" s="2435"/>
      <c r="AC51" s="2435"/>
    </row>
    <row r="52" spans="1:29" s="102" customFormat="1" ht="14.4" thickBot="1">
      <c r="A52" s="455"/>
      <c r="B52" s="444"/>
      <c r="C52" s="562">
        <v>100</v>
      </c>
      <c r="D52" s="446"/>
      <c r="E52" s="446"/>
      <c r="F52" s="446"/>
      <c r="G52" s="446"/>
      <c r="H52" s="446"/>
      <c r="I52" s="446"/>
      <c r="J52" s="446"/>
      <c r="K52" s="446"/>
      <c r="L52" s="446"/>
      <c r="M52" s="448"/>
      <c r="N52" s="2514"/>
      <c r="O52" s="2514"/>
      <c r="P52" s="2522"/>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6"/>
      <c r="O54" s="2516"/>
      <c r="P54" s="2524"/>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5"/>
      <c r="O55" s="2515"/>
      <c r="P55" s="2524"/>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6"/>
      <c r="O56" s="2516"/>
      <c r="P56" s="2524"/>
      <c r="Q56" s="2503"/>
      <c r="R56" s="2482"/>
      <c r="S56" s="2482"/>
      <c r="T56" s="2482"/>
      <c r="U56" s="2482"/>
      <c r="V56" s="2482"/>
      <c r="W56" s="2482"/>
      <c r="X56" s="2482"/>
      <c r="Y56" s="2482"/>
      <c r="Z56" s="2482"/>
      <c r="AA56" s="2482"/>
      <c r="AB56" s="2482"/>
      <c r="AC56" s="2482"/>
    </row>
    <row r="57" spans="1:29" ht="14.4" thickTop="1">
      <c r="A57" s="367"/>
      <c r="B57" s="580">
        <f>B11</f>
        <v>111</v>
      </c>
      <c r="C57" s="480"/>
      <c r="D57" s="480"/>
      <c r="E57" s="480"/>
      <c r="F57" s="480"/>
      <c r="G57" s="480"/>
      <c r="H57" s="480"/>
      <c r="I57" s="480"/>
      <c r="J57" s="480"/>
      <c r="K57" s="481"/>
      <c r="L57" s="482"/>
      <c r="M57" s="483"/>
      <c r="N57" s="2515"/>
      <c r="O57" s="2515"/>
      <c r="P57" s="2524"/>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6"/>
      <c r="O58" s="2516"/>
      <c r="P58" s="2524"/>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6"/>
      <c r="O60" s="2516"/>
      <c r="P60" s="2525"/>
      <c r="Q60" s="2509"/>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7"/>
      <c r="O62" s="2517"/>
      <c r="P62" s="2525"/>
      <c r="Q62" s="2509"/>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3"/>
      <c r="R66" s="2482"/>
      <c r="S66" s="2482"/>
      <c r="T66" s="2482"/>
      <c r="U66" s="2482"/>
      <c r="V66" s="2482"/>
      <c r="W66" s="2482"/>
      <c r="X66" s="2482"/>
      <c r="Y66" s="2482"/>
      <c r="Z66" s="2482"/>
      <c r="AA66" s="2482"/>
      <c r="AB66" s="2482"/>
      <c r="AC66" s="2482"/>
    </row>
    <row r="67" spans="1:29" ht="15" thickTop="1">
      <c r="A67" s="367"/>
      <c r="B67" s="477" t="s">
        <v>1813</v>
      </c>
      <c r="C67" s="580" t="s">
        <v>1799</v>
      </c>
      <c r="D67" s="580" t="s">
        <v>1800</v>
      </c>
      <c r="E67" s="580" t="s">
        <v>1801</v>
      </c>
      <c r="F67" s="580" t="s">
        <v>1802</v>
      </c>
      <c r="G67" s="580" t="s">
        <v>1803</v>
      </c>
      <c r="H67" s="470"/>
      <c r="I67" s="470"/>
      <c r="J67" s="470"/>
      <c r="K67" s="470"/>
      <c r="L67" s="470"/>
      <c r="M67" s="1060"/>
      <c r="N67" s="2516"/>
      <c r="O67" s="2516"/>
      <c r="P67" s="2524"/>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5"/>
      <c r="O71" s="2515"/>
      <c r="P71" s="2524"/>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4"/>
      <c r="O73" s="2514"/>
      <c r="P73" s="2524"/>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7"/>
      <c r="O78" s="2517"/>
      <c r="P78" s="2525"/>
      <c r="Q78" s="2509"/>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3"/>
      <c r="R80" s="2482"/>
      <c r="S80" s="2482"/>
      <c r="T80" s="2482"/>
      <c r="U80" s="2482"/>
      <c r="V80" s="2482"/>
      <c r="W80" s="2482"/>
      <c r="X80" s="2482"/>
      <c r="Y80" s="2482"/>
      <c r="Z80" s="2482"/>
      <c r="AA80" s="2482"/>
      <c r="AB80" s="2482"/>
      <c r="AC80" s="2482"/>
    </row>
    <row r="81" spans="1:29" ht="15" thickTop="1">
      <c r="A81" s="367"/>
      <c r="B81" s="469" t="s">
        <v>1854</v>
      </c>
      <c r="C81" s="581"/>
      <c r="D81" s="581"/>
      <c r="E81" s="581"/>
      <c r="F81" s="581"/>
      <c r="G81" s="581"/>
      <c r="H81" s="581"/>
      <c r="I81" s="581"/>
      <c r="J81" s="581"/>
      <c r="K81" s="582"/>
      <c r="L81" s="583"/>
      <c r="M81" s="584"/>
      <c r="N81" s="2514"/>
      <c r="O81" s="2514"/>
      <c r="P81" s="2524"/>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6"/>
      <c r="O82" s="2516"/>
      <c r="P82" s="2525"/>
      <c r="Q82" s="2509"/>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5"/>
      <c r="O83" s="2515"/>
      <c r="P83" s="2524"/>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5"/>
      <c r="O86" s="2515"/>
      <c r="P86" s="2524"/>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5"/>
      <c r="O88" s="2515"/>
      <c r="P88" s="2524"/>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7"/>
      <c r="O92" s="2517"/>
      <c r="P92" s="2525"/>
      <c r="Q92" s="2509"/>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3"/>
      <c r="R96" s="2482"/>
      <c r="S96" s="2482"/>
      <c r="T96" s="2482"/>
      <c r="U96" s="2482"/>
      <c r="V96" s="2482"/>
      <c r="W96" s="2482"/>
      <c r="X96" s="2482"/>
      <c r="Y96" s="2482"/>
      <c r="Z96" s="2482"/>
      <c r="AA96" s="2482"/>
      <c r="AB96" s="2482"/>
      <c r="AC96" s="2482"/>
    </row>
    <row r="97" spans="1:29" ht="14.4" thickTop="1">
      <c r="A97" s="409"/>
      <c r="B97" s="559">
        <f>B34</f>
        <v>111</v>
      </c>
      <c r="C97" s="480"/>
      <c r="D97" s="480"/>
      <c r="E97" s="480"/>
      <c r="F97" s="480"/>
      <c r="G97" s="485"/>
      <c r="H97" s="486"/>
      <c r="I97" s="486"/>
      <c r="J97" s="486"/>
      <c r="K97" s="486"/>
      <c r="L97" s="487"/>
      <c r="M97" s="488"/>
      <c r="N97" s="2516"/>
      <c r="O97" s="2516"/>
      <c r="P97" s="2529"/>
      <c r="Q97" s="2530"/>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6"/>
      <c r="O98" s="2516"/>
      <c r="P98" s="2524"/>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6"/>
      <c r="O102" s="2516"/>
      <c r="P102" s="2524"/>
      <c r="Q102" s="2503"/>
      <c r="R102" s="2482"/>
      <c r="S102" s="2482"/>
      <c r="T102" s="2482"/>
      <c r="U102" s="2482"/>
      <c r="V102" s="2482"/>
      <c r="W102" s="2482"/>
      <c r="X102" s="2482"/>
      <c r="Y102" s="2482"/>
      <c r="Z102" s="2482"/>
      <c r="AA102" s="2482"/>
      <c r="AB102" s="2482"/>
      <c r="AC102" s="2482"/>
    </row>
    <row r="103" spans="1:29" ht="14.4" thickTop="1">
      <c r="N103" s="2482"/>
      <c r="O103" s="2482"/>
      <c r="P103" s="2518"/>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SUMIF(46:46,YEAR(E7)&amp;"-"&amp;MONTH(E7),47:47)</f>
        <v>0</v>
      </c>
      <c r="G7" s="1819"/>
      <c r="H7" s="355">
        <f>SUMIF(46:46,YEAR(G7)&amp;"-"&amp;MONTH(G7),47:47)</f>
        <v>0</v>
      </c>
      <c r="I7" s="356"/>
      <c r="J7" s="355">
        <f>SUMIF(46:46,YEAR(I7)&amp;"-"&amp;MONTH(I7),47:47)</f>
        <v>0</v>
      </c>
      <c r="K7" s="38"/>
      <c r="L7" s="2483"/>
      <c r="M7" s="2435"/>
      <c r="N7" s="2435"/>
      <c r="O7" s="2435"/>
      <c r="P7" s="3459" t="s">
        <v>1680</v>
      </c>
      <c r="Q7" s="3461"/>
      <c r="R7" s="663" t="s">
        <v>14</v>
      </c>
      <c r="S7" s="664">
        <f t="shared" ref="S7:S14" si="0">F7</f>
        <v>0</v>
      </c>
      <c r="T7" s="663" t="s">
        <v>14</v>
      </c>
      <c r="U7" s="664">
        <f t="shared" ref="U7:U14" si="1">H7</f>
        <v>0</v>
      </c>
      <c r="V7" s="663" t="s">
        <v>14</v>
      </c>
      <c r="W7" s="664">
        <f t="shared" ref="W7:W14" si="2">J7</f>
        <v>0</v>
      </c>
      <c r="X7" s="665"/>
      <c r="Y7" s="3459" t="s">
        <v>1680</v>
      </c>
      <c r="Z7" s="346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59" t="s">
        <v>1683</v>
      </c>
      <c r="Q8" s="3460"/>
      <c r="R8" s="663" t="s">
        <v>14</v>
      </c>
      <c r="S8" s="664">
        <f t="shared" si="0"/>
        <v>100</v>
      </c>
      <c r="T8" s="663" t="s">
        <v>14</v>
      </c>
      <c r="U8" s="664">
        <f t="shared" si="1"/>
        <v>100</v>
      </c>
      <c r="V8" s="663" t="s">
        <v>14</v>
      </c>
      <c r="W8" s="664">
        <f t="shared" si="2"/>
        <v>100</v>
      </c>
      <c r="X8" s="665"/>
      <c r="Y8" s="3459" t="s">
        <v>1683</v>
      </c>
      <c r="Z8" s="346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4"/>
      <c r="P9" s="3421"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4"/>
      <c r="M10" s="2485"/>
      <c r="N10" s="2485"/>
      <c r="O10" s="2535"/>
      <c r="P10" s="3421"/>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6"/>
      <c r="P11" s="3421"/>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4"/>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周边有466、484、593路及地铁5号，周边道路密集，停车便捷程度，综合评价交通便捷度较好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6"/>
      <c r="P14" s="3428" t="s">
        <v>1691</v>
      </c>
      <c r="Q14" s="1260" t="str">
        <f t="shared" si="6"/>
        <v>交通便捷度</v>
      </c>
      <c r="R14" s="666" t="s">
        <v>14</v>
      </c>
      <c r="S14" s="667">
        <f t="shared" si="0"/>
        <v>100</v>
      </c>
      <c r="T14" s="666" t="s">
        <v>14</v>
      </c>
      <c r="U14" s="667">
        <f t="shared" si="1"/>
        <v>100</v>
      </c>
      <c r="V14" s="666" t="s">
        <v>14</v>
      </c>
      <c r="W14" s="667">
        <f t="shared" si="2"/>
        <v>100</v>
      </c>
      <c r="X14" s="1262"/>
      <c r="Y14" s="3428"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7"/>
      <c r="M15" s="2482"/>
      <c r="N15" s="2482"/>
      <c r="O15" s="2536"/>
      <c r="P15" s="3429"/>
      <c r="Q15" s="1260"/>
      <c r="R15" s="666"/>
      <c r="S15" s="667"/>
      <c r="T15" s="666"/>
      <c r="U15" s="667"/>
      <c r="V15" s="666"/>
      <c r="W15" s="667"/>
      <c r="X15" s="1262"/>
      <c r="Y15" s="3429"/>
      <c r="Z15" s="1261"/>
      <c r="AA15" s="1261">
        <v>1</v>
      </c>
      <c r="AB15" s="1261">
        <v>1</v>
      </c>
      <c r="AC15" s="1261">
        <v>1</v>
      </c>
    </row>
    <row r="16" spans="1:29" ht="96.6">
      <c r="A16" s="367"/>
      <c r="B16" s="390" t="s">
        <v>1812</v>
      </c>
      <c r="C16" s="1751"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6"/>
      <c r="P16" s="3429"/>
      <c r="Q16" s="1260" t="str">
        <f>B16</f>
        <v>公共配套设施</v>
      </c>
      <c r="R16" s="666" t="s">
        <v>14</v>
      </c>
      <c r="S16" s="667">
        <f>F16</f>
        <v>100</v>
      </c>
      <c r="T16" s="666" t="s">
        <v>14</v>
      </c>
      <c r="U16" s="667">
        <f>H16</f>
        <v>100</v>
      </c>
      <c r="V16" s="666" t="s">
        <v>14</v>
      </c>
      <c r="W16" s="667">
        <f>J16</f>
        <v>100</v>
      </c>
      <c r="X16" s="1262"/>
      <c r="Y16" s="3429"/>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7"/>
      <c r="M17" s="2482"/>
      <c r="N17" s="2482"/>
      <c r="O17" s="2536"/>
      <c r="P17" s="3429"/>
      <c r="Q17" s="1260"/>
      <c r="R17" s="666"/>
      <c r="S17" s="667"/>
      <c r="T17" s="666"/>
      <c r="U17" s="667"/>
      <c r="V17" s="666"/>
      <c r="W17" s="667"/>
      <c r="X17" s="1262"/>
      <c r="Y17" s="3429"/>
      <c r="Z17" s="1261"/>
      <c r="AA17" s="1261">
        <v>1</v>
      </c>
      <c r="AB17" s="1261">
        <v>1</v>
      </c>
      <c r="AC17" s="1261">
        <v>1</v>
      </c>
    </row>
    <row r="18" spans="1:29" ht="41.4">
      <c r="A18" s="367"/>
      <c r="B18" s="585" t="s">
        <v>1813</v>
      </c>
      <c r="C18" s="1751"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6"/>
      <c r="P18" s="3429"/>
      <c r="Q18" s="1260" t="str">
        <f>B18</f>
        <v>基础设施水平</v>
      </c>
      <c r="R18" s="666" t="s">
        <v>14</v>
      </c>
      <c r="S18" s="667">
        <f>F18</f>
        <v>100</v>
      </c>
      <c r="T18" s="666" t="s">
        <v>14</v>
      </c>
      <c r="U18" s="667">
        <f>H18</f>
        <v>100</v>
      </c>
      <c r="V18" s="666" t="s">
        <v>14</v>
      </c>
      <c r="W18" s="667">
        <f>J18</f>
        <v>100</v>
      </c>
      <c r="X18" s="1262"/>
      <c r="Y18" s="3429"/>
      <c r="Z18" s="1261" t="str">
        <f>Q18</f>
        <v>基础设施水平</v>
      </c>
      <c r="AA18" s="1261">
        <f t="shared" ref="AA18" si="8">D18/F18</f>
        <v>1</v>
      </c>
      <c r="AB18" s="1261">
        <f t="shared" ref="AB18" si="9">D18/H18</f>
        <v>1</v>
      </c>
      <c r="AC18" s="1261">
        <f t="shared" ref="AC18" si="10">D18/J18</f>
        <v>1</v>
      </c>
    </row>
    <row r="19" spans="1:29" ht="15">
      <c r="A19" s="367"/>
      <c r="B19" s="585"/>
      <c r="C19" s="1752"/>
      <c r="D19" s="389"/>
      <c r="E19" s="1752"/>
      <c r="F19" s="392"/>
      <c r="G19" s="1752"/>
      <c r="H19" s="387"/>
      <c r="I19" s="386"/>
      <c r="J19" s="387"/>
      <c r="K19" s="1061"/>
      <c r="L19" s="2487"/>
      <c r="M19" s="2482"/>
      <c r="N19" s="2482"/>
      <c r="O19" s="2536"/>
      <c r="P19" s="3429"/>
      <c r="Q19" s="1260"/>
      <c r="R19" s="666"/>
      <c r="S19" s="667"/>
      <c r="T19" s="666"/>
      <c r="U19" s="667"/>
      <c r="V19" s="666"/>
      <c r="W19" s="667"/>
      <c r="X19" s="1262"/>
      <c r="Y19" s="3429"/>
      <c r="Z19" s="1261"/>
      <c r="AA19" s="1261">
        <v>1</v>
      </c>
      <c r="AB19" s="1261">
        <v>1</v>
      </c>
      <c r="AC19" s="1261">
        <v>1</v>
      </c>
    </row>
    <row r="20" spans="1:29" ht="82.8">
      <c r="A20" s="367"/>
      <c r="B20" s="390" t="s">
        <v>1834</v>
      </c>
      <c r="C20" s="1751" t="str">
        <f>IF(B1="工业",估价对象房地状况!G7,估价对象房地状况!C9)</f>
        <v>区域内有奥森公园等自然及人文环境，综合评价自然及人文环境状况较好。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6"/>
      <c r="P20" s="3429"/>
      <c r="Q20" s="1260" t="str">
        <f>B20</f>
        <v>自然及人文环境</v>
      </c>
      <c r="R20" s="666" t="s">
        <v>14</v>
      </c>
      <c r="S20" s="667">
        <f>F20</f>
        <v>100</v>
      </c>
      <c r="T20" s="666" t="s">
        <v>14</v>
      </c>
      <c r="U20" s="667">
        <f>H20</f>
        <v>100</v>
      </c>
      <c r="V20" s="666" t="s">
        <v>14</v>
      </c>
      <c r="W20" s="667">
        <f>J20</f>
        <v>100</v>
      </c>
      <c r="X20" s="1262"/>
      <c r="Y20" s="3429"/>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7"/>
      <c r="M21" s="2482"/>
      <c r="N21" s="2482"/>
      <c r="O21" s="2536"/>
      <c r="P21" s="3429"/>
      <c r="Q21" s="1260"/>
      <c r="R21" s="666"/>
      <c r="S21" s="667"/>
      <c r="T21" s="666"/>
      <c r="U21" s="667"/>
      <c r="V21" s="666"/>
      <c r="W21" s="667"/>
      <c r="X21" s="1262"/>
      <c r="Y21" s="3429"/>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6"/>
      <c r="P22" s="3429"/>
      <c r="Q22" s="1260" t="str">
        <f>B22</f>
        <v>楼层</v>
      </c>
      <c r="R22" s="666" t="s">
        <v>14</v>
      </c>
      <c r="S22" s="667">
        <f>F22</f>
        <v>100</v>
      </c>
      <c r="T22" s="666" t="s">
        <v>14</v>
      </c>
      <c r="U22" s="667">
        <f>H22</f>
        <v>100</v>
      </c>
      <c r="V22" s="666" t="s">
        <v>14</v>
      </c>
      <c r="W22" s="667">
        <f>J22</f>
        <v>100</v>
      </c>
      <c r="X22" s="1262"/>
      <c r="Y22" s="3429"/>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6"/>
      <c r="P23" s="3429"/>
      <c r="Q23" s="1260">
        <f>B23</f>
        <v>111</v>
      </c>
      <c r="R23" s="666" t="s">
        <v>14</v>
      </c>
      <c r="S23" s="667">
        <f>F23</f>
        <v>100</v>
      </c>
      <c r="T23" s="666" t="s">
        <v>14</v>
      </c>
      <c r="U23" s="667">
        <f>H23</f>
        <v>100</v>
      </c>
      <c r="V23" s="666" t="s">
        <v>14</v>
      </c>
      <c r="W23" s="667">
        <f>J23</f>
        <v>100</v>
      </c>
      <c r="X23" s="1262"/>
      <c r="Y23" s="3429"/>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6"/>
      <c r="P24" s="3429"/>
      <c r="Q24" s="1260">
        <f t="shared" ref="Q24:Q34" si="11">B24</f>
        <v>111</v>
      </c>
      <c r="R24" s="666" t="s">
        <v>14</v>
      </c>
      <c r="S24" s="667">
        <f>F24</f>
        <v>100</v>
      </c>
      <c r="T24" s="666" t="s">
        <v>14</v>
      </c>
      <c r="U24" s="667">
        <f>H24</f>
        <v>100</v>
      </c>
      <c r="V24" s="666" t="s">
        <v>14</v>
      </c>
      <c r="W24" s="667">
        <f>J24</f>
        <v>100</v>
      </c>
      <c r="X24" s="1262"/>
      <c r="Y24" s="3429"/>
      <c r="Z24" s="1261">
        <f>Q24</f>
        <v>111</v>
      </c>
      <c r="AA24" s="1261">
        <f t="shared" si="3"/>
        <v>1</v>
      </c>
      <c r="AB24" s="1261">
        <f t="shared" si="4"/>
        <v>1</v>
      </c>
      <c r="AC24" s="1261">
        <f t="shared" si="5"/>
        <v>1</v>
      </c>
    </row>
    <row r="25" spans="1:29" s="102" customFormat="1" ht="15.6"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3"/>
      <c r="M25" s="2435"/>
      <c r="N25" s="2435"/>
      <c r="O25" s="2534"/>
      <c r="P25" s="3429"/>
      <c r="Q25" s="530">
        <f t="shared" si="11"/>
        <v>111</v>
      </c>
      <c r="R25" s="663" t="s">
        <v>14</v>
      </c>
      <c r="S25" s="664">
        <f>F25</f>
        <v>100</v>
      </c>
      <c r="T25" s="663" t="s">
        <v>14</v>
      </c>
      <c r="U25" s="664">
        <f>H25</f>
        <v>100</v>
      </c>
      <c r="V25" s="663" t="s">
        <v>14</v>
      </c>
      <c r="W25" s="664">
        <f>J25</f>
        <v>100</v>
      </c>
      <c r="X25" s="665"/>
      <c r="Y25" s="3429"/>
      <c r="Z25" s="50">
        <f>Q25</f>
        <v>111</v>
      </c>
      <c r="AA25" s="1261">
        <f>D25/F25</f>
        <v>1</v>
      </c>
      <c r="AB25" s="1261">
        <f>D25/H25</f>
        <v>1</v>
      </c>
      <c r="AC25" s="1261">
        <f>D25/J25</f>
        <v>1</v>
      </c>
    </row>
    <row r="26" spans="1:29" ht="30">
      <c r="A26" s="404" t="s">
        <v>1694</v>
      </c>
      <c r="B26" s="60" t="s">
        <v>1838</v>
      </c>
      <c r="C26" s="1761"/>
      <c r="D26" s="405">
        <v>100</v>
      </c>
      <c r="E26" s="1761"/>
      <c r="F26" s="586">
        <f>SUMIF(77:77,E26,78:78)-SUMIF(77:77,C26,78:78)+100</f>
        <v>100</v>
      </c>
      <c r="G26" s="1761"/>
      <c r="H26" s="405">
        <f>SUMIF(77:77,G26,78:78)-SUMIF(77:77,C26,78:78)+100</f>
        <v>100</v>
      </c>
      <c r="I26" s="1761"/>
      <c r="J26" s="405">
        <f>SUMIF(77:77,I26,78:78)-SUMIF(77:77,C26,78:78)+100</f>
        <v>100</v>
      </c>
      <c r="K26" s="538"/>
      <c r="L26" s="2487"/>
      <c r="M26" s="2482"/>
      <c r="N26" s="2482"/>
      <c r="O26" s="2536"/>
      <c r="P26" s="3529"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33"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7"/>
      <c r="P27" s="3433"/>
      <c r="Q27" s="531" t="str">
        <f t="shared" si="11"/>
        <v>成新率</v>
      </c>
      <c r="R27" s="668" t="s">
        <v>14</v>
      </c>
      <c r="S27" s="669" t="e">
        <f t="shared" si="12"/>
        <v>#N/A</v>
      </c>
      <c r="T27" s="668" t="s">
        <v>14</v>
      </c>
      <c r="U27" s="669" t="e">
        <f t="shared" si="13"/>
        <v>#N/A</v>
      </c>
      <c r="V27" s="668" t="s">
        <v>14</v>
      </c>
      <c r="W27" s="669" t="e">
        <f t="shared" si="14"/>
        <v>#N/A</v>
      </c>
      <c r="X27" s="670"/>
      <c r="Y27" s="3433"/>
      <c r="Z27" s="671"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6"/>
      <c r="P28" s="3433"/>
      <c r="Q28" s="1260" t="str">
        <f t="shared" si="11"/>
        <v>物业等级</v>
      </c>
      <c r="R28" s="666" t="s">
        <v>14</v>
      </c>
      <c r="S28" s="667">
        <f t="shared" si="12"/>
        <v>100</v>
      </c>
      <c r="T28" s="666" t="s">
        <v>14</v>
      </c>
      <c r="U28" s="667">
        <f t="shared" si="13"/>
        <v>100</v>
      </c>
      <c r="V28" s="666" t="s">
        <v>14</v>
      </c>
      <c r="W28" s="667">
        <f t="shared" si="14"/>
        <v>100</v>
      </c>
      <c r="X28" s="1262"/>
      <c r="Y28" s="3433"/>
      <c r="Z28" s="1261" t="str">
        <f t="shared" si="15"/>
        <v>物业等级</v>
      </c>
      <c r="AA28" s="1261">
        <f t="shared" si="3"/>
        <v>1</v>
      </c>
      <c r="AB28" s="1261">
        <f t="shared" si="4"/>
        <v>1</v>
      </c>
      <c r="AC28" s="1261">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6"/>
      <c r="P29" s="3433"/>
      <c r="Q29" s="1260" t="str">
        <f t="shared" si="11"/>
        <v>有无电梯</v>
      </c>
      <c r="R29" s="666" t="s">
        <v>14</v>
      </c>
      <c r="S29" s="667">
        <f t="shared" si="12"/>
        <v>100</v>
      </c>
      <c r="T29" s="666" t="s">
        <v>14</v>
      </c>
      <c r="U29" s="667">
        <f t="shared" si="13"/>
        <v>100</v>
      </c>
      <c r="V29" s="666" t="s">
        <v>14</v>
      </c>
      <c r="W29" s="667">
        <f t="shared" si="14"/>
        <v>100</v>
      </c>
      <c r="X29" s="1262"/>
      <c r="Y29" s="3433"/>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6"/>
      <c r="P30" s="3433"/>
      <c r="Q30" s="1260" t="str">
        <f t="shared" si="11"/>
        <v>建筑面积</v>
      </c>
      <c r="R30" s="666" t="s">
        <v>14</v>
      </c>
      <c r="S30" s="667" t="e">
        <f t="shared" si="12"/>
        <v>#N/A</v>
      </c>
      <c r="T30" s="666" t="s">
        <v>14</v>
      </c>
      <c r="U30" s="667" t="e">
        <f t="shared" si="13"/>
        <v>#N/A</v>
      </c>
      <c r="V30" s="666" t="s">
        <v>14</v>
      </c>
      <c r="W30" s="667" t="e">
        <f t="shared" si="14"/>
        <v>#N/A</v>
      </c>
      <c r="X30" s="1262"/>
      <c r="Y30" s="3433"/>
      <c r="Z30" s="1261" t="str">
        <f t="shared" si="15"/>
        <v>建筑面积</v>
      </c>
      <c r="AA30" s="1261" t="e">
        <f t="shared" si="3"/>
        <v>#N/A</v>
      </c>
      <c r="AB30" s="1261" t="e">
        <f t="shared" si="4"/>
        <v>#N/A</v>
      </c>
      <c r="AC30" s="1261"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5"/>
      <c r="N31" s="2435"/>
      <c r="O31" s="2534"/>
      <c r="P31" s="3433"/>
      <c r="Q31" s="530" t="str">
        <f t="shared" si="11"/>
        <v>是否封闭</v>
      </c>
      <c r="R31" s="663" t="s">
        <v>14</v>
      </c>
      <c r="S31" s="664">
        <f t="shared" si="12"/>
        <v>100</v>
      </c>
      <c r="T31" s="663" t="s">
        <v>14</v>
      </c>
      <c r="U31" s="664">
        <f t="shared" si="13"/>
        <v>100</v>
      </c>
      <c r="V31" s="663" t="s">
        <v>14</v>
      </c>
      <c r="W31" s="664">
        <f t="shared" si="14"/>
        <v>100</v>
      </c>
      <c r="X31" s="665"/>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6"/>
      <c r="P32" s="3433" t="s">
        <v>1696</v>
      </c>
      <c r="Q32" s="1260">
        <f t="shared" si="11"/>
        <v>111</v>
      </c>
      <c r="R32" s="666" t="s">
        <v>14</v>
      </c>
      <c r="S32" s="667">
        <f t="shared" si="12"/>
        <v>100</v>
      </c>
      <c r="T32" s="666" t="s">
        <v>14</v>
      </c>
      <c r="U32" s="667">
        <f t="shared" si="13"/>
        <v>100</v>
      </c>
      <c r="V32" s="666" t="s">
        <v>14</v>
      </c>
      <c r="W32" s="667">
        <f t="shared" si="14"/>
        <v>100</v>
      </c>
      <c r="X32" s="1262"/>
      <c r="Y32" s="3433"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6"/>
      <c r="P33" s="3433"/>
      <c r="Q33" s="1260">
        <f t="shared" si="11"/>
        <v>111</v>
      </c>
      <c r="R33" s="666" t="s">
        <v>14</v>
      </c>
      <c r="S33" s="667">
        <f t="shared" si="12"/>
        <v>100</v>
      </c>
      <c r="T33" s="666" t="s">
        <v>14</v>
      </c>
      <c r="U33" s="667">
        <f t="shared" si="13"/>
        <v>100</v>
      </c>
      <c r="V33" s="666" t="s">
        <v>14</v>
      </c>
      <c r="W33" s="667">
        <f t="shared" si="14"/>
        <v>100</v>
      </c>
      <c r="X33" s="1262"/>
      <c r="Y33" s="3433"/>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7"/>
      <c r="M34" s="2482"/>
      <c r="N34" s="2482"/>
      <c r="O34" s="2536"/>
      <c r="P34" s="3433"/>
      <c r="Q34" s="1260">
        <f t="shared" si="11"/>
        <v>111</v>
      </c>
      <c r="R34" s="666" t="s">
        <v>14</v>
      </c>
      <c r="S34" s="667">
        <f t="shared" si="12"/>
        <v>100</v>
      </c>
      <c r="T34" s="666" t="s">
        <v>14</v>
      </c>
      <c r="U34" s="667">
        <f t="shared" si="13"/>
        <v>100</v>
      </c>
      <c r="V34" s="666" t="s">
        <v>14</v>
      </c>
      <c r="W34" s="667">
        <f t="shared" si="14"/>
        <v>100</v>
      </c>
      <c r="X34" s="1262"/>
      <c r="Y34" s="3433"/>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3"/>
      <c r="L35" s="2489"/>
      <c r="M35" s="2482"/>
      <c r="N35" s="2482"/>
      <c r="O35" s="2482"/>
      <c r="P35" s="3421" t="str">
        <f>A35</f>
        <v>成交单价（元/平方米）</v>
      </c>
      <c r="Q35" s="3421"/>
      <c r="R35" s="3422">
        <f>E35</f>
        <v>0</v>
      </c>
      <c r="S35" s="3422"/>
      <c r="T35" s="3422">
        <f>G35</f>
        <v>0</v>
      </c>
      <c r="U35" s="3422"/>
      <c r="V35" s="3422">
        <f>I35</f>
        <v>0</v>
      </c>
      <c r="W35" s="3422"/>
      <c r="X35" s="385"/>
      <c r="Y35" s="672"/>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423" t="str">
        <f>A37</f>
        <v>估价对象XX用房的比较价值（楼面单价，元/平方米）</v>
      </c>
      <c r="Q37" s="3424"/>
      <c r="R37" s="3530" t="e">
        <f>IF(F1="售价",ROUND(IF(D36="简单平均",AVERAGE(R36:W36),R36*F36+T36*H36+V36*J36),0),ROUND(IF(D36="简单平均",AVERAGE(R36:V36),R36*F36+T36*H36+V36*J36),1))</f>
        <v>#DIV/0!</v>
      </c>
      <c r="S37" s="3530"/>
      <c r="T37" s="3530"/>
      <c r="U37" s="3530"/>
      <c r="V37" s="3530"/>
      <c r="W37" s="353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1"/>
      <c r="O45" s="2531"/>
      <c r="P45" s="2531"/>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2" customFormat="1">
      <c r="A47" s="443"/>
      <c r="B47" s="444"/>
      <c r="C47" s="1099">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3"/>
      <c r="R49" s="2435"/>
      <c r="S49" s="2435"/>
      <c r="T49" s="2435"/>
      <c r="U49" s="2435"/>
      <c r="V49" s="2435"/>
      <c r="W49" s="2435"/>
      <c r="X49" s="2435"/>
      <c r="Y49" s="2435"/>
      <c r="Z49" s="2435"/>
      <c r="AA49" s="2435"/>
      <c r="AB49" s="2435"/>
      <c r="AC49" s="2435"/>
      <c r="AD49" s="2435"/>
    </row>
    <row r="50" spans="1:30" s="102" customFormat="1" ht="14.4" thickBot="1">
      <c r="A50" s="455"/>
      <c r="B50" s="444"/>
      <c r="C50" s="562">
        <v>100</v>
      </c>
      <c r="D50" s="446"/>
      <c r="E50" s="446"/>
      <c r="F50" s="446"/>
      <c r="G50" s="446"/>
      <c r="H50" s="446"/>
      <c r="I50" s="446"/>
      <c r="J50" s="446"/>
      <c r="K50" s="446"/>
      <c r="L50" s="446"/>
      <c r="M50" s="448"/>
      <c r="N50" s="2514"/>
      <c r="O50" s="2514"/>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6"/>
      <c r="O52" s="2516"/>
      <c r="P52" s="2514"/>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5"/>
      <c r="O53" s="2515"/>
      <c r="P53" s="2514"/>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6"/>
      <c r="O54" s="2516"/>
      <c r="P54" s="2514"/>
      <c r="Q54" s="2503"/>
      <c r="R54" s="2482"/>
      <c r="S54" s="2482"/>
      <c r="T54" s="2482"/>
      <c r="U54" s="2482"/>
      <c r="V54" s="2482"/>
      <c r="W54" s="2482"/>
      <c r="X54" s="2482"/>
      <c r="Y54" s="2482"/>
      <c r="Z54" s="2482"/>
      <c r="AA54" s="2482"/>
      <c r="AB54" s="2482"/>
      <c r="AC54" s="2482"/>
      <c r="AD54" s="2482"/>
    </row>
    <row r="55" spans="1:30" ht="14.4" thickTop="1">
      <c r="A55" s="367"/>
      <c r="B55" s="580">
        <f>B11</f>
        <v>111</v>
      </c>
      <c r="C55" s="480"/>
      <c r="D55" s="480"/>
      <c r="E55" s="480"/>
      <c r="F55" s="480"/>
      <c r="G55" s="480"/>
      <c r="H55" s="480"/>
      <c r="I55" s="480"/>
      <c r="J55" s="480"/>
      <c r="K55" s="481"/>
      <c r="L55" s="482"/>
      <c r="M55" s="483"/>
      <c r="N55" s="2515"/>
      <c r="O55" s="2515"/>
      <c r="P55" s="2514"/>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6"/>
      <c r="O56" s="2516"/>
      <c r="P56" s="2514"/>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6"/>
      <c r="O58" s="2516"/>
      <c r="P58" s="2517"/>
      <c r="Q58" s="2509"/>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7"/>
      <c r="O59" s="2517"/>
      <c r="P59" s="2488"/>
      <c r="Q59" s="2511"/>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7"/>
      <c r="O60" s="2517"/>
      <c r="P60" s="2517"/>
      <c r="Q60" s="2509"/>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3"/>
      <c r="R64" s="2482"/>
      <c r="S64" s="2482"/>
      <c r="T64" s="2482"/>
      <c r="U64" s="2482"/>
      <c r="V64" s="2482"/>
      <c r="W64" s="2482"/>
      <c r="X64" s="2482"/>
      <c r="Y64" s="2482"/>
      <c r="Z64" s="2482"/>
      <c r="AA64" s="2482"/>
      <c r="AB64" s="2482"/>
      <c r="AC64" s="2482"/>
      <c r="AD64" s="2482"/>
    </row>
    <row r="65" spans="1:30" ht="15" thickTop="1">
      <c r="A65" s="367"/>
      <c r="B65" s="477" t="s">
        <v>1813</v>
      </c>
      <c r="C65" s="580" t="s">
        <v>1799</v>
      </c>
      <c r="D65" s="580" t="s">
        <v>1800</v>
      </c>
      <c r="E65" s="580" t="s">
        <v>1801</v>
      </c>
      <c r="F65" s="580" t="s">
        <v>1802</v>
      </c>
      <c r="G65" s="580" t="s">
        <v>1803</v>
      </c>
      <c r="H65" s="470"/>
      <c r="I65" s="470"/>
      <c r="J65" s="470"/>
      <c r="K65" s="470"/>
      <c r="L65" s="470"/>
      <c r="M65" s="1060"/>
      <c r="N65" s="2516"/>
      <c r="O65" s="2516"/>
      <c r="P65" s="2514"/>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5"/>
      <c r="O69" s="2515"/>
      <c r="P69" s="2514"/>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6"/>
      <c r="O70" s="2516"/>
      <c r="P70" s="2514"/>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4"/>
      <c r="O71" s="2514"/>
      <c r="P71" s="2514"/>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7"/>
      <c r="O76" s="2517"/>
      <c r="P76" s="2517"/>
      <c r="Q76" s="2509"/>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5"/>
      <c r="O77" s="2515"/>
      <c r="P77" s="2514"/>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0"/>
      <c r="J80" s="580"/>
      <c r="K80" s="587"/>
      <c r="L80" s="588"/>
      <c r="M80" s="589"/>
      <c r="N80" s="2514"/>
      <c r="O80" s="2514"/>
      <c r="P80" s="2514"/>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5"/>
      <c r="O82" s="2515"/>
      <c r="P82" s="2514"/>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5"/>
      <c r="O84" s="2515"/>
      <c r="P84" s="2514"/>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5"/>
      <c r="O87" s="2515"/>
      <c r="P87" s="2514"/>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6"/>
      <c r="O88" s="2516"/>
      <c r="P88" s="2514"/>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7"/>
      <c r="O90" s="2517"/>
      <c r="P90" s="2517"/>
      <c r="Q90" s="2509"/>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5"/>
      <c r="O91" s="2515"/>
      <c r="P91" s="2514"/>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6"/>
      <c r="O92" s="2516"/>
      <c r="P92" s="2514"/>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5"/>
      <c r="O93" s="2515"/>
      <c r="P93" s="2514"/>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6"/>
      <c r="O94" s="2516"/>
      <c r="P94" s="2514"/>
      <c r="Q94" s="2503"/>
      <c r="R94" s="2482"/>
      <c r="S94" s="2482"/>
      <c r="T94" s="2482"/>
      <c r="U94" s="2482"/>
      <c r="V94" s="2482"/>
      <c r="W94" s="2482"/>
      <c r="X94" s="2482"/>
      <c r="Y94" s="2482"/>
      <c r="Z94" s="2482"/>
      <c r="AA94" s="2482"/>
      <c r="AB94" s="2482"/>
      <c r="AC94" s="2482"/>
      <c r="AD94" s="2482"/>
    </row>
    <row r="95" spans="1:30" ht="14.4" thickTop="1">
      <c r="A95" s="409"/>
      <c r="B95" s="559">
        <f>B34</f>
        <v>111</v>
      </c>
      <c r="C95" s="480"/>
      <c r="D95" s="480"/>
      <c r="E95" s="480"/>
      <c r="F95" s="480"/>
      <c r="G95" s="485"/>
      <c r="H95" s="486"/>
      <c r="I95" s="486"/>
      <c r="J95" s="486"/>
      <c r="K95" s="486"/>
      <c r="L95" s="487"/>
      <c r="M95" s="488"/>
      <c r="N95" s="2516"/>
      <c r="O95" s="2516"/>
      <c r="P95" s="2516"/>
      <c r="Q95" s="2530"/>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6"/>
      <c r="O96" s="2516"/>
      <c r="P96" s="2514"/>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7.399999999999999">
      <c r="A3" s="3241" t="str">
        <f>IF(项目基本情况!B9="房地产市场价值","估价结果一览表（市场价值不需“结果表-1”）","估价结果一览表")</f>
        <v>估价结果一览表</v>
      </c>
      <c r="B3" s="3241"/>
      <c r="C3" s="3241"/>
      <c r="D3" s="3241"/>
      <c r="E3" s="3241"/>
    </row>
    <row r="4" spans="1:5" ht="18" thickBot="1">
      <c r="A4" s="1388"/>
      <c r="B4" s="3239" t="s">
        <v>917</v>
      </c>
      <c r="C4" s="3239"/>
      <c r="D4" s="3239"/>
      <c r="E4" s="1388"/>
    </row>
    <row r="5" spans="1:5" ht="16.2" thickTop="1">
      <c r="B5" s="3237" t="s">
        <v>909</v>
      </c>
      <c r="C5" s="1389" t="s">
        <v>910</v>
      </c>
      <c r="D5" s="794">
        <f ca="1">结果表!H101</f>
        <v>64183</v>
      </c>
    </row>
    <row r="6" spans="1:5" ht="15.6">
      <c r="B6" s="3237"/>
      <c r="C6" s="1389" t="s">
        <v>911</v>
      </c>
      <c r="D6" s="794" t="str">
        <f ca="1">NUMBERSTRING(INT(D5*10000),2)&amp;"元整"</f>
        <v>陆亿肆仟壹佰捌拾叁万元整</v>
      </c>
    </row>
    <row r="7" spans="1:5" ht="15.6">
      <c r="B7" s="3242"/>
      <c r="C7" s="1390" t="s">
        <v>912</v>
      </c>
      <c r="D7" s="795">
        <f ca="1">结果表!H102</f>
        <v>42062</v>
      </c>
    </row>
    <row r="8" spans="1:5" ht="15.6">
      <c r="B8" s="3243" t="str">
        <f>结果表!E103</f>
        <v>2.估价师知悉的法定优先受偿款</v>
      </c>
      <c r="C8" s="1391" t="s">
        <v>913</v>
      </c>
      <c r="D8" s="795">
        <f>结果表!H103</f>
        <v>0</v>
      </c>
    </row>
    <row r="9" spans="1:5" ht="15.6">
      <c r="B9" s="3245"/>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236" t="str">
        <f>结果表!E107</f>
        <v>3.房地产抵押价值</v>
      </c>
      <c r="C13" s="1394" t="s">
        <v>910</v>
      </c>
      <c r="D13" s="797">
        <f ca="1">结果表!H107</f>
        <v>64183</v>
      </c>
    </row>
    <row r="14" spans="1:5" ht="15.6">
      <c r="B14" s="3237"/>
      <c r="C14" s="1389" t="s">
        <v>911</v>
      </c>
      <c r="D14" s="794" t="str">
        <f ca="1">NUMBERSTRING(INT(D13*10000),2)&amp;"元整"</f>
        <v>陆亿肆仟壹佰捌拾叁万元整</v>
      </c>
    </row>
    <row r="15" spans="1:5" ht="15.6">
      <c r="B15" s="3242"/>
      <c r="C15" s="1390" t="s">
        <v>921</v>
      </c>
      <c r="D15" s="803">
        <f ca="1">结果表!H108</f>
        <v>42062</v>
      </c>
    </row>
    <row r="16" spans="1:5" ht="15.6">
      <c r="B16" s="3243" t="str">
        <f>结果表!E109</f>
        <v>——</v>
      </c>
      <c r="C16" s="1394" t="s">
        <v>922</v>
      </c>
      <c r="D16" s="1395" t="str">
        <f>结果表!H109</f>
        <v>——</v>
      </c>
    </row>
    <row r="17" spans="1:5" ht="15.6">
      <c r="B17" s="3244"/>
      <c r="C17" s="1389" t="s">
        <v>923</v>
      </c>
      <c r="D17" s="794" t="e">
        <f>NUMBERSTRING(INT(D16*10000),2)&amp;"元整"</f>
        <v>#VALUE!</v>
      </c>
    </row>
    <row r="18" spans="1:5" ht="15.6">
      <c r="B18" s="3245"/>
      <c r="C18" s="1390" t="s">
        <v>912</v>
      </c>
      <c r="D18" s="803" t="str">
        <f>结果表!H110</f>
        <v>——</v>
      </c>
    </row>
    <row r="19" spans="1:5" ht="15.6">
      <c r="B19" s="3236" t="str">
        <f>结果表!E111</f>
        <v>4.抵押净值</v>
      </c>
      <c r="C19" s="1394" t="s">
        <v>910</v>
      </c>
      <c r="D19" s="795">
        <f ca="1">结果表!H111</f>
        <v>87940</v>
      </c>
    </row>
    <row r="20" spans="1:5" ht="15.6">
      <c r="B20" s="3237"/>
      <c r="C20" s="1389" t="s">
        <v>923</v>
      </c>
      <c r="D20" s="794" t="str">
        <f ca="1">NUMBERSTRING(INT(D19*10000),2)&amp;"元整"</f>
        <v>捌亿柒仟玖佰肆拾万元整</v>
      </c>
    </row>
    <row r="21" spans="1:5" ht="16.2" thickBot="1">
      <c r="B21" s="3238"/>
      <c r="C21" s="1396" t="s">
        <v>921</v>
      </c>
      <c r="D21" s="804">
        <f ca="1">结果表!H112</f>
        <v>23254</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455" t="s">
        <v>1677</v>
      </c>
      <c r="D6" s="3456"/>
      <c r="E6" s="3462" t="s">
        <v>1677</v>
      </c>
      <c r="F6" s="3463"/>
      <c r="G6" s="3455" t="s">
        <v>1677</v>
      </c>
      <c r="H6" s="3456"/>
      <c r="I6" s="3455" t="s">
        <v>1677</v>
      </c>
      <c r="J6" s="3456"/>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SUMIF(69:69,YEAR(E7)&amp;"-"&amp;INT((MONTH(E7)+2)/3),70:70)</f>
        <v>0</v>
      </c>
      <c r="G7" s="1819"/>
      <c r="H7" s="355">
        <f>SUMIF(69:69,YEAR(G7)&amp;"-"&amp;INT((MONTH(G7)+2)/3),70:70)</f>
        <v>0</v>
      </c>
      <c r="I7" s="1819"/>
      <c r="J7" s="355">
        <f>SUMIF(69:69,YEAR(I7)&amp;"-"&amp;INT((MONTH(I7)+2)/3),70:70)</f>
        <v>0</v>
      </c>
      <c r="K7" s="38"/>
      <c r="L7" s="2483"/>
      <c r="M7" s="2435"/>
      <c r="N7" s="2435"/>
      <c r="O7" s="2435"/>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59" t="s">
        <v>1683</v>
      </c>
      <c r="Q8" s="3460"/>
      <c r="R8" s="663" t="s">
        <v>14</v>
      </c>
      <c r="S8" s="664">
        <f t="shared" si="0"/>
        <v>0</v>
      </c>
      <c r="T8" s="663" t="s">
        <v>14</v>
      </c>
      <c r="U8" s="664">
        <f t="shared" si="1"/>
        <v>0</v>
      </c>
      <c r="V8" s="663" t="s">
        <v>14</v>
      </c>
      <c r="W8" s="664">
        <f t="shared" si="2"/>
        <v>0</v>
      </c>
      <c r="X8" s="665"/>
      <c r="Y8" s="3459" t="s">
        <v>1683</v>
      </c>
      <c r="Z8" s="3460"/>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4"/>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142</v>
      </c>
      <c r="G10" s="402"/>
      <c r="H10" s="119">
        <f>ROUND(100/'数据-取费表'!G16,0)</f>
        <v>142</v>
      </c>
      <c r="I10" s="402"/>
      <c r="J10" s="119">
        <f>ROUND(100/'数据-取费表'!G16,0)</f>
        <v>142</v>
      </c>
      <c r="K10" s="591"/>
      <c r="L10" s="2484"/>
      <c r="M10" s="2485"/>
      <c r="N10" s="2485"/>
      <c r="O10" s="2535"/>
      <c r="P10" s="3421"/>
      <c r="Q10" s="530" t="str">
        <f t="shared" si="6"/>
        <v>土地使用年限（年）</v>
      </c>
      <c r="R10" s="663" t="s">
        <v>14</v>
      </c>
      <c r="S10" s="664">
        <f t="shared" si="0"/>
        <v>142</v>
      </c>
      <c r="T10" s="663" t="s">
        <v>14</v>
      </c>
      <c r="U10" s="664">
        <f t="shared" si="1"/>
        <v>142</v>
      </c>
      <c r="V10" s="663" t="s">
        <v>14</v>
      </c>
      <c r="W10" s="664">
        <f t="shared" si="2"/>
        <v>142</v>
      </c>
      <c r="X10" s="665"/>
      <c r="Y10" s="3328"/>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6"/>
      <c r="M11" s="2482"/>
      <c r="N11" s="2482"/>
      <c r="O11" s="2536"/>
      <c r="P11" s="3421"/>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5"/>
      <c r="N12" s="2435"/>
      <c r="O12" s="2534"/>
      <c r="P12" s="3421"/>
      <c r="Q12" s="530" t="str">
        <f t="shared" si="6"/>
        <v>配建</v>
      </c>
      <c r="R12" s="663" t="s">
        <v>14</v>
      </c>
      <c r="S12" s="664">
        <f t="shared" si="0"/>
        <v>100</v>
      </c>
      <c r="T12" s="663" t="s">
        <v>14</v>
      </c>
      <c r="U12" s="664">
        <f t="shared" si="1"/>
        <v>100</v>
      </c>
      <c r="V12" s="663" t="s">
        <v>14</v>
      </c>
      <c r="W12" s="664">
        <f t="shared" si="2"/>
        <v>100</v>
      </c>
      <c r="X12" s="665"/>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7"/>
      <c r="M15" s="2482"/>
      <c r="N15" s="2482"/>
      <c r="O15" s="2536"/>
      <c r="P15" s="3428" t="s">
        <v>1691</v>
      </c>
      <c r="Q15" s="1260" t="str">
        <f t="shared" si="6"/>
        <v>居住社区成熟度</v>
      </c>
      <c r="R15" s="666" t="s">
        <v>14</v>
      </c>
      <c r="S15" s="667">
        <f t="shared" si="0"/>
        <v>100</v>
      </c>
      <c r="T15" s="666" t="s">
        <v>14</v>
      </c>
      <c r="U15" s="667">
        <f t="shared" si="1"/>
        <v>100</v>
      </c>
      <c r="V15" s="666" t="s">
        <v>14</v>
      </c>
      <c r="W15" s="667">
        <f t="shared" si="2"/>
        <v>100</v>
      </c>
      <c r="X15" s="1262"/>
      <c r="Y15" s="3428"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7"/>
      <c r="M16" s="2482"/>
      <c r="N16" s="2482"/>
      <c r="O16" s="2536"/>
      <c r="P16" s="3429"/>
      <c r="Q16" s="1260"/>
      <c r="R16" s="666"/>
      <c r="S16" s="667"/>
      <c r="T16" s="666"/>
      <c r="U16" s="667"/>
      <c r="V16" s="666"/>
      <c r="W16" s="667"/>
      <c r="X16" s="1262"/>
      <c r="Y16" s="3429"/>
      <c r="Z16" s="1261"/>
      <c r="AA16" s="1261">
        <v>1</v>
      </c>
      <c r="AB16" s="1261">
        <v>1</v>
      </c>
      <c r="AC16" s="1261">
        <v>1</v>
      </c>
    </row>
    <row r="17" spans="1:29" ht="96.6">
      <c r="A17" s="367"/>
      <c r="B17" s="390" t="s">
        <v>1777</v>
      </c>
      <c r="C17" s="1803" t="str">
        <f>估价对象房地状况!C16</f>
        <v>估价对象位于北苑商圈，周边上品折扣、林奥等购物中心项目，人流量较大，商业繁华度较好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2"/>
      <c r="L17" s="2487"/>
      <c r="M17" s="2482"/>
      <c r="N17" s="2482"/>
      <c r="O17" s="2536"/>
      <c r="P17" s="3429"/>
      <c r="Q17" s="1260" t="str">
        <f>B17</f>
        <v>商业繁华度</v>
      </c>
      <c r="R17" s="666" t="s">
        <v>14</v>
      </c>
      <c r="S17" s="667">
        <f>F17</f>
        <v>100</v>
      </c>
      <c r="T17" s="666" t="s">
        <v>14</v>
      </c>
      <c r="U17" s="667">
        <f>H17</f>
        <v>100</v>
      </c>
      <c r="V17" s="666" t="s">
        <v>14</v>
      </c>
      <c r="W17" s="667">
        <f>J17</f>
        <v>100</v>
      </c>
      <c r="X17" s="1262"/>
      <c r="Y17" s="3429"/>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7"/>
      <c r="M18" s="2482"/>
      <c r="N18" s="2482"/>
      <c r="O18" s="2536"/>
      <c r="P18" s="3429"/>
      <c r="Q18" s="1260"/>
      <c r="R18" s="666"/>
      <c r="S18" s="667"/>
      <c r="T18" s="666"/>
      <c r="U18" s="667"/>
      <c r="V18" s="666"/>
      <c r="W18" s="667"/>
      <c r="X18" s="1262"/>
      <c r="Y18" s="3429"/>
      <c r="Z18" s="1261"/>
      <c r="AA18" s="1261">
        <v>1</v>
      </c>
      <c r="AB18" s="1261">
        <v>1</v>
      </c>
      <c r="AC18" s="1261">
        <v>1</v>
      </c>
    </row>
    <row r="19" spans="1:29" ht="15">
      <c r="A19" s="367"/>
      <c r="B19" s="390" t="s">
        <v>1811</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6"/>
      <c r="P19" s="3429"/>
      <c r="Q19" s="1260" t="str">
        <f>B19</f>
        <v>办公集聚程度</v>
      </c>
      <c r="R19" s="666" t="s">
        <v>14</v>
      </c>
      <c r="S19" s="667">
        <f>F19</f>
        <v>100</v>
      </c>
      <c r="T19" s="666" t="s">
        <v>14</v>
      </c>
      <c r="U19" s="667">
        <f>H19</f>
        <v>100</v>
      </c>
      <c r="V19" s="666" t="s">
        <v>14</v>
      </c>
      <c r="W19" s="667">
        <f>J19</f>
        <v>100</v>
      </c>
      <c r="X19" s="1262"/>
      <c r="Y19" s="3429"/>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7"/>
      <c r="M20" s="2482"/>
      <c r="N20" s="2482"/>
      <c r="O20" s="2536"/>
      <c r="P20" s="3429"/>
      <c r="Q20" s="1260"/>
      <c r="R20" s="666"/>
      <c r="S20" s="667"/>
      <c r="T20" s="666"/>
      <c r="U20" s="667"/>
      <c r="V20" s="666"/>
      <c r="W20" s="667"/>
      <c r="X20" s="1262"/>
      <c r="Y20" s="3429"/>
      <c r="Z20" s="1261"/>
      <c r="AA20" s="1261">
        <v>1</v>
      </c>
      <c r="AB20" s="1261">
        <v>1</v>
      </c>
      <c r="AC20" s="1261">
        <v>1</v>
      </c>
    </row>
    <row r="21" spans="1:29" ht="96.6">
      <c r="A21" s="367"/>
      <c r="B21" s="390" t="s">
        <v>1833</v>
      </c>
      <c r="C21" s="1751" t="str">
        <f>估价对象房地状况!C18</f>
        <v>周边有466、484、593路及地铁5号，周边道路密集，停车便捷程度，综合评价交通便捷度较好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7"/>
      <c r="M21" s="2482"/>
      <c r="N21" s="2482"/>
      <c r="O21" s="2536"/>
      <c r="P21" s="3429"/>
      <c r="Q21" s="1260" t="str">
        <f>B21</f>
        <v>交通便捷度</v>
      </c>
      <c r="R21" s="666" t="s">
        <v>14</v>
      </c>
      <c r="S21" s="667">
        <f>F21</f>
        <v>100</v>
      </c>
      <c r="T21" s="666" t="s">
        <v>14</v>
      </c>
      <c r="U21" s="667">
        <f>H21</f>
        <v>100</v>
      </c>
      <c r="V21" s="666" t="s">
        <v>14</v>
      </c>
      <c r="W21" s="667">
        <f>J21</f>
        <v>100</v>
      </c>
      <c r="X21" s="1262"/>
      <c r="Y21" s="3429"/>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7"/>
      <c r="M22" s="2482"/>
      <c r="N22" s="2482"/>
      <c r="O22" s="2536"/>
      <c r="P22" s="3429"/>
      <c r="Q22" s="1260"/>
      <c r="R22" s="666"/>
      <c r="S22" s="667"/>
      <c r="T22" s="666"/>
      <c r="U22" s="667"/>
      <c r="V22" s="666"/>
      <c r="W22" s="667"/>
      <c r="X22" s="1262"/>
      <c r="Y22" s="3429"/>
      <c r="Z22" s="1261"/>
      <c r="AA22" s="1261">
        <v>1</v>
      </c>
      <c r="AB22" s="1261">
        <v>1</v>
      </c>
      <c r="AC22" s="1261">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7"/>
      <c r="M23" s="2482"/>
      <c r="N23" s="2482"/>
      <c r="O23" s="2536"/>
      <c r="P23" s="3429"/>
      <c r="Q23" s="1260" t="str">
        <f t="shared" ref="Q23:Q37" si="8">B23</f>
        <v>区域土地利用方向</v>
      </c>
      <c r="R23" s="666" t="s">
        <v>14</v>
      </c>
      <c r="S23" s="667">
        <f>F23</f>
        <v>100</v>
      </c>
      <c r="T23" s="666" t="s">
        <v>14</v>
      </c>
      <c r="U23" s="667">
        <f>H23</f>
        <v>100</v>
      </c>
      <c r="V23" s="666" t="s">
        <v>14</v>
      </c>
      <c r="W23" s="667">
        <f>J23</f>
        <v>100</v>
      </c>
      <c r="X23" s="1262"/>
      <c r="Y23" s="3429"/>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7"/>
      <c r="M24" s="2482"/>
      <c r="N24" s="2482"/>
      <c r="O24" s="2536"/>
      <c r="P24" s="3429"/>
      <c r="Q24" s="1260"/>
      <c r="R24" s="666"/>
      <c r="S24" s="667"/>
      <c r="T24" s="666"/>
      <c r="U24" s="667"/>
      <c r="V24" s="666"/>
      <c r="W24" s="667"/>
      <c r="X24" s="1262"/>
      <c r="Y24" s="3429"/>
      <c r="Z24" s="1261"/>
      <c r="AA24" s="1261"/>
      <c r="AB24" s="1261"/>
      <c r="AC24" s="1261"/>
    </row>
    <row r="25" spans="1:29" ht="82.8">
      <c r="A25" s="348"/>
      <c r="B25" s="585" t="s">
        <v>1872</v>
      </c>
      <c r="C25" s="1803" t="str">
        <f>估价对象房地状况!C20</f>
        <v>区域内有奥森公园等自然及人文环境，综合评价自然及人文环境状况较好。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2"/>
      <c r="L25" s="2487"/>
      <c r="M25" s="2482"/>
      <c r="N25" s="2482"/>
      <c r="O25" s="2536"/>
      <c r="P25" s="3429"/>
      <c r="Q25" s="1260" t="str">
        <f t="shared" si="8"/>
        <v>自然及人文环境状况</v>
      </c>
      <c r="R25" s="666" t="s">
        <v>14</v>
      </c>
      <c r="S25" s="667">
        <f>F25</f>
        <v>100</v>
      </c>
      <c r="T25" s="666" t="s">
        <v>14</v>
      </c>
      <c r="U25" s="667">
        <f>H25</f>
        <v>100</v>
      </c>
      <c r="V25" s="666" t="s">
        <v>14</v>
      </c>
      <c r="W25" s="667">
        <f>J25</f>
        <v>100</v>
      </c>
      <c r="X25" s="1262"/>
      <c r="Y25" s="3429"/>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7"/>
      <c r="M26" s="2482"/>
      <c r="N26" s="2482"/>
      <c r="O26" s="2536"/>
      <c r="P26" s="3429"/>
      <c r="Q26" s="1260"/>
      <c r="R26" s="666"/>
      <c r="S26" s="667"/>
      <c r="T26" s="666"/>
      <c r="U26" s="667"/>
      <c r="V26" s="666"/>
      <c r="W26" s="667"/>
      <c r="X26" s="1262"/>
      <c r="Y26" s="3429"/>
      <c r="Z26" s="1261"/>
      <c r="AA26" s="1261">
        <v>1</v>
      </c>
      <c r="AB26" s="1261">
        <v>1</v>
      </c>
      <c r="AC26" s="1261">
        <v>1</v>
      </c>
    </row>
    <row r="27" spans="1:29" s="102" customFormat="1" ht="96.6">
      <c r="A27" s="443"/>
      <c r="B27" s="585" t="s">
        <v>1778</v>
      </c>
      <c r="C27" s="1751"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2"/>
      <c r="L27" s="2483"/>
      <c r="M27" s="2435"/>
      <c r="N27" s="2435"/>
      <c r="O27" s="2534"/>
      <c r="P27" s="3429"/>
      <c r="Q27" s="530" t="str">
        <f t="shared" si="8"/>
        <v>公共配套设施</v>
      </c>
      <c r="R27" s="663" t="s">
        <v>14</v>
      </c>
      <c r="S27" s="664">
        <f>F27</f>
        <v>100</v>
      </c>
      <c r="T27" s="663" t="s">
        <v>14</v>
      </c>
      <c r="U27" s="664">
        <f>H27</f>
        <v>100</v>
      </c>
      <c r="V27" s="663" t="s">
        <v>14</v>
      </c>
      <c r="W27" s="664">
        <f>J27</f>
        <v>100</v>
      </c>
      <c r="X27" s="665"/>
      <c r="Y27" s="3429"/>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3"/>
      <c r="M28" s="2435"/>
      <c r="N28" s="2435"/>
      <c r="O28" s="2534"/>
      <c r="P28" s="3429"/>
      <c r="Q28" s="530"/>
      <c r="R28" s="663"/>
      <c r="S28" s="664"/>
      <c r="T28" s="663"/>
      <c r="U28" s="664"/>
      <c r="V28" s="663"/>
      <c r="W28" s="664"/>
      <c r="X28" s="665"/>
      <c r="Y28" s="3429"/>
      <c r="Z28" s="50"/>
      <c r="AA28" s="1261">
        <v>1</v>
      </c>
      <c r="AB28" s="1261">
        <v>1</v>
      </c>
      <c r="AC28" s="1261">
        <v>1</v>
      </c>
    </row>
    <row r="29" spans="1:29" s="102" customFormat="1" ht="41.4">
      <c r="A29" s="443"/>
      <c r="B29" s="585" t="s">
        <v>1779</v>
      </c>
      <c r="C29" s="1751"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3"/>
      <c r="M29" s="2435"/>
      <c r="N29" s="2435"/>
      <c r="O29" s="2534"/>
      <c r="P29" s="3429"/>
      <c r="Q29" s="530" t="str">
        <f t="shared" ref="Q29" si="9">B29</f>
        <v>基础设施水平</v>
      </c>
      <c r="R29" s="663" t="s">
        <v>14</v>
      </c>
      <c r="S29" s="664">
        <f>F29</f>
        <v>100</v>
      </c>
      <c r="T29" s="663" t="s">
        <v>14</v>
      </c>
      <c r="U29" s="664">
        <f>H29</f>
        <v>100</v>
      </c>
      <c r="V29" s="663" t="s">
        <v>14</v>
      </c>
      <c r="W29" s="664">
        <f>J29</f>
        <v>100</v>
      </c>
      <c r="X29" s="665"/>
      <c r="Y29" s="3429"/>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3"/>
      <c r="M30" s="2435"/>
      <c r="N30" s="2435"/>
      <c r="O30" s="2534"/>
      <c r="P30" s="3429"/>
      <c r="Q30" s="530"/>
      <c r="R30" s="663"/>
      <c r="S30" s="664"/>
      <c r="T30" s="663"/>
      <c r="U30" s="664"/>
      <c r="V30" s="663"/>
      <c r="W30" s="664"/>
      <c r="X30" s="665"/>
      <c r="Y30" s="3429"/>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6"/>
      <c r="P31" s="3429"/>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29"/>
      <c r="Z31" s="1261" t="str">
        <f t="shared" ref="Z31:Z45" si="13">Q31</f>
        <v>临街状况</v>
      </c>
      <c r="AA31" s="1261">
        <f t="shared" si="3"/>
        <v>1</v>
      </c>
      <c r="AB31" s="1261">
        <f t="shared" si="4"/>
        <v>1</v>
      </c>
      <c r="AC31" s="1261">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6"/>
      <c r="P32" s="3429"/>
      <c r="Q32" s="1260" t="str">
        <f t="shared" si="8"/>
        <v>毗邻道路的类型与等级</v>
      </c>
      <c r="R32" s="666" t="s">
        <v>14</v>
      </c>
      <c r="S32" s="667">
        <f t="shared" si="10"/>
        <v>100</v>
      </c>
      <c r="T32" s="666" t="s">
        <v>14</v>
      </c>
      <c r="U32" s="667">
        <f t="shared" si="11"/>
        <v>100</v>
      </c>
      <c r="V32" s="666" t="s">
        <v>14</v>
      </c>
      <c r="W32" s="667">
        <f t="shared" si="12"/>
        <v>100</v>
      </c>
      <c r="X32" s="1262"/>
      <c r="Y32" s="3429"/>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7"/>
      <c r="M33" s="2482"/>
      <c r="N33" s="2482"/>
      <c r="O33" s="2536"/>
      <c r="P33" s="3429"/>
      <c r="Q33" s="1260"/>
      <c r="R33" s="666"/>
      <c r="S33" s="667"/>
      <c r="T33" s="666"/>
      <c r="U33" s="667"/>
      <c r="V33" s="666"/>
      <c r="W33" s="667"/>
      <c r="X33" s="1262"/>
      <c r="Y33" s="3429"/>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6"/>
      <c r="P34" s="3429"/>
      <c r="Q34" s="1260" t="str">
        <f t="shared" si="8"/>
        <v>土地级别</v>
      </c>
      <c r="R34" s="666" t="s">
        <v>14</v>
      </c>
      <c r="S34" s="667">
        <f t="shared" si="10"/>
        <v>100</v>
      </c>
      <c r="T34" s="666" t="s">
        <v>14</v>
      </c>
      <c r="U34" s="667">
        <f t="shared" si="11"/>
        <v>100</v>
      </c>
      <c r="V34" s="666" t="s">
        <v>14</v>
      </c>
      <c r="W34" s="667">
        <f t="shared" si="12"/>
        <v>100</v>
      </c>
      <c r="X34" s="1262"/>
      <c r="Y34" s="3429"/>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6"/>
      <c r="P35" s="3429"/>
      <c r="Q35" s="1260">
        <f t="shared" si="8"/>
        <v>111</v>
      </c>
      <c r="R35" s="666" t="s">
        <v>14</v>
      </c>
      <c r="S35" s="667">
        <f t="shared" si="10"/>
        <v>100</v>
      </c>
      <c r="T35" s="666" t="s">
        <v>14</v>
      </c>
      <c r="U35" s="667">
        <f t="shared" si="11"/>
        <v>100</v>
      </c>
      <c r="V35" s="666" t="s">
        <v>14</v>
      </c>
      <c r="W35" s="667">
        <f t="shared" si="12"/>
        <v>100</v>
      </c>
      <c r="X35" s="1262"/>
      <c r="Y35" s="3429"/>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6"/>
      <c r="P36" s="3529" t="s">
        <v>1696</v>
      </c>
      <c r="Q36" s="1260">
        <f t="shared" si="8"/>
        <v>111</v>
      </c>
      <c r="R36" s="666" t="s">
        <v>14</v>
      </c>
      <c r="S36" s="667">
        <f t="shared" si="10"/>
        <v>100</v>
      </c>
      <c r="T36" s="666" t="s">
        <v>14</v>
      </c>
      <c r="U36" s="667">
        <f t="shared" si="11"/>
        <v>100</v>
      </c>
      <c r="V36" s="666" t="s">
        <v>14</v>
      </c>
      <c r="W36" s="667">
        <f t="shared" si="12"/>
        <v>100</v>
      </c>
      <c r="X36" s="1262"/>
      <c r="Y36" s="3433" t="s">
        <v>1696</v>
      </c>
      <c r="Z36" s="1261">
        <f t="shared" si="13"/>
        <v>111</v>
      </c>
      <c r="AA36" s="1261">
        <f t="shared" si="3"/>
        <v>1</v>
      </c>
      <c r="AB36" s="1261">
        <f t="shared" si="4"/>
        <v>1</v>
      </c>
      <c r="AC36" s="1261">
        <f t="shared" si="5"/>
        <v>1</v>
      </c>
    </row>
    <row r="37" spans="1:29" s="408" customFormat="1" ht="15.6"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7"/>
      <c r="P37" s="3433"/>
      <c r="Q37" s="1260">
        <f t="shared" si="8"/>
        <v>111</v>
      </c>
      <c r="R37" s="668" t="s">
        <v>14</v>
      </c>
      <c r="S37" s="669">
        <f t="shared" si="10"/>
        <v>100</v>
      </c>
      <c r="T37" s="668" t="s">
        <v>14</v>
      </c>
      <c r="U37" s="669">
        <f t="shared" si="11"/>
        <v>100</v>
      </c>
      <c r="V37" s="668" t="s">
        <v>14</v>
      </c>
      <c r="W37" s="669">
        <f t="shared" si="12"/>
        <v>100</v>
      </c>
      <c r="X37" s="670"/>
      <c r="Y37" s="3433"/>
      <c r="Z37" s="671">
        <f t="shared" si="13"/>
        <v>111</v>
      </c>
      <c r="AA37" s="1261">
        <f t="shared" si="3"/>
        <v>1</v>
      </c>
      <c r="AB37" s="1261">
        <f t="shared" si="4"/>
        <v>1</v>
      </c>
      <c r="AC37" s="1261">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7"/>
      <c r="M38" s="2482"/>
      <c r="N38" s="2482"/>
      <c r="O38" s="2536"/>
      <c r="P38" s="3433"/>
      <c r="Q38" s="1260" t="str">
        <f>B38</f>
        <v>宗地面积</v>
      </c>
      <c r="R38" s="666" t="s">
        <v>14</v>
      </c>
      <c r="S38" s="667" t="e">
        <f t="shared" si="10"/>
        <v>#N/A</v>
      </c>
      <c r="T38" s="666" t="s">
        <v>14</v>
      </c>
      <c r="U38" s="667" t="e">
        <f t="shared" si="11"/>
        <v>#N/A</v>
      </c>
      <c r="V38" s="666" t="s">
        <v>14</v>
      </c>
      <c r="W38" s="667" t="e">
        <f t="shared" si="12"/>
        <v>#N/A</v>
      </c>
      <c r="X38" s="1262"/>
      <c r="Y38" s="3433"/>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7"/>
      <c r="M39" s="2482"/>
      <c r="N39" s="2482"/>
      <c r="O39" s="2536"/>
      <c r="P39" s="3433"/>
      <c r="Q39" s="1260" t="str">
        <f t="shared" ref="Q39:Q45" si="14">B39</f>
        <v>宗地形状</v>
      </c>
      <c r="R39" s="666" t="s">
        <v>14</v>
      </c>
      <c r="S39" s="667">
        <f t="shared" si="10"/>
        <v>100</v>
      </c>
      <c r="T39" s="666" t="s">
        <v>14</v>
      </c>
      <c r="U39" s="667">
        <f t="shared" si="11"/>
        <v>100</v>
      </c>
      <c r="V39" s="666" t="s">
        <v>14</v>
      </c>
      <c r="W39" s="667">
        <f t="shared" si="12"/>
        <v>100</v>
      </c>
      <c r="X39" s="1262"/>
      <c r="Y39" s="3433"/>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7"/>
      <c r="M40" s="2482"/>
      <c r="N40" s="2482"/>
      <c r="O40" s="2536"/>
      <c r="P40" s="3433"/>
      <c r="Q40" s="1260" t="str">
        <f t="shared" si="14"/>
        <v>临街宽度及深度</v>
      </c>
      <c r="R40" s="666" t="s">
        <v>14</v>
      </c>
      <c r="S40" s="667">
        <f t="shared" si="10"/>
        <v>100</v>
      </c>
      <c r="T40" s="666" t="s">
        <v>14</v>
      </c>
      <c r="U40" s="667">
        <f t="shared" si="11"/>
        <v>100</v>
      </c>
      <c r="V40" s="666" t="s">
        <v>14</v>
      </c>
      <c r="W40" s="667">
        <f t="shared" si="12"/>
        <v>100</v>
      </c>
      <c r="X40" s="1262"/>
      <c r="Y40" s="3433"/>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3"/>
      <c r="M41" s="2435"/>
      <c r="N41" s="2435"/>
      <c r="O41" s="2534"/>
      <c r="P41" s="3433"/>
      <c r="Q41" s="1260" t="str">
        <f t="shared" si="14"/>
        <v>宗地开发程度</v>
      </c>
      <c r="R41" s="663" t="s">
        <v>14</v>
      </c>
      <c r="S41" s="664">
        <f t="shared" si="10"/>
        <v>100</v>
      </c>
      <c r="T41" s="663" t="s">
        <v>14</v>
      </c>
      <c r="U41" s="664">
        <f t="shared" si="11"/>
        <v>100</v>
      </c>
      <c r="V41" s="663" t="s">
        <v>14</v>
      </c>
      <c r="W41" s="664">
        <f t="shared" si="12"/>
        <v>100</v>
      </c>
      <c r="X41" s="665"/>
      <c r="Y41" s="3433"/>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7"/>
      <c r="M42" s="2482"/>
      <c r="N42" s="2482"/>
      <c r="O42" s="2536"/>
      <c r="P42" s="3433" t="s">
        <v>1696</v>
      </c>
      <c r="Q42" s="1260" t="str">
        <f t="shared" si="14"/>
        <v>工程地质条件</v>
      </c>
      <c r="R42" s="666" t="s">
        <v>14</v>
      </c>
      <c r="S42" s="667">
        <f t="shared" si="10"/>
        <v>100</v>
      </c>
      <c r="T42" s="666" t="s">
        <v>14</v>
      </c>
      <c r="U42" s="667">
        <f t="shared" si="11"/>
        <v>100</v>
      </c>
      <c r="V42" s="666" t="s">
        <v>14</v>
      </c>
      <c r="W42" s="667">
        <f t="shared" si="12"/>
        <v>100</v>
      </c>
      <c r="X42" s="1262"/>
      <c r="Y42" s="3433"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6"/>
      <c r="P43" s="3433"/>
      <c r="Q43" s="1260">
        <f t="shared" si="14"/>
        <v>111</v>
      </c>
      <c r="R43" s="666" t="s">
        <v>14</v>
      </c>
      <c r="S43" s="667">
        <f t="shared" si="10"/>
        <v>100</v>
      </c>
      <c r="T43" s="666" t="s">
        <v>14</v>
      </c>
      <c r="U43" s="667">
        <f t="shared" si="11"/>
        <v>100</v>
      </c>
      <c r="V43" s="666" t="s">
        <v>14</v>
      </c>
      <c r="W43" s="667">
        <f t="shared" si="12"/>
        <v>100</v>
      </c>
      <c r="X43" s="1262"/>
      <c r="Y43" s="3433"/>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6"/>
      <c r="P44" s="3433"/>
      <c r="Q44" s="1260">
        <f t="shared" si="14"/>
        <v>111</v>
      </c>
      <c r="R44" s="666" t="s">
        <v>14</v>
      </c>
      <c r="S44" s="667">
        <f t="shared" si="10"/>
        <v>100</v>
      </c>
      <c r="T44" s="666" t="s">
        <v>14</v>
      </c>
      <c r="U44" s="667">
        <f t="shared" si="11"/>
        <v>100</v>
      </c>
      <c r="V44" s="666" t="s">
        <v>14</v>
      </c>
      <c r="W44" s="667">
        <f t="shared" si="12"/>
        <v>100</v>
      </c>
      <c r="X44" s="1262"/>
      <c r="Y44" s="3433"/>
      <c r="Z44" s="1261">
        <f t="shared" si="13"/>
        <v>111</v>
      </c>
      <c r="AA44" s="1261">
        <f t="shared" si="3"/>
        <v>1</v>
      </c>
      <c r="AB44" s="1261">
        <f t="shared" si="4"/>
        <v>1</v>
      </c>
      <c r="AC44" s="1261">
        <f t="shared" si="5"/>
        <v>1</v>
      </c>
    </row>
    <row r="45" spans="1:29" s="408" customFormat="1" ht="15.6"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7"/>
      <c r="P45" s="3433"/>
      <c r="Q45" s="1260">
        <f t="shared" si="14"/>
        <v>111</v>
      </c>
      <c r="R45" s="668" t="s">
        <v>14</v>
      </c>
      <c r="S45" s="669">
        <f t="shared" si="10"/>
        <v>100</v>
      </c>
      <c r="T45" s="668" t="s">
        <v>14</v>
      </c>
      <c r="U45" s="669">
        <f t="shared" si="11"/>
        <v>100</v>
      </c>
      <c r="V45" s="668" t="s">
        <v>14</v>
      </c>
      <c r="W45" s="669">
        <f t="shared" si="12"/>
        <v>100</v>
      </c>
      <c r="X45" s="670"/>
      <c r="Y45" s="3433"/>
      <c r="Z45" s="671">
        <f t="shared" si="13"/>
        <v>111</v>
      </c>
      <c r="AA45" s="1261">
        <f t="shared" si="3"/>
        <v>1</v>
      </c>
      <c r="AB45" s="1261">
        <f t="shared" si="4"/>
        <v>1</v>
      </c>
      <c r="AC45" s="1261">
        <f t="shared" si="5"/>
        <v>1</v>
      </c>
    </row>
    <row r="46" spans="1:29" ht="14.4">
      <c r="A46" s="416" t="s">
        <v>1844</v>
      </c>
      <c r="B46" s="1827" t="s">
        <v>1879</v>
      </c>
      <c r="C46" s="601" t="s">
        <v>0</v>
      </c>
      <c r="D46" s="418"/>
      <c r="E46" s="419"/>
      <c r="F46" s="420"/>
      <c r="G46" s="421"/>
      <c r="H46" s="422"/>
      <c r="I46" s="419"/>
      <c r="J46" s="422"/>
      <c r="K46" s="673"/>
      <c r="L46" s="2489"/>
      <c r="M46" s="2482"/>
      <c r="N46" s="2482"/>
      <c r="O46" s="2482"/>
      <c r="P46" s="3421" t="str">
        <f>A46</f>
        <v>成交单价</v>
      </c>
      <c r="Q46" s="3421"/>
      <c r="R46" s="3422">
        <f>E46</f>
        <v>0</v>
      </c>
      <c r="S46" s="3422"/>
      <c r="T46" s="3422">
        <f>G46</f>
        <v>0</v>
      </c>
      <c r="U46" s="3422"/>
      <c r="V46" s="3422">
        <f>I46</f>
        <v>0</v>
      </c>
      <c r="W46" s="3422"/>
      <c r="X46" s="385"/>
      <c r="Y46" s="672"/>
      <c r="Z46" s="385"/>
      <c r="AA46" s="385"/>
      <c r="AB46" s="385"/>
      <c r="AC46" s="385"/>
    </row>
    <row r="47" spans="1:29" ht="15" thickBot="1">
      <c r="A47" s="423" t="s">
        <v>1793</v>
      </c>
      <c r="B47" s="602"/>
      <c r="C47" s="426" t="e">
        <f>R48</f>
        <v>#DIV/0!</v>
      </c>
      <c r="D47" s="2138" t="s">
        <v>2138</v>
      </c>
      <c r="E47" s="426" t="e">
        <f>R47</f>
        <v>#DIV/0!</v>
      </c>
      <c r="F47" s="2139"/>
      <c r="G47" s="425" t="e">
        <f>T47</f>
        <v>#DIV/0!</v>
      </c>
      <c r="H47" s="2139"/>
      <c r="I47" s="426" t="e">
        <f>V47</f>
        <v>#DIV/0!</v>
      </c>
      <c r="J47" s="2139"/>
      <c r="K47" s="2141">
        <f>F47+H47+J47</f>
        <v>0</v>
      </c>
      <c r="L47" s="2489"/>
      <c r="M47" s="2482"/>
      <c r="N47" s="2482"/>
      <c r="O47" s="2482"/>
      <c r="P47" s="3421" t="str">
        <f>A47</f>
        <v>比较价值（元/平方米）</v>
      </c>
      <c r="Q47" s="3421"/>
      <c r="R47" s="3531" t="e">
        <f>ROUND(PRODUCT(R46,AA7:AA45),0)</f>
        <v>#DIV/0!</v>
      </c>
      <c r="S47" s="3531"/>
      <c r="T47" s="3531" t="e">
        <f>ROUND(PRODUCT(T46,AB7:AB45),0)</f>
        <v>#DIV/0!</v>
      </c>
      <c r="U47" s="3531"/>
      <c r="V47" s="3531" t="e">
        <f>ROUND(PRODUCT(V46,AC7:AC45),0)</f>
        <v>#DIV/0!</v>
      </c>
      <c r="W47" s="353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423" t="str">
        <f>A48</f>
        <v>估价对象XX用房的比较价值（楼面单价，元/平方米）</v>
      </c>
      <c r="Q48" s="3424"/>
      <c r="R48" s="3532" t="e">
        <f>ROUND(IF(D47="简单平均",AVERAGE(R47:W47),R47*F47+T47*H47+V47*J47),0)</f>
        <v>#DIV/0!</v>
      </c>
      <c r="S48" s="3532"/>
      <c r="T48" s="3532"/>
      <c r="U48" s="3532"/>
      <c r="V48" s="3532"/>
      <c r="W48" s="353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8" t="s">
        <v>1883</v>
      </c>
      <c r="D55" s="1829" t="s">
        <v>1884</v>
      </c>
      <c r="E55" s="605" t="s">
        <v>1885</v>
      </c>
      <c r="F55" s="834" t="s">
        <v>1886</v>
      </c>
      <c r="G55" s="3439" t="s">
        <v>1887</v>
      </c>
      <c r="H55" s="3533"/>
      <c r="I55" s="127"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7">
        <v>1</v>
      </c>
      <c r="E56" s="609">
        <f>'数据-汇总表'!E8+'数据-汇总表'!E9</f>
        <v>15259.08</v>
      </c>
      <c r="F56" s="830" t="e">
        <f t="shared" ref="F56:F64" si="15">ROUND(B56*E56/10000,0)</f>
        <v>#DIV/0!</v>
      </c>
      <c r="G56" s="3435"/>
      <c r="H56" s="3421"/>
      <c r="I56" s="835">
        <v>1</v>
      </c>
      <c r="J56" s="838">
        <v>1</v>
      </c>
      <c r="K56" s="2492"/>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10" t="e">
        <f>ROUND($C$48*C57*D57,0)</f>
        <v>#DIV/0!</v>
      </c>
      <c r="C57" s="163">
        <f t="shared" ref="C57:C64" si="16">IF($C$55="北京市系数",I57,J57)</f>
        <v>0.6</v>
      </c>
      <c r="D57" s="888">
        <v>0.25</v>
      </c>
      <c r="E57" s="613"/>
      <c r="F57" s="830" t="e">
        <f t="shared" si="15"/>
        <v>#DIV/0!</v>
      </c>
      <c r="G57" s="2744" t="s">
        <v>1892</v>
      </c>
      <c r="H57" s="831" t="str">
        <f>项目基本情况!B37</f>
        <v>五级</v>
      </c>
      <c r="I57" s="835">
        <f>SUMIF(修正!A57:A68,H57,修正!B57:B68)</f>
        <v>0.6</v>
      </c>
      <c r="J57" s="839"/>
      <c r="K57" s="2482"/>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10" t="e">
        <f t="shared" ref="B58:B64" si="17">ROUND($C$48*C58*D58,0)</f>
        <v>#DIV/0!</v>
      </c>
      <c r="C58" s="163">
        <f t="shared" si="16"/>
        <v>0.3</v>
      </c>
      <c r="D58" s="888">
        <v>0.25</v>
      </c>
      <c r="E58" s="613"/>
      <c r="F58" s="830" t="e">
        <f t="shared" si="15"/>
        <v>#DIV/0!</v>
      </c>
      <c r="G58" s="2745"/>
      <c r="H58" s="831" t="str">
        <f>项目基本情况!B37</f>
        <v>五级</v>
      </c>
      <c r="I58" s="835">
        <f>SUMIF(修正!A57:A68,H58,修正!C57:C68)</f>
        <v>0.3</v>
      </c>
      <c r="J58" s="839"/>
      <c r="K58" s="2492"/>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10" t="e">
        <f t="shared" si="17"/>
        <v>#DIV/0!</v>
      </c>
      <c r="C59" s="163">
        <f t="shared" si="16"/>
        <v>0.25</v>
      </c>
      <c r="D59" s="888">
        <v>0.25</v>
      </c>
      <c r="E59" s="613"/>
      <c r="F59" s="830" t="e">
        <f t="shared" si="15"/>
        <v>#DIV/0!</v>
      </c>
      <c r="G59" s="2745"/>
      <c r="H59" s="831" t="str">
        <f>项目基本情况!B37</f>
        <v>五级</v>
      </c>
      <c r="I59" s="835">
        <f>SUMIF(修正!A57:A68,H59,修正!D57:D68)</f>
        <v>0.25</v>
      </c>
      <c r="J59" s="839"/>
      <c r="K59" s="2482"/>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10" t="e">
        <f t="shared" si="17"/>
        <v>#DIV/0!</v>
      </c>
      <c r="C60" s="163">
        <f t="shared" si="16"/>
        <v>0.25</v>
      </c>
      <c r="D60" s="888">
        <v>0.25</v>
      </c>
      <c r="E60" s="209">
        <f>'数据-汇总表'!E11</f>
        <v>0</v>
      </c>
      <c r="F60" s="830" t="e">
        <f t="shared" si="15"/>
        <v>#DIV/0!</v>
      </c>
      <c r="G60" s="1832" t="s">
        <v>1896</v>
      </c>
      <c r="H60" s="831" t="str">
        <f>项目基本情况!C37</f>
        <v>五级</v>
      </c>
      <c r="I60" s="835">
        <f>SUMIF(修正!A57:A68,H60,修正!E57:E68)</f>
        <v>0.25</v>
      </c>
      <c r="J60" s="839"/>
      <c r="K60" s="2482"/>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10" t="e">
        <f t="shared" si="17"/>
        <v>#DIV/0!</v>
      </c>
      <c r="C61" s="163">
        <f t="shared" si="16"/>
        <v>0.25</v>
      </c>
      <c r="D61" s="888">
        <v>0.25</v>
      </c>
      <c r="E61" s="209">
        <f>'数据-汇总表'!E12</f>
        <v>0</v>
      </c>
      <c r="F61" s="830" t="e">
        <f t="shared" si="15"/>
        <v>#DIV/0!</v>
      </c>
      <c r="G61" s="836" t="s">
        <v>1898</v>
      </c>
      <c r="H61" s="831" t="str">
        <f>IF(G61="商业",项目基本情况!B37,IF(G61="办公",项目基本情况!C37,IF(G61="住宅",项目基本情况!D37,项目基本情况!E37)))</f>
        <v>五级</v>
      </c>
      <c r="I61" s="835">
        <f>SUMIF(修正!A57:A68,H61,修正!F57:F68)</f>
        <v>0.25</v>
      </c>
      <c r="J61" s="839"/>
      <c r="K61" s="2492"/>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10" t="e">
        <f t="shared" si="17"/>
        <v>#DIV/0!</v>
      </c>
      <c r="C62" s="163">
        <f t="shared" si="16"/>
        <v>0</v>
      </c>
      <c r="D62" s="888">
        <v>0.25</v>
      </c>
      <c r="E62" s="209">
        <f>'数据-汇总表'!E13</f>
        <v>7954.3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10" t="e">
        <f t="shared" si="17"/>
        <v>#DIV/0!</v>
      </c>
      <c r="C63" s="163">
        <f t="shared" si="16"/>
        <v>0.15</v>
      </c>
      <c r="D63" s="888">
        <v>0.25</v>
      </c>
      <c r="E63" s="209">
        <f>'数据-汇总表'!E14</f>
        <v>0</v>
      </c>
      <c r="F63" s="830" t="e">
        <f t="shared" si="15"/>
        <v>#DIV/0!</v>
      </c>
      <c r="G63" s="1832" t="s">
        <v>1892</v>
      </c>
      <c r="H63" s="831" t="str">
        <f>项目基本情况!B37</f>
        <v>五级</v>
      </c>
      <c r="I63" s="835">
        <f>SUMIF(修正!A57:A68,H63,修正!G57:G68)</f>
        <v>0.15</v>
      </c>
      <c r="J63" s="839"/>
      <c r="K63" s="2492"/>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1902</v>
      </c>
      <c r="B64" s="210" t="e">
        <f t="shared" si="17"/>
        <v>#DIV/0!</v>
      </c>
      <c r="C64" s="163">
        <f t="shared" si="16"/>
        <v>0.15</v>
      </c>
      <c r="D64" s="888">
        <v>0.25</v>
      </c>
      <c r="E64" s="209">
        <f>'数据-汇总表'!E15</f>
        <v>0</v>
      </c>
      <c r="F64" s="830" t="e">
        <f t="shared" si="15"/>
        <v>#DIV/0!</v>
      </c>
      <c r="G64" s="1833" t="s">
        <v>1896</v>
      </c>
      <c r="H64" s="841" t="str">
        <f>项目基本情况!C37</f>
        <v>五级</v>
      </c>
      <c r="I64" s="837">
        <f>SUMIF(修正!A57:A68,H64,修正!G57:G68)</f>
        <v>0.15</v>
      </c>
      <c r="J64" s="840"/>
      <c r="K64" s="2482"/>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1903</v>
      </c>
      <c r="B65" s="615" t="s">
        <v>22</v>
      </c>
      <c r="C65" s="615" t="s">
        <v>23</v>
      </c>
      <c r="D65" s="615" t="s">
        <v>392</v>
      </c>
      <c r="E65" s="615">
        <f>IF(B46="楼面地价",SUM(E56:E64),'数据-汇总表'!D3)</f>
        <v>23213.38</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3"/>
      <c r="K68" s="884"/>
      <c r="L68" s="885"/>
      <c r="M68" s="883"/>
      <c r="N68" s="2531"/>
      <c r="O68" s="2531"/>
      <c r="P68" s="2531"/>
      <c r="Q68" s="2503"/>
      <c r="R68" s="2482"/>
      <c r="S68" s="2482"/>
      <c r="T68" s="2482"/>
      <c r="U68" s="2482"/>
      <c r="V68" s="2482"/>
      <c r="W68" s="2482"/>
      <c r="X68" s="2482"/>
      <c r="Y68" s="2482"/>
      <c r="Z68" s="2482"/>
      <c r="AA68" s="2482"/>
      <c r="AB68" s="2482"/>
      <c r="AC68" s="2482"/>
    </row>
    <row r="69" spans="1:29" s="442"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6"/>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3"/>
      <c r="R72" s="2435"/>
      <c r="S72" s="2435"/>
      <c r="T72" s="2435"/>
      <c r="U72" s="2435"/>
      <c r="V72" s="2435"/>
      <c r="W72" s="2435"/>
      <c r="X72" s="2435"/>
      <c r="Y72" s="2435"/>
      <c r="Z72" s="2435"/>
      <c r="AA72" s="2435"/>
      <c r="AB72" s="2435"/>
      <c r="AC72" s="2435"/>
    </row>
    <row r="73" spans="1:29" s="102" customFormat="1" ht="14.4" thickBot="1">
      <c r="A73" s="455"/>
      <c r="B73" s="444"/>
      <c r="C73" s="562">
        <v>100</v>
      </c>
      <c r="D73" s="446"/>
      <c r="E73" s="446"/>
      <c r="F73" s="446"/>
      <c r="G73" s="446"/>
      <c r="H73" s="446"/>
      <c r="I73" s="446"/>
      <c r="J73" s="446"/>
      <c r="K73" s="446"/>
      <c r="L73" s="446"/>
      <c r="M73" s="448"/>
      <c r="N73" s="2514"/>
      <c r="O73" s="2514"/>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6"/>
      <c r="O75" s="2516"/>
      <c r="P75" s="2514"/>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5"/>
      <c r="O76" s="2515"/>
      <c r="P76" s="2514"/>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6"/>
      <c r="O77" s="2516"/>
      <c r="P77" s="2514"/>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5"/>
      <c r="O79" s="2515"/>
      <c r="P79" s="2514"/>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6"/>
      <c r="O82" s="2516"/>
      <c r="P82" s="2517"/>
      <c r="Q82" s="2509"/>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7"/>
      <c r="O83" s="2517"/>
      <c r="P83" s="2488"/>
      <c r="Q83" s="2511"/>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7"/>
      <c r="O84" s="2517"/>
      <c r="P84" s="2517"/>
      <c r="Q84" s="2509"/>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7"/>
      <c r="O86" s="2517"/>
      <c r="P86" s="2517"/>
      <c r="Q86" s="2509"/>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4"/>
      <c r="O95" s="2514"/>
      <c r="P95" s="2514"/>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4"/>
      <c r="O97" s="2514"/>
      <c r="P97" s="2514"/>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8"/>
      <c r="S100" s="2488"/>
      <c r="T100" s="2488"/>
      <c r="U100" s="2488"/>
      <c r="V100" s="2488"/>
      <c r="W100" s="2488"/>
      <c r="X100" s="2488"/>
      <c r="Y100" s="2488"/>
      <c r="Z100" s="2488"/>
      <c r="AA100" s="2488"/>
      <c r="AB100" s="2488"/>
      <c r="AC100" s="2488"/>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2"/>
      <c r="N101" s="2517"/>
      <c r="O101" s="2517"/>
      <c r="P101" s="2517"/>
      <c r="Q101" s="2509"/>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5"/>
      <c r="O105" s="2515"/>
      <c r="P105" s="2514"/>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5"/>
      <c r="O107" s="2515"/>
      <c r="P107" s="2514"/>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5"/>
      <c r="O109" s="2515"/>
      <c r="P109" s="2514"/>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6"/>
      <c r="O110" s="2516"/>
      <c r="P110" s="2514"/>
      <c r="Q110" s="2503"/>
      <c r="R110" s="2482"/>
      <c r="S110" s="2482"/>
      <c r="T110" s="2482"/>
      <c r="U110" s="2482"/>
      <c r="V110" s="2482"/>
      <c r="W110" s="2482"/>
      <c r="X110" s="2482"/>
      <c r="Y110" s="2482"/>
      <c r="Z110" s="2482"/>
      <c r="AA110" s="2482"/>
      <c r="AB110" s="2482"/>
      <c r="AC110" s="2482"/>
    </row>
    <row r="111" spans="1:29" ht="14.4" thickTop="1">
      <c r="A111" s="594"/>
      <c r="B111" s="469">
        <f>B36</f>
        <v>111</v>
      </c>
      <c r="C111" s="31"/>
      <c r="D111" s="31"/>
      <c r="E111" s="31"/>
      <c r="F111" s="31"/>
      <c r="G111" s="513"/>
      <c r="H111" s="513"/>
      <c r="I111" s="513"/>
      <c r="J111" s="513"/>
      <c r="K111" s="514"/>
      <c r="L111" s="515"/>
      <c r="M111" s="516"/>
      <c r="N111" s="2515"/>
      <c r="O111" s="2515"/>
      <c r="P111" s="2514"/>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6"/>
      <c r="O112" s="2516"/>
      <c r="P112" s="2514"/>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8"/>
      <c r="S113" s="2488"/>
      <c r="T113" s="2488"/>
      <c r="U113" s="2488"/>
      <c r="V113" s="2488"/>
      <c r="W113" s="2488"/>
      <c r="X113" s="2488"/>
      <c r="Y113" s="2488"/>
      <c r="Z113" s="2488"/>
      <c r="AA113" s="2488"/>
      <c r="AB113" s="2488"/>
      <c r="AC113" s="2488"/>
    </row>
    <row r="114" spans="1:29" s="408" customFormat="1" ht="14.4" thickBot="1">
      <c r="A114" s="484"/>
      <c r="B114" s="477"/>
      <c r="C114" s="446"/>
      <c r="D114" s="596"/>
      <c r="E114" s="596"/>
      <c r="F114" s="596"/>
      <c r="G114" s="596"/>
      <c r="H114" s="596"/>
      <c r="I114" s="596"/>
      <c r="J114" s="596"/>
      <c r="K114" s="596"/>
      <c r="L114" s="596"/>
      <c r="M114" s="618"/>
      <c r="N114" s="2516"/>
      <c r="O114" s="2516"/>
      <c r="P114" s="2517"/>
      <c r="Q114" s="2509"/>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5"/>
      <c r="O116" s="2515"/>
      <c r="P116" s="2514"/>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6"/>
      <c r="O117" s="2516"/>
      <c r="P117" s="2514"/>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5"/>
      <c r="O120" s="2515"/>
      <c r="P120" s="2514"/>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5"/>
      <c r="O124" s="2515"/>
      <c r="P124" s="2514"/>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5"/>
      <c r="O126" s="2515"/>
      <c r="P126" s="2514"/>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6"/>
      <c r="O127" s="2516"/>
      <c r="P127" s="2514"/>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5"/>
      <c r="O128" s="2515"/>
      <c r="P128" s="2514"/>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6"/>
      <c r="O129" s="2516"/>
      <c r="P129" s="2514"/>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8"/>
      <c r="S130" s="2488"/>
      <c r="T130" s="2488"/>
      <c r="U130" s="2488"/>
      <c r="V130" s="2488"/>
      <c r="W130" s="2488"/>
      <c r="X130" s="2488"/>
      <c r="Y130" s="2488"/>
      <c r="Z130" s="2488"/>
      <c r="AA130" s="2488"/>
      <c r="AB130" s="2488"/>
      <c r="AC130" s="2488"/>
    </row>
    <row r="131" spans="1:29" s="408" customFormat="1" ht="14.4" thickBot="1">
      <c r="A131" s="499"/>
      <c r="B131" s="619"/>
      <c r="C131" s="501"/>
      <c r="D131" s="501"/>
      <c r="E131" s="501"/>
      <c r="F131" s="501"/>
      <c r="G131" s="521"/>
      <c r="H131" s="521"/>
      <c r="I131" s="521"/>
      <c r="J131" s="521"/>
      <c r="K131" s="521"/>
      <c r="L131" s="521"/>
      <c r="M131" s="522"/>
      <c r="N131" s="2517"/>
      <c r="O131" s="2517"/>
      <c r="P131" s="2517"/>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39" t="s">
        <v>1770</v>
      </c>
      <c r="D4" s="3440"/>
      <c r="E4" s="3441" t="s">
        <v>1771</v>
      </c>
      <c r="F4" s="3442"/>
      <c r="G4" s="3439" t="s">
        <v>1772</v>
      </c>
      <c r="H4" s="3440"/>
      <c r="I4" s="3439" t="s">
        <v>1773</v>
      </c>
      <c r="J4" s="3440"/>
      <c r="K4" s="537" t="s">
        <v>1774</v>
      </c>
      <c r="L4" s="2481"/>
      <c r="M4" s="2482"/>
      <c r="N4" s="2482"/>
      <c r="O4" s="2482"/>
      <c r="P4" s="3443" t="s">
        <v>1775</v>
      </c>
      <c r="Q4" s="3444"/>
      <c r="R4" s="3449" t="s">
        <v>1771</v>
      </c>
      <c r="S4" s="3450"/>
      <c r="T4" s="3449" t="s">
        <v>1772</v>
      </c>
      <c r="U4" s="3450"/>
      <c r="V4" s="3422" t="s">
        <v>1773</v>
      </c>
      <c r="W4" s="3422"/>
      <c r="X4" s="1262"/>
      <c r="Y4" s="3449" t="s">
        <v>1775</v>
      </c>
      <c r="Z4" s="3450"/>
      <c r="AA4" s="3436" t="s">
        <v>1771</v>
      </c>
      <c r="AB4" s="3437" t="s">
        <v>1772</v>
      </c>
      <c r="AC4" s="3436" t="s">
        <v>1773</v>
      </c>
    </row>
    <row r="5" spans="1:29">
      <c r="A5" s="348"/>
      <c r="B5" s="349"/>
      <c r="C5" s="3457" t="s">
        <v>1673</v>
      </c>
      <c r="D5" s="3458"/>
      <c r="E5" s="3464" t="s">
        <v>1674</v>
      </c>
      <c r="F5" s="3465"/>
      <c r="G5" s="3457" t="s">
        <v>1675</v>
      </c>
      <c r="H5" s="3458"/>
      <c r="I5" s="3457" t="s">
        <v>1676</v>
      </c>
      <c r="J5" s="3458"/>
      <c r="K5" s="537"/>
      <c r="L5" s="2481"/>
      <c r="M5" s="2482"/>
      <c r="N5" s="2482"/>
      <c r="O5" s="2482"/>
      <c r="P5" s="3445"/>
      <c r="Q5" s="3446"/>
      <c r="R5" s="3451"/>
      <c r="S5" s="3452"/>
      <c r="T5" s="3451"/>
      <c r="U5" s="3452"/>
      <c r="V5" s="3422"/>
      <c r="W5" s="3422"/>
      <c r="X5" s="1262"/>
      <c r="Y5" s="3451"/>
      <c r="Z5" s="3452"/>
      <c r="AA5" s="3437"/>
      <c r="AB5" s="3437"/>
      <c r="AC5" s="3437"/>
    </row>
    <row r="6" spans="1:29" ht="15" thickBot="1">
      <c r="A6" s="350"/>
      <c r="B6" s="351"/>
      <c r="C6" s="3534" t="s">
        <v>1919</v>
      </c>
      <c r="D6" s="3535"/>
      <c r="E6" s="3536" t="s">
        <v>1919</v>
      </c>
      <c r="F6" s="3537"/>
      <c r="G6" s="3534" t="s">
        <v>1919</v>
      </c>
      <c r="H6" s="3535"/>
      <c r="I6" s="3534" t="s">
        <v>1919</v>
      </c>
      <c r="J6" s="3535"/>
      <c r="K6" s="537" t="s">
        <v>1678</v>
      </c>
      <c r="L6" s="2481"/>
      <c r="M6" s="2482"/>
      <c r="N6" s="2482"/>
      <c r="O6" s="2482"/>
      <c r="P6" s="3447"/>
      <c r="Q6" s="3448"/>
      <c r="R6" s="3451"/>
      <c r="S6" s="3452"/>
      <c r="T6" s="3453"/>
      <c r="U6" s="3454"/>
      <c r="V6" s="3422"/>
      <c r="W6" s="3422"/>
      <c r="X6" s="1262"/>
      <c r="Y6" s="3453"/>
      <c r="Z6" s="3454"/>
      <c r="AA6" s="3438"/>
      <c r="AB6" s="3438"/>
      <c r="AC6" s="3438"/>
    </row>
    <row r="7" spans="1:29" s="102" customFormat="1" ht="15" thickBot="1">
      <c r="A7" s="352" t="s">
        <v>1679</v>
      </c>
      <c r="B7" s="353"/>
      <c r="C7" s="354">
        <f>'数据-取费表'!B2</f>
        <v>45771</v>
      </c>
      <c r="D7" s="355">
        <v>100</v>
      </c>
      <c r="E7" s="356"/>
      <c r="F7" s="357">
        <f>SUMIF(65:65,YEAR(E7)&amp;"-"&amp;INT((MONTH(E7)+2)/3),66:66)</f>
        <v>0</v>
      </c>
      <c r="G7" s="1819"/>
      <c r="H7" s="355">
        <f>SUMIF(65:65,YEAR(G7)&amp;"-"&amp;INT((MONTH(G7)+2)/3),66:66)</f>
        <v>0</v>
      </c>
      <c r="I7" s="1819"/>
      <c r="J7" s="355">
        <f>SUMIF(65:65,YEAR(I7)&amp;"-"&amp;INT((MONTH(I7)+2)/3),66:66)</f>
        <v>0</v>
      </c>
      <c r="K7" s="38"/>
      <c r="L7" s="2483"/>
      <c r="M7" s="2435"/>
      <c r="N7" s="2435"/>
      <c r="O7" s="2435"/>
      <c r="P7" s="3459" t="s">
        <v>1680</v>
      </c>
      <c r="Q7" s="3461"/>
      <c r="R7" s="663" t="s">
        <v>14</v>
      </c>
      <c r="S7" s="664">
        <f t="shared" ref="S7:S15" si="0">F7</f>
        <v>0</v>
      </c>
      <c r="T7" s="663" t="s">
        <v>14</v>
      </c>
      <c r="U7" s="664">
        <f t="shared" ref="U7:U15" si="1">H7</f>
        <v>0</v>
      </c>
      <c r="V7" s="663" t="s">
        <v>14</v>
      </c>
      <c r="W7" s="664">
        <f t="shared" ref="W7:W15" si="2">J7</f>
        <v>0</v>
      </c>
      <c r="X7" s="665"/>
      <c r="Y7" s="3459" t="s">
        <v>1680</v>
      </c>
      <c r="Z7" s="346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59" t="s">
        <v>1683</v>
      </c>
      <c r="Q8" s="3460"/>
      <c r="R8" s="663" t="s">
        <v>14</v>
      </c>
      <c r="S8" s="664">
        <f t="shared" si="0"/>
        <v>0</v>
      </c>
      <c r="T8" s="663" t="s">
        <v>14</v>
      </c>
      <c r="U8" s="664">
        <f t="shared" si="1"/>
        <v>0</v>
      </c>
      <c r="V8" s="663" t="s">
        <v>14</v>
      </c>
      <c r="W8" s="664">
        <f t="shared" si="2"/>
        <v>0</v>
      </c>
      <c r="X8" s="665"/>
      <c r="Y8" s="3459" t="s">
        <v>1683</v>
      </c>
      <c r="Z8" s="3460"/>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4"/>
      <c r="P9" s="3421"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142</v>
      </c>
      <c r="G10" s="371"/>
      <c r="H10" s="119">
        <f>ROUND(100/'数据-取费表'!G16,0)</f>
        <v>142</v>
      </c>
      <c r="I10" s="371"/>
      <c r="J10" s="119">
        <f>ROUND(100/'数据-取费表'!G16,0)</f>
        <v>142</v>
      </c>
      <c r="K10" s="591"/>
      <c r="L10" s="2484"/>
      <c r="M10" s="2485"/>
      <c r="N10" s="2485"/>
      <c r="O10" s="2535"/>
      <c r="P10" s="3421"/>
      <c r="Q10" s="530" t="str">
        <f t="shared" si="6"/>
        <v>土地使用年限（年）</v>
      </c>
      <c r="R10" s="663" t="s">
        <v>14</v>
      </c>
      <c r="S10" s="664">
        <f t="shared" si="0"/>
        <v>142</v>
      </c>
      <c r="T10" s="663" t="s">
        <v>14</v>
      </c>
      <c r="U10" s="664">
        <f t="shared" si="1"/>
        <v>142</v>
      </c>
      <c r="V10" s="663" t="s">
        <v>14</v>
      </c>
      <c r="W10" s="664">
        <f t="shared" si="2"/>
        <v>142</v>
      </c>
      <c r="X10" s="665"/>
      <c r="Y10" s="3328"/>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6"/>
      <c r="P11" s="3421"/>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5"/>
      <c r="N12" s="2435"/>
      <c r="O12" s="2534"/>
      <c r="P12" s="3421"/>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6"/>
      <c r="P13" s="3421"/>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6"/>
      <c r="P14" s="3421"/>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6"/>
      <c r="P15" s="3428" t="s">
        <v>1691</v>
      </c>
      <c r="Q15" s="1260" t="str">
        <f t="shared" si="6"/>
        <v>产业集聚程度</v>
      </c>
      <c r="R15" s="666" t="s">
        <v>14</v>
      </c>
      <c r="S15" s="667">
        <f t="shared" si="0"/>
        <v>100</v>
      </c>
      <c r="T15" s="666" t="s">
        <v>14</v>
      </c>
      <c r="U15" s="667">
        <f t="shared" si="1"/>
        <v>100</v>
      </c>
      <c r="V15" s="666" t="s">
        <v>14</v>
      </c>
      <c r="W15" s="667">
        <f t="shared" si="2"/>
        <v>100</v>
      </c>
      <c r="X15" s="1262"/>
      <c r="Y15" s="3428"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7"/>
      <c r="M16" s="2482"/>
      <c r="N16" s="2482"/>
      <c r="O16" s="2536"/>
      <c r="P16" s="3429"/>
      <c r="Q16" s="1260"/>
      <c r="R16" s="666"/>
      <c r="S16" s="667"/>
      <c r="T16" s="666"/>
      <c r="U16" s="667"/>
      <c r="V16" s="666"/>
      <c r="W16" s="667"/>
      <c r="X16" s="1262"/>
      <c r="Y16" s="3429"/>
      <c r="Z16" s="1261"/>
      <c r="AA16" s="1261">
        <v>1</v>
      </c>
      <c r="AB16" s="1261">
        <v>1</v>
      </c>
      <c r="AC16" s="1261">
        <v>1</v>
      </c>
    </row>
    <row r="17" spans="1:29" ht="96.6">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6"/>
      <c r="P17" s="3429"/>
      <c r="Q17" s="1260" t="str">
        <f>B17</f>
        <v>交通便捷度</v>
      </c>
      <c r="R17" s="666" t="s">
        <v>14</v>
      </c>
      <c r="S17" s="667">
        <f>F17</f>
        <v>100</v>
      </c>
      <c r="T17" s="666" t="s">
        <v>14</v>
      </c>
      <c r="U17" s="667">
        <f>H17</f>
        <v>100</v>
      </c>
      <c r="V17" s="666" t="s">
        <v>14</v>
      </c>
      <c r="W17" s="667">
        <f>J17</f>
        <v>100</v>
      </c>
      <c r="X17" s="1262"/>
      <c r="Y17" s="342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7"/>
      <c r="M18" s="2482"/>
      <c r="N18" s="2482"/>
      <c r="O18" s="2536"/>
      <c r="P18" s="3429"/>
      <c r="Q18" s="1260"/>
      <c r="R18" s="666"/>
      <c r="S18" s="667"/>
      <c r="T18" s="666"/>
      <c r="U18" s="667"/>
      <c r="V18" s="666"/>
      <c r="W18" s="667"/>
      <c r="X18" s="1262"/>
      <c r="Y18" s="3429"/>
      <c r="Z18" s="1261"/>
      <c r="AA18" s="1261">
        <v>1</v>
      </c>
      <c r="AB18" s="1261">
        <v>1</v>
      </c>
      <c r="AC18" s="1261">
        <v>1</v>
      </c>
    </row>
    <row r="19" spans="1:29" ht="28.8">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6"/>
      <c r="P19" s="3429"/>
      <c r="Q19" s="1260" t="str">
        <f t="shared" ref="Q19:Q33" si="8">B19</f>
        <v>区域土地利用方向</v>
      </c>
      <c r="R19" s="666" t="s">
        <v>14</v>
      </c>
      <c r="S19" s="667">
        <f>F19</f>
        <v>100</v>
      </c>
      <c r="T19" s="666" t="s">
        <v>14</v>
      </c>
      <c r="U19" s="667">
        <f>H19</f>
        <v>100</v>
      </c>
      <c r="V19" s="666" t="s">
        <v>14</v>
      </c>
      <c r="W19" s="667">
        <f>J19</f>
        <v>100</v>
      </c>
      <c r="X19" s="1262"/>
      <c r="Y19" s="342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7"/>
      <c r="M20" s="2482"/>
      <c r="N20" s="2482"/>
      <c r="O20" s="2536"/>
      <c r="P20" s="3429"/>
      <c r="Q20" s="1260"/>
      <c r="R20" s="666"/>
      <c r="S20" s="667"/>
      <c r="T20" s="666"/>
      <c r="U20" s="667"/>
      <c r="V20" s="666"/>
      <c r="W20" s="667"/>
      <c r="X20" s="1262"/>
      <c r="Y20" s="3429"/>
      <c r="Z20" s="1261"/>
      <c r="AA20" s="1261"/>
      <c r="AB20" s="1261"/>
      <c r="AC20" s="1261"/>
    </row>
    <row r="21" spans="1:29" ht="82.8">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6"/>
      <c r="P21" s="3429"/>
      <c r="Q21" s="1260" t="str">
        <f t="shared" si="8"/>
        <v>环境状况</v>
      </c>
      <c r="R21" s="666" t="s">
        <v>14</v>
      </c>
      <c r="S21" s="667">
        <f>F21</f>
        <v>100</v>
      </c>
      <c r="T21" s="666" t="s">
        <v>14</v>
      </c>
      <c r="U21" s="667">
        <f>H21</f>
        <v>100</v>
      </c>
      <c r="V21" s="666" t="s">
        <v>14</v>
      </c>
      <c r="W21" s="667">
        <f>J21</f>
        <v>100</v>
      </c>
      <c r="X21" s="1262"/>
      <c r="Y21" s="342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7"/>
      <c r="M22" s="2482"/>
      <c r="N22" s="2482"/>
      <c r="O22" s="2536"/>
      <c r="P22" s="3429"/>
      <c r="Q22" s="1260"/>
      <c r="R22" s="666"/>
      <c r="S22" s="667"/>
      <c r="T22" s="666"/>
      <c r="U22" s="667"/>
      <c r="V22" s="666"/>
      <c r="W22" s="667"/>
      <c r="X22" s="1262"/>
      <c r="Y22" s="3429"/>
      <c r="Z22" s="1261"/>
      <c r="AA22" s="1261">
        <v>1</v>
      </c>
      <c r="AB22" s="1261">
        <v>1</v>
      </c>
      <c r="AC22" s="1261">
        <v>1</v>
      </c>
    </row>
    <row r="23" spans="1:29" s="102" customFormat="1" ht="41.4">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3"/>
      <c r="M23" s="2435"/>
      <c r="N23" s="2435"/>
      <c r="O23" s="2534"/>
      <c r="P23" s="3429"/>
      <c r="Q23" s="530" t="str">
        <f t="shared" si="8"/>
        <v>公共配套设施</v>
      </c>
      <c r="R23" s="663" t="s">
        <v>14</v>
      </c>
      <c r="S23" s="664">
        <f>F23</f>
        <v>100</v>
      </c>
      <c r="T23" s="663" t="s">
        <v>14</v>
      </c>
      <c r="U23" s="664">
        <f>H23</f>
        <v>100</v>
      </c>
      <c r="V23" s="663" t="s">
        <v>14</v>
      </c>
      <c r="W23" s="664">
        <f>J23</f>
        <v>100</v>
      </c>
      <c r="X23" s="665"/>
      <c r="Y23" s="3429"/>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3"/>
      <c r="M24" s="2435"/>
      <c r="N24" s="2435"/>
      <c r="O24" s="2534"/>
      <c r="P24" s="3429"/>
      <c r="Q24" s="530"/>
      <c r="R24" s="663"/>
      <c r="S24" s="664"/>
      <c r="T24" s="663"/>
      <c r="U24" s="664"/>
      <c r="V24" s="663"/>
      <c r="W24" s="664"/>
      <c r="X24" s="665"/>
      <c r="Y24" s="3429"/>
      <c r="Z24" s="50"/>
      <c r="AA24" s="50">
        <v>1</v>
      </c>
      <c r="AB24" s="50">
        <v>1</v>
      </c>
      <c r="AC24" s="50">
        <v>1</v>
      </c>
    </row>
    <row r="25" spans="1:29" s="102" customFormat="1" ht="41.4">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3"/>
      <c r="M25" s="2435"/>
      <c r="N25" s="2435"/>
      <c r="O25" s="2534"/>
      <c r="P25" s="3429"/>
      <c r="Q25" s="530" t="str">
        <f t="shared" ref="Q25" si="9">B25</f>
        <v>基础设施水平</v>
      </c>
      <c r="R25" s="663" t="s">
        <v>14</v>
      </c>
      <c r="S25" s="664">
        <f>F25</f>
        <v>100</v>
      </c>
      <c r="T25" s="663" t="s">
        <v>14</v>
      </c>
      <c r="U25" s="664">
        <f>H25</f>
        <v>100</v>
      </c>
      <c r="V25" s="663" t="s">
        <v>14</v>
      </c>
      <c r="W25" s="664">
        <f>J25</f>
        <v>100</v>
      </c>
      <c r="X25" s="665"/>
      <c r="Y25" s="3429"/>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3"/>
      <c r="M26" s="2435"/>
      <c r="N26" s="2435"/>
      <c r="O26" s="2534"/>
      <c r="P26" s="3429"/>
      <c r="Q26" s="530"/>
      <c r="R26" s="663"/>
      <c r="S26" s="664"/>
      <c r="T26" s="663"/>
      <c r="U26" s="664"/>
      <c r="V26" s="663"/>
      <c r="W26" s="664"/>
      <c r="X26" s="665"/>
      <c r="Y26" s="3429"/>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6"/>
      <c r="P27" s="3429"/>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29"/>
      <c r="Z27" s="1261" t="str">
        <f t="shared" ref="Z27:Z40" si="13">Q27</f>
        <v>临街状况</v>
      </c>
      <c r="AA27" s="1261">
        <f t="shared" si="3"/>
        <v>1</v>
      </c>
      <c r="AB27" s="1261">
        <f t="shared" si="4"/>
        <v>1</v>
      </c>
      <c r="AC27" s="1261">
        <f t="shared" si="5"/>
        <v>1</v>
      </c>
    </row>
    <row r="28" spans="1:29" ht="28.8">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6"/>
      <c r="P28" s="3429"/>
      <c r="Q28" s="1260" t="str">
        <f t="shared" si="8"/>
        <v>毗邻道路的类型与等级</v>
      </c>
      <c r="R28" s="666" t="s">
        <v>14</v>
      </c>
      <c r="S28" s="667">
        <f t="shared" si="10"/>
        <v>100</v>
      </c>
      <c r="T28" s="666" t="s">
        <v>14</v>
      </c>
      <c r="U28" s="667">
        <f t="shared" si="11"/>
        <v>100</v>
      </c>
      <c r="V28" s="666" t="s">
        <v>14</v>
      </c>
      <c r="W28" s="667">
        <f t="shared" si="12"/>
        <v>100</v>
      </c>
      <c r="X28" s="1262"/>
      <c r="Y28" s="342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7"/>
      <c r="M29" s="2482"/>
      <c r="N29" s="2482"/>
      <c r="O29" s="2536"/>
      <c r="P29" s="3429"/>
      <c r="Q29" s="1260"/>
      <c r="R29" s="666"/>
      <c r="S29" s="667"/>
      <c r="T29" s="666"/>
      <c r="U29" s="667"/>
      <c r="V29" s="666"/>
      <c r="W29" s="667"/>
      <c r="X29" s="1262"/>
      <c r="Y29" s="3429"/>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6"/>
      <c r="P30" s="3429"/>
      <c r="Q30" s="1260" t="str">
        <f t="shared" si="8"/>
        <v>土地级别</v>
      </c>
      <c r="R30" s="666" t="s">
        <v>14</v>
      </c>
      <c r="S30" s="667">
        <f t="shared" si="10"/>
        <v>100</v>
      </c>
      <c r="T30" s="666" t="s">
        <v>14</v>
      </c>
      <c r="U30" s="667">
        <f t="shared" si="11"/>
        <v>100</v>
      </c>
      <c r="V30" s="666" t="s">
        <v>14</v>
      </c>
      <c r="W30" s="667">
        <f t="shared" si="12"/>
        <v>100</v>
      </c>
      <c r="X30" s="1262"/>
      <c r="Y30" s="3429"/>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6"/>
      <c r="P31" s="3429"/>
      <c r="Q31" s="1260">
        <f t="shared" si="8"/>
        <v>111</v>
      </c>
      <c r="R31" s="666" t="s">
        <v>14</v>
      </c>
      <c r="S31" s="667">
        <f t="shared" si="10"/>
        <v>100</v>
      </c>
      <c r="T31" s="666" t="s">
        <v>14</v>
      </c>
      <c r="U31" s="667">
        <f t="shared" si="11"/>
        <v>100</v>
      </c>
      <c r="V31" s="666" t="s">
        <v>14</v>
      </c>
      <c r="W31" s="667">
        <f t="shared" si="12"/>
        <v>100</v>
      </c>
      <c r="X31" s="1262"/>
      <c r="Y31" s="3429"/>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6"/>
      <c r="P32" s="3529" t="s">
        <v>1696</v>
      </c>
      <c r="Q32" s="1260">
        <f t="shared" si="8"/>
        <v>111</v>
      </c>
      <c r="R32" s="666" t="s">
        <v>14</v>
      </c>
      <c r="S32" s="667">
        <f t="shared" si="10"/>
        <v>100</v>
      </c>
      <c r="T32" s="666" t="s">
        <v>14</v>
      </c>
      <c r="U32" s="667">
        <f t="shared" si="11"/>
        <v>100</v>
      </c>
      <c r="V32" s="666" t="s">
        <v>14</v>
      </c>
      <c r="W32" s="667">
        <f t="shared" si="12"/>
        <v>100</v>
      </c>
      <c r="X32" s="1262"/>
      <c r="Y32" s="3433" t="s">
        <v>1696</v>
      </c>
      <c r="Z32" s="1261">
        <f t="shared" si="13"/>
        <v>111</v>
      </c>
      <c r="AA32" s="1261">
        <f t="shared" si="3"/>
        <v>1</v>
      </c>
      <c r="AB32" s="1261">
        <f t="shared" si="4"/>
        <v>1</v>
      </c>
      <c r="AC32" s="1261">
        <f t="shared" si="5"/>
        <v>1</v>
      </c>
    </row>
    <row r="33" spans="1:31" s="408" customFormat="1" ht="15.6"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7"/>
      <c r="P33" s="3433"/>
      <c r="Q33" s="1260">
        <f t="shared" si="8"/>
        <v>111</v>
      </c>
      <c r="R33" s="668" t="s">
        <v>14</v>
      </c>
      <c r="S33" s="669">
        <f t="shared" si="10"/>
        <v>100</v>
      </c>
      <c r="T33" s="668" t="s">
        <v>14</v>
      </c>
      <c r="U33" s="669">
        <f t="shared" si="11"/>
        <v>100</v>
      </c>
      <c r="V33" s="668" t="s">
        <v>14</v>
      </c>
      <c r="W33" s="669">
        <f t="shared" si="12"/>
        <v>100</v>
      </c>
      <c r="X33" s="670"/>
      <c r="Y33" s="3433"/>
      <c r="Z33" s="671">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6"/>
      <c r="P34" s="3433"/>
      <c r="Q34" s="1260" t="str">
        <f>B34</f>
        <v>宗地面积</v>
      </c>
      <c r="R34" s="666" t="s">
        <v>14</v>
      </c>
      <c r="S34" s="667" t="e">
        <f t="shared" si="10"/>
        <v>#N/A</v>
      </c>
      <c r="T34" s="666" t="s">
        <v>14</v>
      </c>
      <c r="U34" s="667" t="e">
        <f t="shared" si="11"/>
        <v>#N/A</v>
      </c>
      <c r="V34" s="666" t="s">
        <v>14</v>
      </c>
      <c r="W34" s="667" t="e">
        <f t="shared" si="12"/>
        <v>#N/A</v>
      </c>
      <c r="X34" s="1262"/>
      <c r="Y34" s="3433"/>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7"/>
      <c r="M35" s="2482"/>
      <c r="N35" s="2482"/>
      <c r="O35" s="2536"/>
      <c r="P35" s="3433"/>
      <c r="Q35" s="1260" t="str">
        <f t="shared" ref="Q35:Q40" si="14">B35</f>
        <v>宗地形状</v>
      </c>
      <c r="R35" s="666" t="s">
        <v>14</v>
      </c>
      <c r="S35" s="667">
        <f t="shared" si="10"/>
        <v>100</v>
      </c>
      <c r="T35" s="666" t="s">
        <v>14</v>
      </c>
      <c r="U35" s="667">
        <f t="shared" si="11"/>
        <v>100</v>
      </c>
      <c r="V35" s="666" t="s">
        <v>14</v>
      </c>
      <c r="W35" s="667">
        <f t="shared" si="12"/>
        <v>100</v>
      </c>
      <c r="X35" s="1262"/>
      <c r="Y35" s="3433"/>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3"/>
      <c r="M36" s="2435"/>
      <c r="N36" s="2435"/>
      <c r="O36" s="2534"/>
      <c r="P36" s="3433"/>
      <c r="Q36" s="1260" t="str">
        <f t="shared" si="14"/>
        <v>宗地开发程度</v>
      </c>
      <c r="R36" s="663" t="s">
        <v>14</v>
      </c>
      <c r="S36" s="664">
        <f t="shared" si="10"/>
        <v>100</v>
      </c>
      <c r="T36" s="663" t="s">
        <v>14</v>
      </c>
      <c r="U36" s="664">
        <f t="shared" si="11"/>
        <v>100</v>
      </c>
      <c r="V36" s="663" t="s">
        <v>14</v>
      </c>
      <c r="W36" s="664">
        <f t="shared" si="12"/>
        <v>100</v>
      </c>
      <c r="X36" s="665"/>
      <c r="Y36" s="3433"/>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7"/>
      <c r="M37" s="2482"/>
      <c r="N37" s="2482"/>
      <c r="O37" s="2536"/>
      <c r="P37" s="3433" t="s">
        <v>1696</v>
      </c>
      <c r="Q37" s="1260" t="str">
        <f t="shared" si="14"/>
        <v>工程地质条件</v>
      </c>
      <c r="R37" s="666" t="s">
        <v>14</v>
      </c>
      <c r="S37" s="667">
        <f t="shared" si="10"/>
        <v>100</v>
      </c>
      <c r="T37" s="666" t="s">
        <v>14</v>
      </c>
      <c r="U37" s="667">
        <f t="shared" si="11"/>
        <v>100</v>
      </c>
      <c r="V37" s="666" t="s">
        <v>14</v>
      </c>
      <c r="W37" s="667">
        <f t="shared" si="12"/>
        <v>100</v>
      </c>
      <c r="X37" s="1262"/>
      <c r="Y37" s="3433"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6"/>
      <c r="P38" s="3433"/>
      <c r="Q38" s="1260">
        <f t="shared" si="14"/>
        <v>111</v>
      </c>
      <c r="R38" s="666" t="s">
        <v>14</v>
      </c>
      <c r="S38" s="667">
        <f t="shared" si="10"/>
        <v>100</v>
      </c>
      <c r="T38" s="666" t="s">
        <v>14</v>
      </c>
      <c r="U38" s="667">
        <f t="shared" si="11"/>
        <v>100</v>
      </c>
      <c r="V38" s="666" t="s">
        <v>14</v>
      </c>
      <c r="W38" s="667">
        <f t="shared" si="12"/>
        <v>100</v>
      </c>
      <c r="X38" s="1262"/>
      <c r="Y38" s="3433"/>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6"/>
      <c r="P39" s="3433"/>
      <c r="Q39" s="1260">
        <f t="shared" si="14"/>
        <v>111</v>
      </c>
      <c r="R39" s="666" t="s">
        <v>14</v>
      </c>
      <c r="S39" s="667">
        <f t="shared" si="10"/>
        <v>100</v>
      </c>
      <c r="T39" s="666" t="s">
        <v>14</v>
      </c>
      <c r="U39" s="667">
        <f t="shared" si="11"/>
        <v>100</v>
      </c>
      <c r="V39" s="666" t="s">
        <v>14</v>
      </c>
      <c r="W39" s="667">
        <f t="shared" si="12"/>
        <v>100</v>
      </c>
      <c r="X39" s="1262"/>
      <c r="Y39" s="3433"/>
      <c r="Z39" s="1261">
        <f t="shared" si="13"/>
        <v>111</v>
      </c>
      <c r="AA39" s="1261">
        <f t="shared" si="3"/>
        <v>1</v>
      </c>
      <c r="AB39" s="1261">
        <f t="shared" si="4"/>
        <v>1</v>
      </c>
      <c r="AC39" s="1261">
        <f t="shared" si="5"/>
        <v>1</v>
      </c>
    </row>
    <row r="40" spans="1:31" s="408" customFormat="1" ht="15.6"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7"/>
      <c r="P40" s="3433"/>
      <c r="Q40" s="1260">
        <f t="shared" si="14"/>
        <v>111</v>
      </c>
      <c r="R40" s="668" t="s">
        <v>14</v>
      </c>
      <c r="S40" s="669">
        <f t="shared" si="10"/>
        <v>100</v>
      </c>
      <c r="T40" s="668" t="s">
        <v>14</v>
      </c>
      <c r="U40" s="669">
        <f t="shared" si="11"/>
        <v>100</v>
      </c>
      <c r="V40" s="668" t="s">
        <v>14</v>
      </c>
      <c r="W40" s="669">
        <f t="shared" si="12"/>
        <v>100</v>
      </c>
      <c r="X40" s="670"/>
      <c r="Y40" s="3433"/>
      <c r="Z40" s="671">
        <f t="shared" si="13"/>
        <v>111</v>
      </c>
      <c r="AA40" s="1261">
        <f t="shared" si="3"/>
        <v>1</v>
      </c>
      <c r="AB40" s="1261">
        <f t="shared" si="4"/>
        <v>1</v>
      </c>
      <c r="AC40" s="1261">
        <f t="shared" si="5"/>
        <v>1</v>
      </c>
    </row>
    <row r="41" spans="1:31" ht="14.4">
      <c r="A41" s="416" t="s">
        <v>1844</v>
      </c>
      <c r="B41" s="1827" t="s">
        <v>1922</v>
      </c>
      <c r="C41" s="601" t="s">
        <v>0</v>
      </c>
      <c r="D41" s="418"/>
      <c r="E41" s="419"/>
      <c r="F41" s="420"/>
      <c r="G41" s="421"/>
      <c r="H41" s="422"/>
      <c r="I41" s="419"/>
      <c r="J41" s="422"/>
      <c r="K41" s="673"/>
      <c r="L41" s="2489"/>
      <c r="M41" s="2482"/>
      <c r="N41" s="2482"/>
      <c r="O41" s="2482"/>
      <c r="P41" s="3421" t="str">
        <f>A41</f>
        <v>成交单价</v>
      </c>
      <c r="Q41" s="3421"/>
      <c r="R41" s="3422">
        <f>E41</f>
        <v>0</v>
      </c>
      <c r="S41" s="3422"/>
      <c r="T41" s="3422">
        <f>G41</f>
        <v>0</v>
      </c>
      <c r="U41" s="3422"/>
      <c r="V41" s="3422">
        <f>I41</f>
        <v>0</v>
      </c>
      <c r="W41" s="3422"/>
      <c r="X41" s="385"/>
      <c r="Y41" s="672"/>
      <c r="Z41" s="385"/>
      <c r="AA41" s="385"/>
      <c r="AB41" s="385"/>
      <c r="AC41" s="385"/>
    </row>
    <row r="42" spans="1:31" ht="15" thickBot="1">
      <c r="A42" s="423" t="s">
        <v>1793</v>
      </c>
      <c r="B42" s="602"/>
      <c r="C42" s="426" t="e">
        <f>R43</f>
        <v>#DIV/0!</v>
      </c>
      <c r="D42" s="2138" t="s">
        <v>2138</v>
      </c>
      <c r="E42" s="426" t="e">
        <f>R42</f>
        <v>#DIV/0!</v>
      </c>
      <c r="F42" s="2139"/>
      <c r="G42" s="425" t="e">
        <f>T42</f>
        <v>#DIV/0!</v>
      </c>
      <c r="H42" s="2139"/>
      <c r="I42" s="426" t="e">
        <f>V42</f>
        <v>#DIV/0!</v>
      </c>
      <c r="J42" s="2139"/>
      <c r="K42" s="2141">
        <f>F42+H42+J42</f>
        <v>0</v>
      </c>
      <c r="L42" s="2489"/>
      <c r="M42" s="2482"/>
      <c r="N42" s="2482"/>
      <c r="O42" s="2482"/>
      <c r="P42" s="3421" t="str">
        <f>A42</f>
        <v>比较价值（元/平方米）</v>
      </c>
      <c r="Q42" s="3421"/>
      <c r="R42" s="3531" t="e">
        <f>ROUND(PRODUCT(R41,AA7:AA40),0)</f>
        <v>#DIV/0!</v>
      </c>
      <c r="S42" s="3531"/>
      <c r="T42" s="3531" t="e">
        <f>ROUND(PRODUCT(T41,AB7:AB40),0)</f>
        <v>#DIV/0!</v>
      </c>
      <c r="U42" s="3531"/>
      <c r="V42" s="3531" t="e">
        <f>ROUND(PRODUCT(V41,AC7:AC40),0)</f>
        <v>#DIV/0!</v>
      </c>
      <c r="W42" s="353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423" t="str">
        <f>A43</f>
        <v>估价对象XX用房的比较价值（楼面单价，元/平方米）</v>
      </c>
      <c r="Q43" s="3424"/>
      <c r="R43" s="3532" t="e">
        <f>ROUND(IF(D42="简单平均",AVERAGE(R42:W42),R42*F42+T42*H42+V42*J42),0)</f>
        <v>#DIV/0!</v>
      </c>
      <c r="S43" s="3532"/>
      <c r="T43" s="3532"/>
      <c r="U43" s="3532"/>
      <c r="V43" s="3532"/>
      <c r="W43" s="353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8" t="s">
        <v>1883</v>
      </c>
      <c r="D50" s="1829" t="s">
        <v>1884</v>
      </c>
      <c r="E50" s="605" t="s">
        <v>1885</v>
      </c>
      <c r="F50" s="606" t="s">
        <v>1886</v>
      </c>
      <c r="G50" s="3439" t="s">
        <v>1887</v>
      </c>
      <c r="H50" s="353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7">
        <v>1</v>
      </c>
      <c r="E51" s="609">
        <f>'数据-汇总表'!E8+'数据-汇总表'!E9</f>
        <v>15259.08</v>
      </c>
      <c r="F51" s="610" t="e">
        <f t="shared" ref="F51:F60" si="15">ROUND(B51*E51/10000,0)</f>
        <v>#DIV/0!</v>
      </c>
      <c r="G51" s="3435"/>
      <c r="H51" s="3421"/>
      <c r="I51" s="724">
        <v>1</v>
      </c>
      <c r="J51" s="724">
        <v>1</v>
      </c>
      <c r="K51" s="2492"/>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10" t="e">
        <f>ROUND($C$43*C52*D52,0)</f>
        <v>#DIV/0!</v>
      </c>
      <c r="C52" s="163">
        <f t="shared" ref="C52:C60" si="16">IF($C$50="北京市系数",I52,J52)</f>
        <v>0.6</v>
      </c>
      <c r="D52" s="888">
        <v>0.25</v>
      </c>
      <c r="E52" s="613"/>
      <c r="F52" s="610" t="e">
        <f t="shared" si="15"/>
        <v>#DIV/0!</v>
      </c>
      <c r="G52" s="2744" t="s">
        <v>1892</v>
      </c>
      <c r="H52" s="831" t="str">
        <f>项目基本情况!B37</f>
        <v>五级</v>
      </c>
      <c r="I52" s="724">
        <f>SUMIF(修正!A57:A68,H52,修正!B57:B68)</f>
        <v>0.6</v>
      </c>
      <c r="J52" s="725"/>
      <c r="K52" s="2482"/>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10" t="e">
        <f t="shared" ref="B53:B60" si="17">ROUND($C$43*C53*D53,0)</f>
        <v>#DIV/0!</v>
      </c>
      <c r="C53" s="163">
        <f t="shared" si="16"/>
        <v>0.3</v>
      </c>
      <c r="D53" s="888">
        <v>0.25</v>
      </c>
      <c r="E53" s="613"/>
      <c r="F53" s="610" t="e">
        <f t="shared" si="15"/>
        <v>#DIV/0!</v>
      </c>
      <c r="G53" s="2745"/>
      <c r="H53" s="831" t="str">
        <f>项目基本情况!B37</f>
        <v>五级</v>
      </c>
      <c r="I53" s="724">
        <f>SUMIF(修正!A57:A68,H53,修正!C57:C68)</f>
        <v>0.3</v>
      </c>
      <c r="J53" s="725"/>
      <c r="K53" s="2492"/>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10" t="e">
        <f t="shared" si="17"/>
        <v>#DIV/0!</v>
      </c>
      <c r="C54" s="163">
        <f t="shared" si="16"/>
        <v>0.25</v>
      </c>
      <c r="D54" s="888">
        <v>0.25</v>
      </c>
      <c r="E54" s="613"/>
      <c r="F54" s="610" t="e">
        <f t="shared" si="15"/>
        <v>#DIV/0!</v>
      </c>
      <c r="G54" s="2745"/>
      <c r="H54" s="831" t="str">
        <f>项目基本情况!B37</f>
        <v>五级</v>
      </c>
      <c r="I54" s="724">
        <f>SUMIF(修正!A57:A68,H54,修正!D57:D68)</f>
        <v>0.25</v>
      </c>
      <c r="J54" s="725"/>
      <c r="K54" s="2482"/>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2"/>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10" t="e">
        <f t="shared" si="17"/>
        <v>#DIV/0!</v>
      </c>
      <c r="C56" s="163">
        <f t="shared" si="16"/>
        <v>0.25</v>
      </c>
      <c r="D56" s="888">
        <v>0.25</v>
      </c>
      <c r="E56" s="209">
        <f>'数据-汇总表'!E11</f>
        <v>0</v>
      </c>
      <c r="F56" s="610" t="e">
        <f t="shared" si="15"/>
        <v>#DIV/0!</v>
      </c>
      <c r="G56" s="1832" t="s">
        <v>1896</v>
      </c>
      <c r="H56" s="831" t="str">
        <f>项目基本情况!C37</f>
        <v>五级</v>
      </c>
      <c r="I56" s="724">
        <f>SUMIF(修正!A57:A68,H56,修正!E57:E68)</f>
        <v>0.25</v>
      </c>
      <c r="J56" s="725"/>
      <c r="K56" s="2482"/>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10" t="e">
        <f t="shared" si="17"/>
        <v>#DIV/0!</v>
      </c>
      <c r="C57" s="163">
        <f t="shared" si="16"/>
        <v>0.25</v>
      </c>
      <c r="D57" s="888">
        <v>0.25</v>
      </c>
      <c r="E57" s="209">
        <f>'数据-汇总表'!E12</f>
        <v>0</v>
      </c>
      <c r="F57" s="610" t="e">
        <f t="shared" si="15"/>
        <v>#DIV/0!</v>
      </c>
      <c r="G57" s="836" t="s">
        <v>1898</v>
      </c>
      <c r="H57" s="831" t="str">
        <f>IF(G57="商业",项目基本情况!B37,IF(G57="办公",项目基本情况!C37,IF(G57="住宅",项目基本情况!D37,项目基本情况!E37)))</f>
        <v>五级</v>
      </c>
      <c r="I57" s="724">
        <f>SUMIF(修正!A57:A68,H57,修正!F57:F68)</f>
        <v>0.25</v>
      </c>
      <c r="J57" s="725"/>
      <c r="K57" s="2492"/>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10" t="e">
        <f t="shared" si="17"/>
        <v>#DIV/0!</v>
      </c>
      <c r="C58" s="163">
        <f t="shared" si="16"/>
        <v>0</v>
      </c>
      <c r="D58" s="888">
        <v>0.25</v>
      </c>
      <c r="E58" s="209">
        <f>'数据-汇总表'!E13</f>
        <v>7954.3</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2"/>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10" t="e">
        <f t="shared" si="17"/>
        <v>#DIV/0!</v>
      </c>
      <c r="C59" s="163">
        <f t="shared" si="16"/>
        <v>0.15</v>
      </c>
      <c r="D59" s="888">
        <v>0.25</v>
      </c>
      <c r="E59" s="209">
        <f>'数据-汇总表'!E14</f>
        <v>0</v>
      </c>
      <c r="F59" s="610" t="e">
        <f t="shared" si="15"/>
        <v>#DIV/0!</v>
      </c>
      <c r="G59" s="1832" t="s">
        <v>1892</v>
      </c>
      <c r="H59" s="831" t="str">
        <f>项目基本情况!B37</f>
        <v>五级</v>
      </c>
      <c r="I59" s="724">
        <f>SUMIF(修正!A57:A68,H59,修正!G57:G68)</f>
        <v>0.15</v>
      </c>
      <c r="J59" s="725"/>
      <c r="K59" s="2492"/>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1902</v>
      </c>
      <c r="B60" s="210" t="e">
        <f t="shared" si="17"/>
        <v>#DIV/0!</v>
      </c>
      <c r="C60" s="163">
        <f t="shared" si="16"/>
        <v>0.15</v>
      </c>
      <c r="D60" s="888">
        <v>0.25</v>
      </c>
      <c r="E60" s="209">
        <f>'数据-汇总表'!E15</f>
        <v>0</v>
      </c>
      <c r="F60" s="610" t="e">
        <f t="shared" si="15"/>
        <v>#DIV/0!</v>
      </c>
      <c r="G60" s="1833" t="s">
        <v>1896</v>
      </c>
      <c r="H60" s="841" t="str">
        <f>项目基本情况!C37</f>
        <v>五级</v>
      </c>
      <c r="I60" s="724">
        <f>SUMIF(修正!A57:A68,H60,修正!G57:G68)</f>
        <v>0.15</v>
      </c>
      <c r="J60" s="725"/>
      <c r="K60" s="2482"/>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1903</v>
      </c>
      <c r="B61" s="615" t="s">
        <v>22</v>
      </c>
      <c r="C61" s="615" t="s">
        <v>23</v>
      </c>
      <c r="D61" s="615" t="s">
        <v>392</v>
      </c>
      <c r="E61" s="615">
        <f>IF(B41="楼面地价",SUM(E51:E60),'数据-汇总表'!D3)</f>
        <v>11268.85</v>
      </c>
      <c r="F61" s="616" t="e">
        <f>IF(B41="楼面地价",SUM(F51:F60),ROUND(C43*E61/10000,0))</f>
        <v>#DIV/0!</v>
      </c>
      <c r="G61" s="882"/>
      <c r="H61" s="882"/>
      <c r="I61" s="882"/>
      <c r="J61" s="882"/>
      <c r="K61" s="2494"/>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3"/>
      <c r="P64" s="2531"/>
      <c r="Q64" s="2503"/>
      <c r="R64" s="2482"/>
      <c r="S64" s="2482"/>
      <c r="T64" s="2482"/>
      <c r="U64" s="2482"/>
      <c r="V64" s="2482"/>
      <c r="W64" s="2482"/>
      <c r="X64" s="2482"/>
      <c r="Y64" s="2482"/>
      <c r="Z64" s="2482"/>
      <c r="AA64" s="2482"/>
      <c r="AB64" s="2482"/>
      <c r="AC64" s="2482"/>
      <c r="AD64" s="2482"/>
      <c r="AE64" s="2482"/>
    </row>
    <row r="65" spans="1:31" s="442"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2">
        <v>100</v>
      </c>
      <c r="D69" s="446"/>
      <c r="E69" s="446"/>
      <c r="F69" s="446"/>
      <c r="G69" s="446"/>
      <c r="H69" s="446"/>
      <c r="I69" s="446"/>
      <c r="J69" s="446"/>
      <c r="K69" s="446"/>
      <c r="L69" s="446"/>
      <c r="M69" s="448"/>
      <c r="N69" s="2514"/>
      <c r="O69" s="2514"/>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6"/>
      <c r="O71" s="2516"/>
      <c r="P71" s="2514"/>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5"/>
      <c r="O72" s="2515"/>
      <c r="P72" s="2514"/>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6"/>
      <c r="O73" s="2516"/>
      <c r="P73" s="2514"/>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5"/>
      <c r="O75" s="2515"/>
      <c r="P75" s="2514"/>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6"/>
      <c r="O78" s="2516"/>
      <c r="P78" s="2517"/>
      <c r="Q78" s="2509"/>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7"/>
      <c r="O79" s="2517"/>
      <c r="P79" s="2488"/>
      <c r="Q79" s="2511"/>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7"/>
      <c r="O80" s="2517"/>
      <c r="P80" s="2517"/>
      <c r="Q80" s="2509"/>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7"/>
      <c r="O82" s="2517"/>
      <c r="P82" s="2517"/>
      <c r="Q82" s="2509"/>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4"/>
      <c r="O87" s="2514"/>
      <c r="P87" s="2514"/>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4"/>
      <c r="O89" s="2514"/>
      <c r="P89" s="2514"/>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17"/>
      <c r="O93" s="2517"/>
      <c r="P93" s="2517"/>
      <c r="Q93" s="2509"/>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5"/>
      <c r="O97" s="2515"/>
      <c r="P97" s="2514"/>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5"/>
      <c r="O99" s="2515"/>
      <c r="P99" s="2514"/>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5"/>
      <c r="O101" s="2515"/>
      <c r="P101" s="2514"/>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6"/>
      <c r="O102" s="2516"/>
      <c r="P102" s="2514"/>
      <c r="Q102" s="2503"/>
      <c r="R102" s="2482"/>
      <c r="S102" s="2482"/>
      <c r="T102" s="2482"/>
      <c r="U102" s="2482"/>
      <c r="V102" s="2482"/>
      <c r="W102" s="2482"/>
      <c r="X102" s="2482"/>
      <c r="Y102" s="2482"/>
      <c r="Z102" s="2482"/>
      <c r="AA102" s="2482"/>
      <c r="AB102" s="2482"/>
      <c r="AC102" s="2482"/>
      <c r="AD102" s="2482"/>
      <c r="AE102" s="2482"/>
    </row>
    <row r="103" spans="1:31" ht="14.4" thickTop="1">
      <c r="A103" s="594"/>
      <c r="B103" s="469">
        <f>B32</f>
        <v>111</v>
      </c>
      <c r="C103" s="485"/>
      <c r="D103" s="485"/>
      <c r="E103" s="485"/>
      <c r="F103" s="485"/>
      <c r="G103" s="513"/>
      <c r="H103" s="513"/>
      <c r="I103" s="513"/>
      <c r="J103" s="513"/>
      <c r="K103" s="514"/>
      <c r="L103" s="515"/>
      <c r="M103" s="516"/>
      <c r="N103" s="2515"/>
      <c r="O103" s="2515"/>
      <c r="P103" s="2514"/>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6"/>
      <c r="O104" s="2516"/>
      <c r="P104" s="2514"/>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6"/>
      <c r="H106" s="596"/>
      <c r="I106" s="596"/>
      <c r="J106" s="596"/>
      <c r="K106" s="596"/>
      <c r="L106" s="596"/>
      <c r="M106" s="618"/>
      <c r="N106" s="2516"/>
      <c r="O106" s="2516"/>
      <c r="P106" s="2517"/>
      <c r="Q106" s="2509"/>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5"/>
      <c r="O108" s="2515"/>
      <c r="P108" s="2514"/>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6"/>
      <c r="O109" s="2516"/>
      <c r="P109" s="2514"/>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5"/>
      <c r="O110" s="2515"/>
      <c r="P110" s="2514"/>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5"/>
      <c r="O114" s="2515"/>
      <c r="P114" s="2514"/>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5"/>
      <c r="O116" s="2515"/>
      <c r="P116" s="2514"/>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6"/>
      <c r="O117" s="2516"/>
      <c r="P117" s="2514"/>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6"/>
      <c r="O119" s="2516"/>
      <c r="P119" s="2514"/>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19"/>
      <c r="C121" s="501"/>
      <c r="D121" s="501"/>
      <c r="E121" s="501"/>
      <c r="F121" s="501"/>
      <c r="G121" s="521"/>
      <c r="H121" s="521"/>
      <c r="I121" s="521"/>
      <c r="J121" s="521"/>
      <c r="K121" s="521"/>
      <c r="L121" s="521"/>
      <c r="M121" s="522"/>
      <c r="N121" s="2517"/>
      <c r="O121" s="2517"/>
      <c r="P121" s="2517"/>
      <c r="Q121" s="2509"/>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2083</v>
      </c>
      <c r="C1" s="3541" t="s">
        <v>2084</v>
      </c>
      <c r="D1" s="3542"/>
      <c r="E1" s="3542"/>
      <c r="F1" s="3542"/>
      <c r="G1" s="3542"/>
      <c r="H1" s="3542"/>
      <c r="I1" s="3542"/>
      <c r="J1" s="3542"/>
      <c r="K1" s="3542"/>
      <c r="L1" s="3542"/>
      <c r="M1" s="3542"/>
      <c r="N1" s="3542"/>
      <c r="O1" s="3542"/>
      <c r="P1" s="3542"/>
      <c r="Q1" s="3542"/>
      <c r="R1" s="3542"/>
      <c r="S1" s="3543"/>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2" thickBot="1">
      <c r="A20" s="631"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8" t="s">
        <v>27</v>
      </c>
      <c r="D22" s="3539"/>
      <c r="E22" s="3539"/>
      <c r="F22" s="3539"/>
      <c r="G22" s="3539"/>
      <c r="H22" s="3539"/>
      <c r="I22" s="3539"/>
      <c r="J22" s="3539"/>
      <c r="K22" s="3539"/>
      <c r="L22" s="3539"/>
      <c r="M22" s="3539"/>
      <c r="N22" s="3539"/>
      <c r="O22" s="3539"/>
      <c r="P22" s="3539"/>
      <c r="Q22" s="35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22558.19</v>
      </c>
      <c r="F2" s="2538"/>
      <c r="G2" s="2538"/>
      <c r="H2" s="2538"/>
      <c r="I2" s="2538"/>
      <c r="J2" s="2538"/>
      <c r="K2" s="2538"/>
      <c r="L2" s="2538"/>
      <c r="M2" s="2538"/>
      <c r="N2" s="2538"/>
      <c r="O2" s="2538"/>
      <c r="P2" s="2538"/>
    </row>
    <row r="3" spans="1:16" ht="15.6">
      <c r="A3" s="1981" t="s">
        <v>2076</v>
      </c>
      <c r="B3" s="2383">
        <f ca="1">ROUND(B2*10000/E2,0)</f>
        <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t="e">
        <f ca="1">SUMIF(INDIRECT("'"&amp;A6&amp;"'"&amp;"!A:A"),"总价",INDIRECT("'"&amp;A6&amp;"'"&amp;"!B:B"))</f>
        <v>#REF!</v>
      </c>
      <c r="C6" s="1981" t="s">
        <v>2074</v>
      </c>
      <c r="D6" s="2538"/>
      <c r="E6" s="2393">
        <f ca="1">SUMIF(INDIRECT("'"&amp;A6&amp;"'"&amp;"!C:C"),"建筑面积",INDIRECT("'"&amp;A6&amp;"'"&amp;"!D:D"))</f>
        <v>22558.19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53" t="s">
        <v>2603</v>
      </c>
      <c r="B20" s="3548" t="s">
        <v>2624</v>
      </c>
      <c r="C20" s="2836" t="s">
        <v>2435</v>
      </c>
      <c r="D20" s="2837"/>
      <c r="E20" s="2838">
        <v>1</v>
      </c>
      <c r="F20" s="2839" t="s">
        <v>2436</v>
      </c>
      <c r="G20" s="2839"/>
    </row>
    <row r="21" spans="1:13" ht="19.5" customHeight="1">
      <c r="A21" s="3554"/>
      <c r="B21" s="3547"/>
      <c r="C21" s="2840" t="s">
        <v>2437</v>
      </c>
      <c r="D21" s="2841"/>
      <c r="E21" s="2842">
        <v>1</v>
      </c>
      <c r="F21" s="2839" t="s">
        <v>2438</v>
      </c>
      <c r="G21" s="2839"/>
    </row>
    <row r="22" spans="1:13" ht="19.5" customHeight="1">
      <c r="A22" s="3554"/>
      <c r="B22" s="3547"/>
      <c r="C22" s="2840" t="s">
        <v>2439</v>
      </c>
      <c r="D22" s="2841"/>
      <c r="E22" s="2842">
        <v>0.9</v>
      </c>
      <c r="F22" s="2839" t="s">
        <v>2440</v>
      </c>
      <c r="G22" s="2839"/>
    </row>
    <row r="23" spans="1:13" ht="19.5" customHeight="1">
      <c r="A23" s="3554"/>
      <c r="B23" s="3547"/>
      <c r="C23" s="2840" t="s">
        <v>2441</v>
      </c>
      <c r="D23" s="2841"/>
      <c r="E23" s="2842">
        <v>0.9</v>
      </c>
      <c r="F23" s="2839" t="s">
        <v>2442</v>
      </c>
      <c r="G23" s="2839"/>
    </row>
    <row r="24" spans="1:13" ht="19.5" customHeight="1">
      <c r="A24" s="3554"/>
      <c r="B24" s="3547"/>
      <c r="C24" s="2840" t="s">
        <v>2443</v>
      </c>
      <c r="D24" s="2841"/>
      <c r="E24" s="2842">
        <v>0.8</v>
      </c>
      <c r="F24" s="2839" t="s">
        <v>2444</v>
      </c>
      <c r="G24" s="2839"/>
    </row>
    <row r="25" spans="1:13" ht="19.5" customHeight="1" thickBot="1">
      <c r="A25" s="3555"/>
      <c r="B25" s="3549"/>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50" t="s">
        <v>2627</v>
      </c>
      <c r="B27" s="3548" t="s">
        <v>2608</v>
      </c>
      <c r="C27" s="2836" t="s">
        <v>2448</v>
      </c>
      <c r="D27" s="2837"/>
      <c r="E27" s="2838">
        <v>1</v>
      </c>
      <c r="F27" s="2839" t="s">
        <v>2449</v>
      </c>
      <c r="G27" s="2839"/>
    </row>
    <row r="28" spans="1:13" ht="19.5" customHeight="1">
      <c r="A28" s="3551"/>
      <c r="B28" s="3547"/>
      <c r="C28" s="2840" t="s">
        <v>2450</v>
      </c>
      <c r="D28" s="2841"/>
      <c r="E28" s="2842">
        <v>1</v>
      </c>
      <c r="F28" s="2839" t="s">
        <v>2451</v>
      </c>
      <c r="G28" s="2839"/>
    </row>
    <row r="29" spans="1:13" ht="19.5" customHeight="1">
      <c r="A29" s="3551"/>
      <c r="B29" s="3547"/>
      <c r="C29" s="2840" t="s">
        <v>2452</v>
      </c>
      <c r="D29" s="2841"/>
      <c r="E29" s="2842">
        <v>0.8</v>
      </c>
      <c r="F29" s="2839" t="s">
        <v>2453</v>
      </c>
      <c r="G29" s="2839"/>
    </row>
    <row r="30" spans="1:13" ht="19.5" customHeight="1">
      <c r="A30" s="3551"/>
      <c r="B30" s="3547"/>
      <c r="C30" s="2840" t="s">
        <v>2454</v>
      </c>
      <c r="D30" s="2841"/>
      <c r="E30" s="2842">
        <v>0.8</v>
      </c>
      <c r="F30" s="2839" t="s">
        <v>2455</v>
      </c>
      <c r="G30" s="2839"/>
    </row>
    <row r="31" spans="1:13" ht="19.5" customHeight="1">
      <c r="A31" s="3551"/>
      <c r="B31" s="3547"/>
      <c r="C31" s="2840" t="s">
        <v>2456</v>
      </c>
      <c r="D31" s="2841"/>
      <c r="E31" s="2842">
        <v>0.8</v>
      </c>
      <c r="F31" s="2839" t="s">
        <v>2457</v>
      </c>
      <c r="G31" s="2839"/>
    </row>
    <row r="32" spans="1:13" ht="19.5" customHeight="1">
      <c r="A32" s="3551"/>
      <c r="B32" s="3547"/>
      <c r="C32" s="2840" t="s">
        <v>2458</v>
      </c>
      <c r="D32" s="2841"/>
      <c r="E32" s="2842">
        <v>0.7</v>
      </c>
      <c r="F32" s="2839" t="s">
        <v>2459</v>
      </c>
      <c r="G32" s="2839"/>
    </row>
    <row r="33" spans="1:7" ht="19.5" customHeight="1">
      <c r="A33" s="3551"/>
      <c r="B33" s="3547"/>
      <c r="C33" s="2840" t="s">
        <v>2460</v>
      </c>
      <c r="D33" s="2841"/>
      <c r="E33" s="2842">
        <v>0.8</v>
      </c>
      <c r="F33" s="2839" t="s">
        <v>2461</v>
      </c>
      <c r="G33" s="2839"/>
    </row>
    <row r="34" spans="1:7" ht="19.5" customHeight="1">
      <c r="A34" s="3551"/>
      <c r="B34" s="3547"/>
      <c r="C34" s="2840" t="s">
        <v>2462</v>
      </c>
      <c r="D34" s="2841"/>
      <c r="E34" s="2842">
        <v>0.6</v>
      </c>
      <c r="F34" s="2839" t="s">
        <v>2463</v>
      </c>
      <c r="G34" s="2839"/>
    </row>
    <row r="35" spans="1:7" ht="19.5" customHeight="1">
      <c r="A35" s="3551"/>
      <c r="B35" s="3547"/>
      <c r="C35" s="2840" t="s">
        <v>2464</v>
      </c>
      <c r="D35" s="2841"/>
      <c r="E35" s="2842">
        <v>0.2</v>
      </c>
      <c r="F35" s="2839" t="s">
        <v>2465</v>
      </c>
      <c r="G35" s="2839"/>
    </row>
    <row r="36" spans="1:7" ht="19.5" customHeight="1">
      <c r="A36" s="3551"/>
      <c r="B36" s="3547"/>
      <c r="C36" s="2840" t="s">
        <v>2466</v>
      </c>
      <c r="D36" s="2841"/>
      <c r="E36" s="2842">
        <v>0.2</v>
      </c>
      <c r="F36" s="2839" t="s">
        <v>2467</v>
      </c>
      <c r="G36" s="2839"/>
    </row>
    <row r="37" spans="1:7" ht="19.5" customHeight="1">
      <c r="A37" s="3551"/>
      <c r="B37" s="3545" t="s">
        <v>2628</v>
      </c>
      <c r="C37" s="2840" t="s">
        <v>2468</v>
      </c>
      <c r="D37" s="2841"/>
      <c r="E37" s="2842">
        <v>0.6</v>
      </c>
      <c r="F37" s="2839" t="s">
        <v>2469</v>
      </c>
      <c r="G37" s="2839"/>
    </row>
    <row r="38" spans="1:7" ht="19.5" customHeight="1">
      <c r="A38" s="3551"/>
      <c r="B38" s="3547"/>
      <c r="C38" s="2840" t="s">
        <v>2470</v>
      </c>
      <c r="D38" s="2841"/>
      <c r="E38" s="2842">
        <v>0.6</v>
      </c>
      <c r="F38" s="2839" t="s">
        <v>2471</v>
      </c>
      <c r="G38" s="2839"/>
    </row>
    <row r="39" spans="1:7" ht="19.5" customHeight="1" thickBot="1">
      <c r="A39" s="3552"/>
      <c r="B39" s="3549"/>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53" t="s">
        <v>2606</v>
      </c>
      <c r="B41" s="3548" t="s">
        <v>2630</v>
      </c>
      <c r="C41" s="2836" t="s">
        <v>2475</v>
      </c>
      <c r="D41" s="2837"/>
      <c r="E41" s="2838">
        <v>1</v>
      </c>
      <c r="F41" s="2839" t="s">
        <v>2476</v>
      </c>
      <c r="G41" s="2839"/>
    </row>
    <row r="42" spans="1:7" ht="19.5" customHeight="1">
      <c r="A42" s="3554"/>
      <c r="B42" s="3547"/>
      <c r="C42" s="2840" t="s">
        <v>2477</v>
      </c>
      <c r="D42" s="2841"/>
      <c r="E42" s="2842">
        <v>1</v>
      </c>
      <c r="F42" s="2839" t="s">
        <v>2478</v>
      </c>
      <c r="G42" s="2839"/>
    </row>
    <row r="43" spans="1:7" ht="19.5" customHeight="1">
      <c r="A43" s="3554"/>
      <c r="B43" s="3546"/>
      <c r="C43" s="2840" t="s">
        <v>2479</v>
      </c>
      <c r="D43" s="2841"/>
      <c r="E43" s="2842">
        <v>1.5</v>
      </c>
      <c r="F43" s="2839" t="s">
        <v>2480</v>
      </c>
      <c r="G43" s="2839"/>
    </row>
    <row r="44" spans="1:7" ht="19.5" customHeight="1">
      <c r="A44" s="3554"/>
      <c r="B44" s="2851" t="s">
        <v>2631</v>
      </c>
      <c r="C44" s="2840" t="s">
        <v>2632</v>
      </c>
      <c r="D44" s="2841"/>
      <c r="E44" s="2842">
        <v>2</v>
      </c>
      <c r="F44" s="2839" t="s">
        <v>2481</v>
      </c>
      <c r="G44" s="2839"/>
    </row>
    <row r="45" spans="1:7" ht="19.5" customHeight="1">
      <c r="A45" s="3554"/>
      <c r="B45" s="3545" t="s">
        <v>2633</v>
      </c>
      <c r="C45" s="2840" t="s">
        <v>2482</v>
      </c>
      <c r="D45" s="2841"/>
      <c r="E45" s="2842">
        <v>1</v>
      </c>
      <c r="F45" s="2839" t="s">
        <v>2483</v>
      </c>
      <c r="G45" s="2839"/>
    </row>
    <row r="46" spans="1:7" ht="19.5" customHeight="1">
      <c r="A46" s="3554"/>
      <c r="B46" s="3547"/>
      <c r="C46" s="2840" t="s">
        <v>2484</v>
      </c>
      <c r="D46" s="2841"/>
      <c r="E46" s="2842">
        <v>1</v>
      </c>
      <c r="F46" s="2839" t="s">
        <v>2485</v>
      </c>
      <c r="G46" s="2839"/>
    </row>
    <row r="47" spans="1:7" ht="19.5" customHeight="1">
      <c r="A47" s="3554"/>
      <c r="B47" s="3547"/>
      <c r="C47" s="2840" t="s">
        <v>2486</v>
      </c>
      <c r="D47" s="2841"/>
      <c r="E47" s="2842">
        <v>1</v>
      </c>
      <c r="F47" s="2839" t="s">
        <v>2487</v>
      </c>
      <c r="G47" s="2839"/>
    </row>
    <row r="48" spans="1:7" ht="19.5" customHeight="1">
      <c r="A48" s="3554"/>
      <c r="B48" s="3547"/>
      <c r="C48" s="2840" t="s">
        <v>2488</v>
      </c>
      <c r="D48" s="2841"/>
      <c r="E48" s="2842">
        <v>1</v>
      </c>
      <c r="F48" s="2839" t="s">
        <v>2489</v>
      </c>
      <c r="G48" s="2839"/>
    </row>
    <row r="49" spans="1:7" ht="19.5" customHeight="1">
      <c r="A49" s="3554"/>
      <c r="B49" s="3547"/>
      <c r="C49" s="2840" t="s">
        <v>2490</v>
      </c>
      <c r="D49" s="2841"/>
      <c r="E49" s="2842">
        <v>1</v>
      </c>
      <c r="F49" s="2839" t="s">
        <v>2491</v>
      </c>
      <c r="G49" s="2839"/>
    </row>
    <row r="50" spans="1:7" ht="19.5" customHeight="1">
      <c r="A50" s="3554"/>
      <c r="B50" s="3547"/>
      <c r="C50" s="2840" t="s">
        <v>2492</v>
      </c>
      <c r="D50" s="2841"/>
      <c r="E50" s="2842">
        <v>1</v>
      </c>
      <c r="F50" s="2839" t="s">
        <v>2493</v>
      </c>
      <c r="G50" s="2839"/>
    </row>
    <row r="51" spans="1:7" ht="19.5" customHeight="1" thickBot="1">
      <c r="A51" s="3555"/>
      <c r="B51" s="3549"/>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545" t="s">
        <v>2647</v>
      </c>
      <c r="C73" s="2825" t="s">
        <v>2648</v>
      </c>
      <c r="D73" s="2825" t="s">
        <v>2649</v>
      </c>
      <c r="E73" s="2851">
        <v>0.2</v>
      </c>
      <c r="F73" s="2851">
        <v>25</v>
      </c>
    </row>
    <row r="74" spans="1:7" ht="24">
      <c r="A74" s="2851">
        <v>2</v>
      </c>
      <c r="B74" s="3547"/>
      <c r="C74" s="2825" t="s">
        <v>2650</v>
      </c>
      <c r="D74" s="2825" t="s">
        <v>2651</v>
      </c>
      <c r="E74" s="2851">
        <v>0.2</v>
      </c>
      <c r="F74" s="2851">
        <v>25</v>
      </c>
    </row>
    <row r="75" spans="1:7" ht="24">
      <c r="A75" s="2851">
        <v>3</v>
      </c>
      <c r="B75" s="3547"/>
      <c r="C75" s="2825" t="s">
        <v>2652</v>
      </c>
      <c r="D75" s="2825" t="s">
        <v>2653</v>
      </c>
      <c r="E75" s="2851">
        <v>0.2</v>
      </c>
      <c r="F75" s="2851">
        <v>25</v>
      </c>
    </row>
    <row r="76" spans="1:7" ht="14.4">
      <c r="A76" s="2851">
        <v>4</v>
      </c>
      <c r="B76" s="3547"/>
      <c r="C76" s="2825" t="s">
        <v>2654</v>
      </c>
      <c r="D76" s="2825" t="s">
        <v>2655</v>
      </c>
      <c r="E76" s="2851">
        <v>0.15</v>
      </c>
      <c r="F76" s="2851">
        <v>20</v>
      </c>
    </row>
    <row r="77" spans="1:7" ht="24">
      <c r="A77" s="2851">
        <v>5</v>
      </c>
      <c r="B77" s="3547"/>
      <c r="C77" s="2825" t="s">
        <v>2656</v>
      </c>
      <c r="D77" s="2825" t="s">
        <v>2657</v>
      </c>
      <c r="E77" s="2851">
        <v>0.15</v>
      </c>
      <c r="F77" s="2851">
        <v>20</v>
      </c>
    </row>
    <row r="78" spans="1:7" ht="24">
      <c r="A78" s="2851">
        <v>6</v>
      </c>
      <c r="B78" s="3547"/>
      <c r="C78" s="2825" t="s">
        <v>2658</v>
      </c>
      <c r="D78" s="2825" t="s">
        <v>2659</v>
      </c>
      <c r="E78" s="2851">
        <v>0.15</v>
      </c>
      <c r="F78" s="2851">
        <v>20</v>
      </c>
    </row>
    <row r="79" spans="1:7" ht="24">
      <c r="A79" s="2851">
        <v>7</v>
      </c>
      <c r="B79" s="3547"/>
      <c r="C79" s="2825" t="s">
        <v>2660</v>
      </c>
      <c r="D79" s="2825" t="s">
        <v>2661</v>
      </c>
      <c r="E79" s="2851">
        <v>0.15</v>
      </c>
      <c r="F79" s="2851">
        <v>20</v>
      </c>
    </row>
    <row r="80" spans="1:7" ht="24">
      <c r="A80" s="2851">
        <v>8</v>
      </c>
      <c r="B80" s="3547"/>
      <c r="C80" s="2825" t="s">
        <v>2662</v>
      </c>
      <c r="D80" s="2825" t="s">
        <v>2663</v>
      </c>
      <c r="E80" s="2851">
        <v>0.1</v>
      </c>
      <c r="F80" s="2851">
        <v>15</v>
      </c>
    </row>
    <row r="81" spans="1:6" ht="24">
      <c r="A81" s="2851">
        <v>9</v>
      </c>
      <c r="B81" s="3547"/>
      <c r="C81" s="2825" t="s">
        <v>2664</v>
      </c>
      <c r="D81" s="2825" t="s">
        <v>2665</v>
      </c>
      <c r="E81" s="2851">
        <v>0.1</v>
      </c>
      <c r="F81" s="2851">
        <v>15</v>
      </c>
    </row>
    <row r="82" spans="1:6" ht="24">
      <c r="A82" s="2851">
        <v>10</v>
      </c>
      <c r="B82" s="3547"/>
      <c r="C82" s="2825" t="s">
        <v>2666</v>
      </c>
      <c r="D82" s="2825" t="s">
        <v>2667</v>
      </c>
      <c r="E82" s="2851">
        <v>0.1</v>
      </c>
      <c r="F82" s="2851">
        <v>15</v>
      </c>
    </row>
    <row r="83" spans="1:6" ht="24">
      <c r="A83" s="2851">
        <v>11</v>
      </c>
      <c r="B83" s="3547"/>
      <c r="C83" s="2825" t="s">
        <v>2668</v>
      </c>
      <c r="D83" s="2825" t="s">
        <v>2669</v>
      </c>
      <c r="E83" s="2851">
        <v>0.1</v>
      </c>
      <c r="F83" s="2851">
        <v>15</v>
      </c>
    </row>
    <row r="84" spans="1:6" ht="24">
      <c r="A84" s="2851">
        <v>12</v>
      </c>
      <c r="B84" s="3547"/>
      <c r="C84" s="2825" t="s">
        <v>2670</v>
      </c>
      <c r="D84" s="2825" t="s">
        <v>2671</v>
      </c>
      <c r="E84" s="2851">
        <v>0.1</v>
      </c>
      <c r="F84" s="2851">
        <v>15</v>
      </c>
    </row>
    <row r="85" spans="1:6" ht="24">
      <c r="A85" s="2851">
        <v>13</v>
      </c>
      <c r="B85" s="3547"/>
      <c r="C85" s="2825" t="s">
        <v>2672</v>
      </c>
      <c r="D85" s="2825" t="s">
        <v>2673</v>
      </c>
      <c r="E85" s="2851">
        <v>0.1</v>
      </c>
      <c r="F85" s="2851">
        <v>15</v>
      </c>
    </row>
    <row r="86" spans="1:6" ht="24">
      <c r="A86" s="2851">
        <v>14</v>
      </c>
      <c r="B86" s="3547"/>
      <c r="C86" s="2825" t="s">
        <v>2674</v>
      </c>
      <c r="D86" s="2825" t="s">
        <v>2675</v>
      </c>
      <c r="E86" s="2851">
        <v>0.1</v>
      </c>
      <c r="F86" s="2851">
        <v>15</v>
      </c>
    </row>
    <row r="87" spans="1:6" ht="24">
      <c r="A87" s="2851">
        <v>15</v>
      </c>
      <c r="B87" s="3547"/>
      <c r="C87" s="2825" t="s">
        <v>2676</v>
      </c>
      <c r="D87" s="2825" t="s">
        <v>2677</v>
      </c>
      <c r="E87" s="2851">
        <v>0.1</v>
      </c>
      <c r="F87" s="2851">
        <v>15</v>
      </c>
    </row>
    <row r="88" spans="1:6" ht="24">
      <c r="A88" s="2851">
        <v>16</v>
      </c>
      <c r="B88" s="3547"/>
      <c r="C88" s="2825" t="s">
        <v>2678</v>
      </c>
      <c r="D88" s="2825" t="s">
        <v>2679</v>
      </c>
      <c r="E88" s="2851">
        <v>0.1</v>
      </c>
      <c r="F88" s="2851">
        <v>15</v>
      </c>
    </row>
    <row r="89" spans="1:6" ht="24">
      <c r="A89" s="2851">
        <v>17</v>
      </c>
      <c r="B89" s="3546"/>
      <c r="C89" s="2825" t="s">
        <v>2680</v>
      </c>
      <c r="D89" s="2825" t="s">
        <v>2681</v>
      </c>
      <c r="E89" s="2851">
        <v>0.1</v>
      </c>
      <c r="F89" s="2851">
        <v>15</v>
      </c>
    </row>
    <row r="90" spans="1:6" ht="14.4">
      <c r="A90" s="2851">
        <v>18</v>
      </c>
      <c r="B90" s="3545" t="s">
        <v>2682</v>
      </c>
      <c r="C90" s="2825" t="s">
        <v>2683</v>
      </c>
      <c r="D90" s="2825" t="s">
        <v>2684</v>
      </c>
      <c r="E90" s="2851">
        <v>0.2</v>
      </c>
      <c r="F90" s="2851">
        <v>25</v>
      </c>
    </row>
    <row r="91" spans="1:6" ht="24">
      <c r="A91" s="2851">
        <v>19</v>
      </c>
      <c r="B91" s="3547"/>
      <c r="C91" s="2825" t="s">
        <v>2685</v>
      </c>
      <c r="D91" s="2825" t="s">
        <v>2686</v>
      </c>
      <c r="E91" s="2851">
        <v>0.2</v>
      </c>
      <c r="F91" s="2851">
        <v>25</v>
      </c>
    </row>
    <row r="92" spans="1:6" ht="14.4">
      <c r="A92" s="2851">
        <v>20</v>
      </c>
      <c r="B92" s="3547"/>
      <c r="C92" s="2825" t="s">
        <v>2687</v>
      </c>
      <c r="D92" s="2825" t="s">
        <v>2688</v>
      </c>
      <c r="E92" s="2851">
        <v>0.15</v>
      </c>
      <c r="F92" s="2851">
        <v>20</v>
      </c>
    </row>
    <row r="93" spans="1:6" ht="24">
      <c r="A93" s="2851">
        <v>21</v>
      </c>
      <c r="B93" s="3547"/>
      <c r="C93" s="2825" t="s">
        <v>2689</v>
      </c>
      <c r="D93" s="2825" t="s">
        <v>2690</v>
      </c>
      <c r="E93" s="2851">
        <v>0.15</v>
      </c>
      <c r="F93" s="2851">
        <v>20</v>
      </c>
    </row>
    <row r="94" spans="1:6" ht="24">
      <c r="A94" s="2851">
        <v>22</v>
      </c>
      <c r="B94" s="3547"/>
      <c r="C94" s="2825" t="s">
        <v>2691</v>
      </c>
      <c r="D94" s="2825" t="s">
        <v>2692</v>
      </c>
      <c r="E94" s="2851">
        <v>0.15</v>
      </c>
      <c r="F94" s="2851">
        <v>20</v>
      </c>
    </row>
    <row r="95" spans="1:6" ht="36">
      <c r="A95" s="2851">
        <v>23</v>
      </c>
      <c r="B95" s="3547"/>
      <c r="C95" s="2825" t="s">
        <v>2693</v>
      </c>
      <c r="D95" s="2825" t="s">
        <v>2694</v>
      </c>
      <c r="E95" s="2851">
        <v>0.15</v>
      </c>
      <c r="F95" s="2851">
        <v>20</v>
      </c>
    </row>
    <row r="96" spans="1:6" ht="24">
      <c r="A96" s="2851">
        <v>24</v>
      </c>
      <c r="B96" s="3547"/>
      <c r="C96" s="2825" t="s">
        <v>2695</v>
      </c>
      <c r="D96" s="2825" t="s">
        <v>2696</v>
      </c>
      <c r="E96" s="2851">
        <v>0.1</v>
      </c>
      <c r="F96" s="2851">
        <v>15</v>
      </c>
    </row>
    <row r="97" spans="1:6" ht="24">
      <c r="A97" s="2851">
        <v>25</v>
      </c>
      <c r="B97" s="3547"/>
      <c r="C97" s="2825" t="s">
        <v>2697</v>
      </c>
      <c r="D97" s="2825" t="s">
        <v>2698</v>
      </c>
      <c r="E97" s="2851">
        <v>0.1</v>
      </c>
      <c r="F97" s="2851">
        <v>15</v>
      </c>
    </row>
    <row r="98" spans="1:6" ht="24">
      <c r="A98" s="2851">
        <v>26</v>
      </c>
      <c r="B98" s="3547"/>
      <c r="C98" s="2825" t="s">
        <v>2699</v>
      </c>
      <c r="D98" s="2825" t="s">
        <v>2700</v>
      </c>
      <c r="E98" s="2851">
        <v>0.1</v>
      </c>
      <c r="F98" s="2851">
        <v>15</v>
      </c>
    </row>
    <row r="99" spans="1:6" ht="24">
      <c r="A99" s="2851">
        <v>27</v>
      </c>
      <c r="B99" s="3547"/>
      <c r="C99" s="2825" t="s">
        <v>2701</v>
      </c>
      <c r="D99" s="2825" t="s">
        <v>2702</v>
      </c>
      <c r="E99" s="2851">
        <v>0.1</v>
      </c>
      <c r="F99" s="2851">
        <v>15</v>
      </c>
    </row>
    <row r="100" spans="1:6" ht="24">
      <c r="A100" s="2851">
        <v>28</v>
      </c>
      <c r="B100" s="3547"/>
      <c r="C100" s="2825" t="s">
        <v>2703</v>
      </c>
      <c r="D100" s="2825" t="s">
        <v>2704</v>
      </c>
      <c r="E100" s="2851">
        <v>0.1</v>
      </c>
      <c r="F100" s="2851">
        <v>15</v>
      </c>
    </row>
    <row r="101" spans="1:6" ht="24">
      <c r="A101" s="2851">
        <v>29</v>
      </c>
      <c r="B101" s="3547"/>
      <c r="C101" s="2825" t="s">
        <v>2705</v>
      </c>
      <c r="D101" s="2825" t="s">
        <v>2706</v>
      </c>
      <c r="E101" s="2851">
        <v>0.1</v>
      </c>
      <c r="F101" s="2851">
        <v>15</v>
      </c>
    </row>
    <row r="102" spans="1:6" ht="24">
      <c r="A102" s="2851">
        <v>30</v>
      </c>
      <c r="B102" s="3547"/>
      <c r="C102" s="2825" t="s">
        <v>2707</v>
      </c>
      <c r="D102" s="2825" t="s">
        <v>2708</v>
      </c>
      <c r="E102" s="2851">
        <v>0.1</v>
      </c>
      <c r="F102" s="2851">
        <v>15</v>
      </c>
    </row>
    <row r="103" spans="1:6" ht="24">
      <c r="A103" s="2851">
        <v>31</v>
      </c>
      <c r="B103" s="3547"/>
      <c r="C103" s="2825" t="s">
        <v>2709</v>
      </c>
      <c r="D103" s="2825" t="s">
        <v>2710</v>
      </c>
      <c r="E103" s="2851">
        <v>0.1</v>
      </c>
      <c r="F103" s="2851">
        <v>15</v>
      </c>
    </row>
    <row r="104" spans="1:6" ht="24">
      <c r="A104" s="2851">
        <v>32</v>
      </c>
      <c r="B104" s="3547"/>
      <c r="C104" s="2825" t="s">
        <v>2711</v>
      </c>
      <c r="D104" s="2825" t="s">
        <v>2712</v>
      </c>
      <c r="E104" s="2851">
        <v>0.1</v>
      </c>
      <c r="F104" s="2851">
        <v>15</v>
      </c>
    </row>
    <row r="105" spans="1:6" ht="24">
      <c r="A105" s="2851">
        <v>33</v>
      </c>
      <c r="B105" s="3547"/>
      <c r="C105" s="2825" t="s">
        <v>2713</v>
      </c>
      <c r="D105" s="2825" t="s">
        <v>2714</v>
      </c>
      <c r="E105" s="2851">
        <v>0.1</v>
      </c>
      <c r="F105" s="2851">
        <v>15</v>
      </c>
    </row>
    <row r="106" spans="1:6" ht="24">
      <c r="A106" s="2851">
        <v>34</v>
      </c>
      <c r="B106" s="3546"/>
      <c r="C106" s="2825" t="s">
        <v>2715</v>
      </c>
      <c r="D106" s="2825" t="s">
        <v>2716</v>
      </c>
      <c r="E106" s="2851">
        <v>0.1</v>
      </c>
      <c r="F106" s="2851">
        <v>15</v>
      </c>
    </row>
    <row r="107" spans="1:6" ht="36">
      <c r="A107" s="2851">
        <v>35</v>
      </c>
      <c r="B107" s="3545" t="s">
        <v>2717</v>
      </c>
      <c r="C107" s="2851" t="s">
        <v>2718</v>
      </c>
      <c r="D107" s="2825" t="s">
        <v>2719</v>
      </c>
      <c r="E107" s="2851">
        <v>0.15</v>
      </c>
      <c r="F107" s="2851">
        <v>20</v>
      </c>
    </row>
    <row r="108" spans="1:6" ht="24">
      <c r="A108" s="2851">
        <v>36</v>
      </c>
      <c r="B108" s="3547"/>
      <c r="C108" s="2851" t="s">
        <v>2720</v>
      </c>
      <c r="D108" s="2825" t="s">
        <v>2721</v>
      </c>
      <c r="E108" s="2851">
        <v>0.15</v>
      </c>
      <c r="F108" s="2851">
        <v>20</v>
      </c>
    </row>
    <row r="109" spans="1:6" ht="24">
      <c r="A109" s="2851">
        <v>37</v>
      </c>
      <c r="B109" s="3547"/>
      <c r="C109" s="2851" t="s">
        <v>2722</v>
      </c>
      <c r="D109" s="2825" t="s">
        <v>2723</v>
      </c>
      <c r="E109" s="2851">
        <v>0.15</v>
      </c>
      <c r="F109" s="2851">
        <v>20</v>
      </c>
    </row>
    <row r="110" spans="1:6" ht="24">
      <c r="A110" s="2851">
        <v>38</v>
      </c>
      <c r="B110" s="3547"/>
      <c r="C110" s="2851" t="s">
        <v>2724</v>
      </c>
      <c r="D110" s="2825" t="s">
        <v>2725</v>
      </c>
      <c r="E110" s="2851">
        <v>0.1</v>
      </c>
      <c r="F110" s="2851">
        <v>15</v>
      </c>
    </row>
    <row r="111" spans="1:6" ht="24">
      <c r="A111" s="2851">
        <v>39</v>
      </c>
      <c r="B111" s="3547"/>
      <c r="C111" s="2851" t="s">
        <v>2726</v>
      </c>
      <c r="D111" s="2825" t="s">
        <v>2727</v>
      </c>
      <c r="E111" s="2851">
        <v>0.1</v>
      </c>
      <c r="F111" s="2851">
        <v>15</v>
      </c>
    </row>
    <row r="112" spans="1:6" ht="24">
      <c r="A112" s="2851">
        <v>40</v>
      </c>
      <c r="B112" s="3546"/>
      <c r="C112" s="2851" t="s">
        <v>2728</v>
      </c>
      <c r="D112" s="2825" t="s">
        <v>2729</v>
      </c>
      <c r="E112" s="2851">
        <v>0.1</v>
      </c>
      <c r="F112" s="2851">
        <v>15</v>
      </c>
    </row>
    <row r="113" spans="1:6" ht="24">
      <c r="A113" s="2851">
        <v>41</v>
      </c>
      <c r="B113" s="3544" t="s">
        <v>2730</v>
      </c>
      <c r="C113" s="2851" t="s">
        <v>2731</v>
      </c>
      <c r="D113" s="2825" t="s">
        <v>2732</v>
      </c>
      <c r="E113" s="2851">
        <v>0.1</v>
      </c>
      <c r="F113" s="2851">
        <v>15</v>
      </c>
    </row>
    <row r="114" spans="1:6" ht="24">
      <c r="A114" s="2851">
        <v>42</v>
      </c>
      <c r="B114" s="3544"/>
      <c r="C114" s="2851" t="s">
        <v>2733</v>
      </c>
      <c r="D114" s="2825" t="s">
        <v>2734</v>
      </c>
      <c r="E114" s="2851">
        <v>0.1</v>
      </c>
      <c r="F114" s="2851">
        <v>15</v>
      </c>
    </row>
    <row r="115" spans="1:6" ht="24">
      <c r="A115" s="2851">
        <v>43</v>
      </c>
      <c r="B115" s="3544"/>
      <c r="C115" s="2851" t="s">
        <v>2735</v>
      </c>
      <c r="D115" s="2825" t="s">
        <v>2736</v>
      </c>
      <c r="E115" s="2851">
        <v>0.1</v>
      </c>
      <c r="F115" s="2851">
        <v>15</v>
      </c>
    </row>
    <row r="116" spans="1:6" ht="24">
      <c r="A116" s="2851">
        <v>44</v>
      </c>
      <c r="B116" s="3545" t="s">
        <v>2737</v>
      </c>
      <c r="C116" s="2851" t="s">
        <v>2738</v>
      </c>
      <c r="D116" s="2825" t="s">
        <v>2739</v>
      </c>
      <c r="E116" s="2851">
        <v>0.1</v>
      </c>
      <c r="F116" s="2851">
        <v>15</v>
      </c>
    </row>
    <row r="117" spans="1:6" ht="24">
      <c r="A117" s="2851">
        <v>45</v>
      </c>
      <c r="B117" s="3546"/>
      <c r="C117" s="2825" t="s">
        <v>2740</v>
      </c>
      <c r="D117" s="2825" t="s">
        <v>2741</v>
      </c>
      <c r="E117" s="2851">
        <v>0.1</v>
      </c>
      <c r="F117" s="2851">
        <v>15</v>
      </c>
    </row>
    <row r="118" spans="1:6" ht="24">
      <c r="A118" s="2851">
        <v>46</v>
      </c>
      <c r="B118" s="3545" t="s">
        <v>2742</v>
      </c>
      <c r="C118" s="2851" t="s">
        <v>2743</v>
      </c>
      <c r="D118" s="2825" t="s">
        <v>2744</v>
      </c>
      <c r="E118" s="2851">
        <v>0.1</v>
      </c>
      <c r="F118" s="2851">
        <v>15</v>
      </c>
    </row>
    <row r="119" spans="1:6" ht="24">
      <c r="A119" s="2851">
        <v>47</v>
      </c>
      <c r="B119" s="3546"/>
      <c r="C119" s="2851" t="s">
        <v>2745</v>
      </c>
      <c r="D119" s="2825" t="s">
        <v>2746</v>
      </c>
      <c r="E119" s="2851">
        <v>0.1</v>
      </c>
      <c r="F119" s="2851">
        <v>15</v>
      </c>
    </row>
    <row r="120" spans="1:6" ht="24">
      <c r="A120" s="2851">
        <v>48</v>
      </c>
      <c r="B120" s="3545" t="s">
        <v>2747</v>
      </c>
      <c r="C120" s="2851" t="s">
        <v>2748</v>
      </c>
      <c r="D120" s="2825" t="s">
        <v>2749</v>
      </c>
      <c r="E120" s="2851">
        <v>0.1</v>
      </c>
      <c r="F120" s="2851">
        <v>15</v>
      </c>
    </row>
    <row r="121" spans="1:6" ht="24">
      <c r="A121" s="2851">
        <v>49</v>
      </c>
      <c r="B121" s="3546"/>
      <c r="C121" s="2851" t="s">
        <v>2750</v>
      </c>
      <c r="D121" s="2825" t="s">
        <v>2751</v>
      </c>
      <c r="E121" s="2851">
        <v>0.1</v>
      </c>
      <c r="F121" s="2851">
        <v>15</v>
      </c>
    </row>
    <row r="122" spans="1:6" ht="24">
      <c r="A122" s="2851">
        <v>50</v>
      </c>
      <c r="B122" s="3544" t="s">
        <v>2752</v>
      </c>
      <c r="C122" s="2851" t="s">
        <v>2753</v>
      </c>
      <c r="D122" s="2825" t="s">
        <v>2754</v>
      </c>
      <c r="E122" s="2851">
        <v>0.1</v>
      </c>
      <c r="F122" s="2851">
        <v>15</v>
      </c>
    </row>
    <row r="123" spans="1:6" ht="24">
      <c r="A123" s="2851">
        <v>51</v>
      </c>
      <c r="B123" s="3544"/>
      <c r="C123" s="2851" t="s">
        <v>2755</v>
      </c>
      <c r="D123" s="2825" t="s">
        <v>2756</v>
      </c>
      <c r="E123" s="2851">
        <v>0.1</v>
      </c>
      <c r="F123" s="2851">
        <v>15</v>
      </c>
    </row>
    <row r="124" spans="1:6" ht="24">
      <c r="A124" s="2851">
        <v>52</v>
      </c>
      <c r="B124" s="3544" t="s">
        <v>2757</v>
      </c>
      <c r="C124" s="2851" t="s">
        <v>2758</v>
      </c>
      <c r="D124" s="2825" t="s">
        <v>2759</v>
      </c>
      <c r="E124" s="2851">
        <v>0.1</v>
      </c>
      <c r="F124" s="2851">
        <v>15</v>
      </c>
    </row>
    <row r="125" spans="1:6" ht="24">
      <c r="A125" s="2851">
        <v>53</v>
      </c>
      <c r="B125" s="3544"/>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544" t="s">
        <v>2765</v>
      </c>
      <c r="C127" s="2851" t="s">
        <v>2766</v>
      </c>
      <c r="D127" s="2825" t="s">
        <v>2767</v>
      </c>
      <c r="E127" s="2851">
        <v>0.1</v>
      </c>
      <c r="F127" s="2851">
        <v>15</v>
      </c>
    </row>
    <row r="128" spans="1:6" ht="24">
      <c r="A128" s="2851">
        <v>56</v>
      </c>
      <c r="B128" s="3544"/>
      <c r="C128" s="2851" t="s">
        <v>2768</v>
      </c>
      <c r="D128" s="2825" t="s">
        <v>2769</v>
      </c>
      <c r="E128" s="2851">
        <v>0.1</v>
      </c>
      <c r="F128" s="2851">
        <v>15</v>
      </c>
    </row>
    <row r="129" spans="1:6" ht="24">
      <c r="A129" s="2851">
        <v>57</v>
      </c>
      <c r="B129" s="3544"/>
      <c r="C129" s="2851" t="s">
        <v>2770</v>
      </c>
      <c r="D129" s="2825" t="s">
        <v>2771</v>
      </c>
      <c r="E129" s="2851">
        <v>0.1</v>
      </c>
      <c r="F129" s="2851">
        <v>15</v>
      </c>
    </row>
    <row r="130" spans="1:6" ht="24">
      <c r="A130" s="2851">
        <v>58</v>
      </c>
      <c r="B130" s="3544" t="s">
        <v>2772</v>
      </c>
      <c r="C130" s="2851" t="s">
        <v>2773</v>
      </c>
      <c r="D130" s="2825" t="s">
        <v>2774</v>
      </c>
      <c r="E130" s="2851">
        <v>0.1</v>
      </c>
      <c r="F130" s="2851">
        <v>15</v>
      </c>
    </row>
    <row r="131" spans="1:6" ht="24">
      <c r="A131" s="2851">
        <v>59</v>
      </c>
      <c r="B131" s="3544"/>
      <c r="C131" s="2851" t="s">
        <v>2775</v>
      </c>
      <c r="D131" s="2825" t="s">
        <v>2776</v>
      </c>
      <c r="E131" s="2851">
        <v>0.1</v>
      </c>
      <c r="F131" s="2851">
        <v>15</v>
      </c>
    </row>
    <row r="132" spans="1:6" ht="24">
      <c r="A132" s="2851">
        <v>60</v>
      </c>
      <c r="B132" s="3545" t="s">
        <v>2777</v>
      </c>
      <c r="C132" s="2851" t="s">
        <v>2778</v>
      </c>
      <c r="D132" s="2825" t="s">
        <v>2779</v>
      </c>
      <c r="E132" s="2851">
        <v>0.1</v>
      </c>
      <c r="F132" s="2851">
        <v>15</v>
      </c>
    </row>
    <row r="133" spans="1:6" ht="24">
      <c r="A133" s="2851">
        <v>61</v>
      </c>
      <c r="B133" s="3546"/>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544" t="s">
        <v>2785</v>
      </c>
      <c r="C135" s="2851" t="s">
        <v>2786</v>
      </c>
      <c r="D135" s="2825" t="s">
        <v>2787</v>
      </c>
      <c r="E135" s="2851">
        <v>0.1</v>
      </c>
      <c r="F135" s="2851">
        <v>15</v>
      </c>
    </row>
    <row r="136" spans="1:6" ht="24">
      <c r="A136" s="2851">
        <v>64</v>
      </c>
      <c r="B136" s="3544"/>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4"/>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1.1559999999999999</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1.0995999999999999</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52822</v>
      </c>
      <c r="C2" s="2" t="s">
        <v>106</v>
      </c>
      <c r="D2" s="191"/>
      <c r="E2" s="191"/>
      <c r="F2" s="191"/>
      <c r="G2" s="191"/>
    </row>
    <row r="3" spans="1:7" s="192" customFormat="1" ht="18" customHeight="1" thickBot="1">
      <c r="A3" s="195" t="s">
        <v>58</v>
      </c>
      <c r="B3" s="196">
        <f ca="1">ROUND(B2*10000/'数据-汇总表'!E3,0)</f>
        <v>13968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756</v>
      </c>
      <c r="D10" s="792">
        <f>'数据-汇总表'!E6</f>
        <v>37817.270000000004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756</v>
      </c>
      <c r="D19" s="204">
        <f>'数据-汇总表'!E3</f>
        <v>37817.270000000004</v>
      </c>
      <c r="E19" s="203">
        <f>'数据-取费表'!B31</f>
        <v>200</v>
      </c>
      <c r="F19" s="223"/>
      <c r="G19" s="1" t="s">
        <v>436</v>
      </c>
    </row>
    <row r="20" spans="1:7" s="206" customFormat="1" ht="13.5" customHeight="1">
      <c r="A20" s="728" t="s">
        <v>419</v>
      </c>
      <c r="B20" s="202" t="s">
        <v>77</v>
      </c>
      <c r="C20" s="224">
        <f>ROUND((C5+C19)*F20,0)</f>
        <v>427</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1712</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1635</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60</v>
      </c>
      <c r="D24" s="230"/>
      <c r="E24" s="230"/>
      <c r="F24" s="231"/>
      <c r="G24" s="232" t="s">
        <v>82</v>
      </c>
    </row>
    <row r="25" spans="1:7" s="206" customFormat="1" ht="24">
      <c r="A25" s="731" t="s">
        <v>348</v>
      </c>
      <c r="B25" s="207" t="s">
        <v>420</v>
      </c>
      <c r="C25" s="1039">
        <f ca="1">ROUND(IF('数据-取费表'!B22&lt;=1,C20*F22*'数据-取费表'!B23/2,C20*(POWER((1+F22),'数据-取费表'!B23/2)-1)),0)</f>
        <v>17</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6.4">
      <c r="A27" s="728" t="s">
        <v>342</v>
      </c>
      <c r="B27" s="236" t="s">
        <v>85</v>
      </c>
      <c r="C27" s="237">
        <f>C28</f>
        <v>2833</v>
      </c>
      <c r="D27" s="227">
        <f>C29</f>
        <v>2.5999999999999999E-3</v>
      </c>
      <c r="E27" s="228" t="s">
        <v>99</v>
      </c>
      <c r="F27" s="238">
        <f>'数据-取费表'!Q16</f>
        <v>0.13</v>
      </c>
      <c r="G27" s="239" t="s">
        <v>431</v>
      </c>
    </row>
    <row r="28" spans="1:7" s="206" customFormat="1" ht="13.5" customHeight="1">
      <c r="A28" s="731" t="s">
        <v>349</v>
      </c>
      <c r="B28" s="240" t="s">
        <v>424</v>
      </c>
      <c r="C28" s="241">
        <f>ROUND((C5+C19+C20)*F27*'数据-取费表'!B21/'数据-取费表'!B20,0)</f>
        <v>2833</v>
      </c>
      <c r="D28" s="227"/>
      <c r="E28" s="228"/>
      <c r="F28" s="238"/>
      <c r="G28" s="239"/>
    </row>
    <row r="29" spans="1:7" s="206" customFormat="1" ht="13.5" customHeight="1">
      <c r="A29" s="731" t="s">
        <v>347</v>
      </c>
      <c r="B29" s="240" t="s">
        <v>425</v>
      </c>
      <c r="C29" s="230">
        <f>ROUND(C21*F27*'数据-取费表'!B21/'数据-取费表'!B20,4)</f>
        <v>2.5999999999999999E-3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28527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21378</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19273</v>
      </c>
      <c r="D34" s="209"/>
      <c r="E34" s="212"/>
      <c r="F34" s="249">
        <f>IF('数据-取费表'!B24=0,1,'数据-取费表'!N16)</f>
        <v>1</v>
      </c>
      <c r="G34" s="211" t="s">
        <v>89</v>
      </c>
    </row>
    <row r="35" spans="1:7" ht="13.5" customHeight="1">
      <c r="A35" s="731" t="s">
        <v>351</v>
      </c>
      <c r="B35" s="207" t="s">
        <v>33</v>
      </c>
      <c r="C35" s="212">
        <f>ROUND(C34*F35,0)</f>
        <v>964</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756</v>
      </c>
      <c r="D37" s="209">
        <f>'数据-汇总表'!E3</f>
        <v>37817.270000000004</v>
      </c>
      <c r="E37" s="241">
        <f>'数据-取费表'!B35</f>
        <v>200</v>
      </c>
      <c r="F37" s="251"/>
      <c r="G37" s="253" t="s">
        <v>92</v>
      </c>
    </row>
    <row r="38" spans="1:7" ht="13.5" customHeight="1">
      <c r="A38" s="731" t="s">
        <v>354</v>
      </c>
      <c r="B38" s="207" t="s">
        <v>36</v>
      </c>
      <c r="C38" s="212">
        <f>ROUND(C34*F38,0)</f>
        <v>385</v>
      </c>
      <c r="D38" s="212"/>
      <c r="E38" s="212"/>
      <c r="F38" s="251">
        <f>'数据-取费表'!B36</f>
        <v>0.02</v>
      </c>
      <c r="G38" s="211" t="s">
        <v>90</v>
      </c>
    </row>
    <row r="39" spans="1:7" s="206" customFormat="1" ht="13.5" customHeight="1">
      <c r="A39" s="728" t="s">
        <v>338</v>
      </c>
      <c r="B39" s="202" t="s">
        <v>77</v>
      </c>
      <c r="C39" s="224">
        <f>ROUND(C33*F20,0)</f>
        <v>428</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849</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832</v>
      </c>
      <c r="D42" s="230"/>
      <c r="E42" s="230"/>
      <c r="F42" s="231"/>
      <c r="G42" s="3471" t="s">
        <v>94</v>
      </c>
    </row>
    <row r="43" spans="1:7" ht="13.5" customHeight="1">
      <c r="A43" s="731" t="s">
        <v>347</v>
      </c>
      <c r="B43" s="207" t="s">
        <v>426</v>
      </c>
      <c r="C43" s="230">
        <f ca="1">ROUND(IF('数据-取费表'!B22&lt;=1,C39*F22*'数据-取费表'!B21/2,C39*(POWER((1+F22),'数据-取费表'!B21/2)-1)),0)</f>
        <v>17</v>
      </c>
      <c r="D43" s="230"/>
      <c r="E43" s="230"/>
      <c r="F43" s="231"/>
      <c r="G43" s="3472"/>
    </row>
    <row r="44" spans="1:7" ht="13.5" customHeight="1">
      <c r="A44" s="731" t="s">
        <v>348</v>
      </c>
      <c r="B44" s="207" t="s">
        <v>428</v>
      </c>
      <c r="C44" s="230">
        <f ca="1">ROUND(IF('数据-取费表'!B22&lt;=1,C40*F22*'数据-取费表'!B21/2,C40*(POWER((1+F22),'数据-取费表'!B21/2)-1)),4)</f>
        <v>8.0000000000000004E-4</v>
      </c>
      <c r="D44" s="230"/>
      <c r="E44" s="230"/>
      <c r="F44" s="231"/>
      <c r="G44" s="3473"/>
    </row>
    <row r="45" spans="1:7" s="206" customFormat="1" ht="13.5" customHeight="1">
      <c r="A45" s="728" t="s">
        <v>341</v>
      </c>
      <c r="B45" s="236" t="s">
        <v>85</v>
      </c>
      <c r="C45" s="237">
        <f>C46</f>
        <v>2835</v>
      </c>
      <c r="D45" s="227">
        <f>C47</f>
        <v>2.5999999999999999E-3</v>
      </c>
      <c r="E45" s="228" t="s">
        <v>102</v>
      </c>
      <c r="F45" s="238"/>
      <c r="G45" s="239" t="s">
        <v>434</v>
      </c>
    </row>
    <row r="46" spans="1:7" s="206" customFormat="1" ht="13.5" customHeight="1">
      <c r="A46" s="731" t="s">
        <v>349</v>
      </c>
      <c r="B46" s="240" t="s">
        <v>427</v>
      </c>
      <c r="C46" s="241">
        <f>ROUND((C33+C39)*F27,0)</f>
        <v>2835</v>
      </c>
      <c r="D46" s="255"/>
      <c r="E46" s="228"/>
      <c r="F46" s="238"/>
      <c r="G46" s="239"/>
    </row>
    <row r="47" spans="1:7" s="206" customFormat="1" ht="13.5" customHeight="1">
      <c r="A47" s="731" t="s">
        <v>347</v>
      </c>
      <c r="B47" s="240" t="s">
        <v>429</v>
      </c>
      <c r="C47" s="230">
        <f>ROUND(C40*F27,4)</f>
        <v>2.5999999999999999E-3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27608</v>
      </c>
      <c r="D49" s="224"/>
      <c r="E49" s="224"/>
      <c r="F49" s="256"/>
      <c r="G49" s="226" t="s">
        <v>435</v>
      </c>
    </row>
    <row r="50" spans="1:7" s="250" customFormat="1" ht="24">
      <c r="A50" s="728" t="s">
        <v>344</v>
      </c>
      <c r="B50" s="202" t="s">
        <v>97</v>
      </c>
      <c r="C50" s="224"/>
      <c r="D50" s="224"/>
      <c r="E50" s="224"/>
      <c r="F50" s="256">
        <f>IF('数据-取费表'!B24=0,'数据-取费表'!N16,1)</f>
        <v>0.88</v>
      </c>
      <c r="G50" s="239" t="s">
        <v>98</v>
      </c>
    </row>
    <row r="51" spans="1:7" ht="16.5" customHeight="1">
      <c r="A51" s="728" t="s">
        <v>345</v>
      </c>
      <c r="B51" s="202" t="s">
        <v>105</v>
      </c>
      <c r="C51" s="224">
        <f ca="1">ROUND(C49*F50,0)</f>
        <v>24295</v>
      </c>
      <c r="D51" s="224"/>
      <c r="E51" s="224"/>
      <c r="F51" s="256"/>
      <c r="G51" s="226" t="s">
        <v>37</v>
      </c>
    </row>
    <row r="52" spans="1:7" s="200" customFormat="1" ht="16.8" thickBot="1">
      <c r="A52" s="257" t="s">
        <v>38</v>
      </c>
      <c r="B52" s="258"/>
      <c r="C52" s="259">
        <f ca="1">C31+C51</f>
        <v>52822</v>
      </c>
      <c r="D52" s="258"/>
      <c r="E52" s="258"/>
      <c r="F52" s="258"/>
      <c r="G52" s="260"/>
    </row>
    <row r="55" spans="1:7" ht="15">
      <c r="B55" s="262" t="s">
        <v>39</v>
      </c>
      <c r="C55" s="263"/>
    </row>
    <row r="56" spans="1:7">
      <c r="B56" s="265" t="s">
        <v>40</v>
      </c>
      <c r="C56" s="266">
        <f ca="1">ROUND(C51/C52,3)</f>
        <v>0.46</v>
      </c>
    </row>
    <row r="57" spans="1:7">
      <c r="B57" s="265" t="s">
        <v>41</v>
      </c>
      <c r="C57" s="267">
        <f ca="1">1-C56</f>
        <v>0.54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56" t="s">
        <v>3177</v>
      </c>
      <c r="B1" s="3556"/>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57" t="s">
        <v>3228</v>
      </c>
      <c r="B1" s="3557"/>
      <c r="C1" s="3557"/>
      <c r="D1" s="3557"/>
      <c r="E1" s="3557"/>
      <c r="F1" s="3558"/>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45771</v>
      </c>
      <c r="B1" s="2923" t="s">
        <v>3374</v>
      </c>
      <c r="C1" s="2924"/>
      <c r="D1" s="2924"/>
      <c r="E1" s="2924"/>
      <c r="F1" s="2924"/>
      <c r="G1" s="2924"/>
      <c r="H1" s="2924"/>
      <c r="I1" s="2924"/>
      <c r="J1" s="2890"/>
      <c r="K1" s="2924" t="s">
        <v>454</v>
      </c>
      <c r="L1" s="2924"/>
      <c r="M1" s="2924"/>
      <c r="N1" s="2924"/>
      <c r="O1" s="2924"/>
      <c r="P1" s="2924"/>
      <c r="Q1" s="2890"/>
      <c r="R1" s="3559" t="s">
        <v>456</v>
      </c>
      <c r="S1" s="3560"/>
      <c r="T1" s="3560"/>
      <c r="U1" s="3560"/>
      <c r="V1" s="3560"/>
      <c r="W1" s="3560"/>
      <c r="X1" s="2890"/>
      <c r="Y1" s="3559" t="s">
        <v>457</v>
      </c>
      <c r="Z1" s="3560"/>
      <c r="AA1" s="3560"/>
      <c r="AB1" s="3560"/>
      <c r="AC1" s="3560"/>
      <c r="AD1" s="3560"/>
    </row>
    <row r="2" spans="1:44" s="2007" customFormat="1" ht="15" thickBot="1">
      <c r="B2" s="2875"/>
      <c r="C2" s="2876"/>
      <c r="D2" s="2008" t="s">
        <v>2806</v>
      </c>
      <c r="E2" s="2009" t="s">
        <v>2807</v>
      </c>
      <c r="F2" s="2009" t="s">
        <v>2808</v>
      </c>
      <c r="G2" s="2009" t="s">
        <v>2809</v>
      </c>
      <c r="H2" s="2009" t="s">
        <v>2810</v>
      </c>
      <c r="I2" s="2009" t="s">
        <v>2627</v>
      </c>
      <c r="J2" s="2877"/>
      <c r="K2" s="2008" t="s">
        <v>2806</v>
      </c>
      <c r="L2" s="2009" t="s">
        <v>2807</v>
      </c>
      <c r="M2" s="2009" t="s">
        <v>2808</v>
      </c>
      <c r="N2" s="2009" t="s">
        <v>2809</v>
      </c>
      <c r="O2" s="2009" t="s">
        <v>2811</v>
      </c>
      <c r="P2" s="2009" t="s">
        <v>2627</v>
      </c>
      <c r="Q2" s="2877"/>
      <c r="R2" s="2008" t="s">
        <v>2806</v>
      </c>
      <c r="S2" s="2009" t="s">
        <v>2807</v>
      </c>
      <c r="T2" s="2009" t="s">
        <v>2808</v>
      </c>
      <c r="U2" s="2009" t="s">
        <v>2812</v>
      </c>
      <c r="V2" s="2009" t="s">
        <v>2813</v>
      </c>
      <c r="W2" s="2009" t="s">
        <v>2627</v>
      </c>
      <c r="X2" s="2877"/>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3400</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6">
        <f>$AF$24*R5</f>
        <v>105.72</v>
      </c>
      <c r="AG5" s="3146">
        <f t="shared" ref="AG5:AK5" si="18">$AF$24*S5</f>
        <v>103.39</v>
      </c>
      <c r="AH5" s="3146">
        <f t="shared" si="18"/>
        <v>99.13</v>
      </c>
      <c r="AI5" s="3146">
        <f t="shared" si="18"/>
        <v>106.79</v>
      </c>
      <c r="AJ5" s="3146">
        <f t="shared" si="18"/>
        <v>108.72</v>
      </c>
      <c r="AK5" s="3146">
        <f t="shared" si="18"/>
        <v>99.13</v>
      </c>
      <c r="AM5" s="3152">
        <v>100</v>
      </c>
      <c r="AN5" s="3152">
        <v>100</v>
      </c>
      <c r="AO5" s="3152">
        <v>100</v>
      </c>
      <c r="AP5" s="3152">
        <v>100</v>
      </c>
      <c r="AQ5" s="3152">
        <v>100</v>
      </c>
      <c r="AR5" s="3152">
        <v>100</v>
      </c>
    </row>
    <row r="6" spans="1:44" s="2042" customFormat="1" ht="13.2">
      <c r="A6" s="2037" t="s">
        <v>3399</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6">
        <f t="shared" ref="AF6:AF23" si="30">$AF$24*R6</f>
        <v>105.72</v>
      </c>
      <c r="AG6" s="3146">
        <f t="shared" ref="AG6:AG23" si="31">$AF$24*S6</f>
        <v>103.39</v>
      </c>
      <c r="AH6" s="3146">
        <f t="shared" ref="AH6:AH23" si="32">$AF$24*T6</f>
        <v>99.13</v>
      </c>
      <c r="AI6" s="3146">
        <f t="shared" ref="AI6:AI23" si="33">$AF$24*U6</f>
        <v>106.79</v>
      </c>
      <c r="AJ6" s="3146">
        <f t="shared" ref="AJ6:AJ23" si="34">$AF$24*V6</f>
        <v>108.72</v>
      </c>
      <c r="AK6" s="3146">
        <f t="shared" ref="AK6:AK23" si="35">$AF$24*W6</f>
        <v>99.13</v>
      </c>
      <c r="AM6" s="3146">
        <f>AM5/(1+D5/100)</f>
        <v>100</v>
      </c>
      <c r="AN6" s="3146">
        <f t="shared" ref="AN6:AR6" si="36">AN5/(1+E5/100)</f>
        <v>100</v>
      </c>
      <c r="AO6" s="3146">
        <f t="shared" si="36"/>
        <v>100</v>
      </c>
      <c r="AP6" s="3146">
        <f t="shared" si="36"/>
        <v>100</v>
      </c>
      <c r="AQ6" s="3146">
        <f t="shared" si="36"/>
        <v>100</v>
      </c>
      <c r="AR6" s="3146">
        <f t="shared" si="36"/>
        <v>100</v>
      </c>
    </row>
    <row r="7" spans="1:44" s="2910" customFormat="1" ht="13.2">
      <c r="A7" s="2901" t="s">
        <v>3398</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7">
        <f t="shared" si="30"/>
        <v>105.72</v>
      </c>
      <c r="AG7" s="3147">
        <f t="shared" si="31"/>
        <v>103.39</v>
      </c>
      <c r="AH7" s="3147">
        <f t="shared" si="32"/>
        <v>99.13</v>
      </c>
      <c r="AI7" s="3147">
        <f t="shared" si="33"/>
        <v>106.79</v>
      </c>
      <c r="AJ7" s="3147">
        <f t="shared" si="34"/>
        <v>108.72</v>
      </c>
      <c r="AK7" s="3147">
        <f t="shared" si="35"/>
        <v>99.13</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42" customFormat="1" ht="13.2">
      <c r="A8" s="2037" t="s">
        <v>3406</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100</v>
      </c>
      <c r="AN8" s="3146">
        <f t="shared" si="49"/>
        <v>100</v>
      </c>
      <c r="AO8" s="3146">
        <f t="shared" si="50"/>
        <v>100</v>
      </c>
      <c r="AP8" s="3146">
        <f t="shared" si="51"/>
        <v>100</v>
      </c>
      <c r="AQ8" s="3146">
        <f t="shared" si="52"/>
        <v>100</v>
      </c>
      <c r="AR8" s="3146">
        <f t="shared" si="53"/>
        <v>100</v>
      </c>
    </row>
    <row r="9" spans="1:44" s="2042" customFormat="1" ht="13.2">
      <c r="A9" s="2037" t="s">
        <v>3405</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99.433230585661718</v>
      </c>
      <c r="AN9" s="3146">
        <f t="shared" si="49"/>
        <v>100.57326762546515</v>
      </c>
      <c r="AO9" s="3146">
        <f t="shared" si="50"/>
        <v>100.90817356205852</v>
      </c>
      <c r="AP9" s="3146">
        <f t="shared" si="51"/>
        <v>98.892405063291136</v>
      </c>
      <c r="AQ9" s="3146">
        <f t="shared" si="52"/>
        <v>99.581756622186816</v>
      </c>
      <c r="AR9" s="3146">
        <f t="shared" si="53"/>
        <v>100.90817356205852</v>
      </c>
    </row>
    <row r="10" spans="1:44" s="2042" customFormat="1" ht="13.2">
      <c r="A10" s="2037" t="s">
        <v>3378</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100.45790117767399</v>
      </c>
      <c r="AN10" s="3146">
        <f t="shared" si="49"/>
        <v>101.05834769439826</v>
      </c>
      <c r="AO10" s="3146">
        <f t="shared" si="50"/>
        <v>101.670703840865</v>
      </c>
      <c r="AP10" s="3146">
        <f t="shared" si="51"/>
        <v>99.941793899233076</v>
      </c>
      <c r="AQ10" s="3146">
        <f t="shared" si="52"/>
        <v>99.502154898268216</v>
      </c>
      <c r="AR10" s="3146">
        <f t="shared" si="53"/>
        <v>101.670703840865</v>
      </c>
    </row>
    <row r="11" spans="1:44" s="2042" customFormat="1" ht="13.2">
      <c r="A11" s="2899" t="s">
        <v>3372</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101.66774737139357</v>
      </c>
      <c r="AN11" s="3146">
        <f t="shared" si="49"/>
        <v>101.53556484918946</v>
      </c>
      <c r="AO11" s="3146">
        <f t="shared" si="50"/>
        <v>101.9664064194815</v>
      </c>
      <c r="AP11" s="3146">
        <f t="shared" si="51"/>
        <v>100.68687678746028</v>
      </c>
      <c r="AQ11" s="3146">
        <f t="shared" si="52"/>
        <v>99.711549151486338</v>
      </c>
      <c r="AR11" s="3146">
        <f t="shared" si="53"/>
        <v>101.9664064194815</v>
      </c>
    </row>
    <row r="12" spans="1:44" s="2042" customFormat="1" ht="13.2">
      <c r="A12" s="2899" t="s">
        <v>3371</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102.27114713951673</v>
      </c>
      <c r="AN12" s="3146">
        <f t="shared" si="49"/>
        <v>101.74923824951344</v>
      </c>
      <c r="AO12" s="3146">
        <f t="shared" si="50"/>
        <v>103.3932330353696</v>
      </c>
      <c r="AP12" s="3146">
        <f t="shared" si="51"/>
        <v>101.95107005615662</v>
      </c>
      <c r="AQ12" s="3146">
        <f t="shared" si="52"/>
        <v>99.373678644096401</v>
      </c>
      <c r="AR12" s="3146">
        <f t="shared" si="53"/>
        <v>103.3932330353696</v>
      </c>
    </row>
    <row r="13" spans="1:44" s="2042" customFormat="1" ht="13.2">
      <c r="A13" s="2899" t="s">
        <v>3367</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102.18939562301833</v>
      </c>
      <c r="AN13" s="3146">
        <f t="shared" si="49"/>
        <v>101.28333490893236</v>
      </c>
      <c r="AO13" s="3146">
        <f t="shared" si="50"/>
        <v>103.55892731908014</v>
      </c>
      <c r="AP13" s="3146">
        <f t="shared" si="51"/>
        <v>101.68668467599903</v>
      </c>
      <c r="AQ13" s="3146">
        <f t="shared" si="52"/>
        <v>98.79081284829148</v>
      </c>
      <c r="AR13" s="3146">
        <f t="shared" si="53"/>
        <v>103.55892731908014</v>
      </c>
    </row>
    <row r="14" spans="1:44" s="2042" customFormat="1" ht="13.2">
      <c r="A14" s="2899" t="s">
        <v>3366</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101.99560397546495</v>
      </c>
      <c r="AN14" s="3146">
        <f t="shared" si="49"/>
        <v>101.04083690037147</v>
      </c>
      <c r="AO14" s="3146">
        <f t="shared" si="50"/>
        <v>103.72488713850174</v>
      </c>
      <c r="AP14" s="3146">
        <f t="shared" si="51"/>
        <v>101.51411068782971</v>
      </c>
      <c r="AQ14" s="3146">
        <f t="shared" si="52"/>
        <v>98.191842608380355</v>
      </c>
      <c r="AR14" s="3146">
        <f t="shared" si="53"/>
        <v>103.72488713850174</v>
      </c>
    </row>
    <row r="15" spans="1:44" s="2042" customFormat="1" ht="13.2">
      <c r="A15" s="2899" t="s">
        <v>3364</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101.74125084834409</v>
      </c>
      <c r="AN15" s="3146">
        <f t="shared" si="49"/>
        <v>100.53814616952387</v>
      </c>
      <c r="AO15" s="3146">
        <f t="shared" si="50"/>
        <v>103.40433370401927</v>
      </c>
      <c r="AP15" s="3146">
        <f t="shared" si="51"/>
        <v>101.30137779446135</v>
      </c>
      <c r="AQ15" s="3146">
        <f t="shared" si="52"/>
        <v>97.771425478821428</v>
      </c>
      <c r="AR15" s="3146">
        <f t="shared" si="53"/>
        <v>103.40433370401927</v>
      </c>
    </row>
    <row r="16" spans="1:44" s="2042" customFormat="1" ht="13.2">
      <c r="A16" s="2899" t="s">
        <v>3363</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100.82375468074926</v>
      </c>
      <c r="AN16" s="3146">
        <f t="shared" si="49"/>
        <v>99.878945131654959</v>
      </c>
      <c r="AO16" s="3146">
        <f t="shared" si="50"/>
        <v>102.92060685181573</v>
      </c>
      <c r="AP16" s="3146">
        <f t="shared" si="51"/>
        <v>100.33813172985474</v>
      </c>
      <c r="AQ16" s="3146">
        <f t="shared" si="52"/>
        <v>97.082142268713554</v>
      </c>
      <c r="AR16" s="3146">
        <f t="shared" si="53"/>
        <v>102.92060685181573</v>
      </c>
    </row>
    <row r="17" spans="1:44" s="2042" customFormat="1" ht="13.2">
      <c r="A17" s="2899" t="s">
        <v>3362</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99.934339063087791</v>
      </c>
      <c r="AN17" s="3146">
        <f t="shared" si="49"/>
        <v>99.145270132673176</v>
      </c>
      <c r="AO17" s="3146">
        <f t="shared" si="50"/>
        <v>102.3372843311283</v>
      </c>
      <c r="AP17" s="3146">
        <f t="shared" si="51"/>
        <v>99.423436117573061</v>
      </c>
      <c r="AQ17" s="3146">
        <f t="shared" si="52"/>
        <v>96.599146536033402</v>
      </c>
      <c r="AR17" s="3146">
        <f t="shared" si="53"/>
        <v>102.3372843311283</v>
      </c>
    </row>
    <row r="18" spans="1:44" s="2042" customFormat="1" ht="13.2">
      <c r="A18" s="2899" t="s">
        <v>3360</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99.318563966495518</v>
      </c>
      <c r="AN18" s="3146">
        <f t="shared" si="49"/>
        <v>98.947375381909353</v>
      </c>
      <c r="AO18" s="3146">
        <f t="shared" si="50"/>
        <v>102.22483701041683</v>
      </c>
      <c r="AP18" s="3146">
        <f t="shared" si="51"/>
        <v>98.742115520481747</v>
      </c>
      <c r="AQ18" s="3146">
        <f t="shared" si="52"/>
        <v>96.089870223847001</v>
      </c>
      <c r="AR18" s="3146">
        <f t="shared" si="53"/>
        <v>102.22483701041683</v>
      </c>
    </row>
    <row r="19" spans="1:44" s="2042" customFormat="1" ht="13.2">
      <c r="A19" s="2899" t="s">
        <v>3351</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98.667359394491882</v>
      </c>
      <c r="AN19" s="3146">
        <f t="shared" si="49"/>
        <v>98.631753769845844</v>
      </c>
      <c r="AO19" s="3146">
        <f t="shared" si="50"/>
        <v>101.99025941376517</v>
      </c>
      <c r="AP19" s="3146">
        <f t="shared" si="51"/>
        <v>98.036254488166932</v>
      </c>
      <c r="AQ19" s="3146">
        <f t="shared" si="52"/>
        <v>95.488293971824504</v>
      </c>
      <c r="AR19" s="3146">
        <f t="shared" si="53"/>
        <v>101.99025941376517</v>
      </c>
    </row>
    <row r="20" spans="1:44" s="2042" customFormat="1" ht="13.2">
      <c r="A20" s="2899" t="s">
        <v>2816</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97.758208059538163</v>
      </c>
      <c r="AN20" s="3146">
        <f t="shared" si="49"/>
        <v>98.484027728253452</v>
      </c>
      <c r="AO20" s="3146">
        <f t="shared" si="50"/>
        <v>101.98006140762442</v>
      </c>
      <c r="AP20" s="3146">
        <f t="shared" si="51"/>
        <v>97.017570003134026</v>
      </c>
      <c r="AQ20" s="3146">
        <f t="shared" si="52"/>
        <v>94.468039149015155</v>
      </c>
      <c r="AR20" s="3146">
        <f t="shared" si="53"/>
        <v>101.98006140762442</v>
      </c>
    </row>
    <row r="21" spans="1:44" s="2042" customFormat="1" ht="13.2">
      <c r="A21" s="2899" t="s">
        <v>2817</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96.895835126908679</v>
      </c>
      <c r="AN21" s="3146">
        <f t="shared" si="49"/>
        <v>98.0525963045136</v>
      </c>
      <c r="AO21" s="3146">
        <f t="shared" si="50"/>
        <v>101.60412614090308</v>
      </c>
      <c r="AP21" s="3146">
        <f t="shared" si="51"/>
        <v>96.095057451598677</v>
      </c>
      <c r="AQ21" s="3146">
        <f t="shared" si="52"/>
        <v>93.867288502598527</v>
      </c>
      <c r="AR21" s="3146">
        <f t="shared" si="53"/>
        <v>101.60412614090308</v>
      </c>
    </row>
    <row r="22" spans="1:44" s="2042" customFormat="1" ht="13.2">
      <c r="A22" s="2899" t="s">
        <v>2818</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95.907982903007706</v>
      </c>
      <c r="AN22" s="3146">
        <f t="shared" si="49"/>
        <v>97.81783350410376</v>
      </c>
      <c r="AO22" s="3146">
        <f t="shared" si="50"/>
        <v>101.53305300380042</v>
      </c>
      <c r="AP22" s="3146">
        <f t="shared" si="51"/>
        <v>94.983747604624568</v>
      </c>
      <c r="AQ22" s="3146">
        <f t="shared" si="52"/>
        <v>93.353842369565911</v>
      </c>
      <c r="AR22" s="3146">
        <f t="shared" si="53"/>
        <v>101.53305300380042</v>
      </c>
    </row>
    <row r="23" spans="1:44" s="2042" customFormat="1" ht="13.2">
      <c r="A23" s="2899" t="s">
        <v>2819</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95.459324079832498</v>
      </c>
      <c r="AN23" s="3146">
        <f t="shared" si="49"/>
        <v>97.418417990343357</v>
      </c>
      <c r="AO23" s="3146">
        <f t="shared" si="50"/>
        <v>101.28995710674424</v>
      </c>
      <c r="AP23" s="3146">
        <f t="shared" si="51"/>
        <v>94.530003587405034</v>
      </c>
      <c r="AQ23" s="3146">
        <f t="shared" si="52"/>
        <v>92.907884523851436</v>
      </c>
      <c r="AR23" s="3146">
        <f t="shared" si="53"/>
        <v>101.28995710674424</v>
      </c>
    </row>
    <row r="24" spans="1:44" s="2922" customFormat="1" ht="15" thickBot="1">
      <c r="A24" s="2912" t="s">
        <v>2820</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48"/>
        <v>94.589104320087685</v>
      </c>
      <c r="AN24" s="3153">
        <f t="shared" si="49"/>
        <v>96.722019450301175</v>
      </c>
      <c r="AO24" s="3153">
        <f t="shared" si="50"/>
        <v>100.87636401428567</v>
      </c>
      <c r="AP24" s="3153">
        <f t="shared" si="51"/>
        <v>93.640419601193685</v>
      </c>
      <c r="AQ24" s="3153">
        <f t="shared" si="52"/>
        <v>91.978897657510586</v>
      </c>
      <c r="AR24" s="3153">
        <f t="shared" si="53"/>
        <v>100.87636401428567</v>
      </c>
    </row>
    <row r="25" spans="1:44" ht="15" thickTop="1"/>
    <row r="26" spans="1:44">
      <c r="A26" s="3136" t="s">
        <v>3377</v>
      </c>
    </row>
    <row r="27" spans="1:44">
      <c r="I27" s="1402" t="s">
        <v>2821</v>
      </c>
    </row>
    <row r="29" spans="1:44" s="2006" customFormat="1" ht="13.2">
      <c r="B29" s="2923" t="s">
        <v>3375</v>
      </c>
      <c r="C29" s="2924"/>
      <c r="D29" s="2924"/>
      <c r="E29" s="2924"/>
      <c r="F29" s="2924"/>
      <c r="G29" s="2924"/>
      <c r="H29" s="2924"/>
      <c r="I29" s="2924"/>
      <c r="J29" s="2890"/>
      <c r="K29" s="2924" t="s">
        <v>2822</v>
      </c>
      <c r="L29" s="2924"/>
      <c r="M29" s="2924"/>
      <c r="N29" s="2924"/>
      <c r="O29" s="2924"/>
      <c r="P29" s="2924"/>
      <c r="Q29" s="2890"/>
      <c r="R29" s="3559" t="s">
        <v>2823</v>
      </c>
      <c r="S29" s="3560"/>
      <c r="T29" s="3560"/>
      <c r="U29" s="3560"/>
      <c r="V29" s="3560"/>
      <c r="W29" s="3560"/>
      <c r="X29" s="2890"/>
      <c r="Y29" s="3559" t="s">
        <v>2824</v>
      </c>
      <c r="Z29" s="3560"/>
      <c r="AA29" s="3560"/>
      <c r="AB29" s="3560"/>
      <c r="AC29" s="3560"/>
      <c r="AD29" s="3560"/>
    </row>
    <row r="30" spans="1:44" s="2007" customFormat="1" ht="15" thickBot="1">
      <c r="B30" s="2875"/>
      <c r="C30" s="2876"/>
      <c r="D30" s="2008" t="s">
        <v>2825</v>
      </c>
      <c r="E30" s="2009" t="s">
        <v>2826</v>
      </c>
      <c r="F30" s="2009" t="s">
        <v>2827</v>
      </c>
      <c r="G30" s="2009" t="s">
        <v>2828</v>
      </c>
      <c r="H30" s="2009"/>
      <c r="I30" s="2009" t="s">
        <v>2829</v>
      </c>
      <c r="J30" s="2877"/>
      <c r="K30" s="2008" t="s">
        <v>2825</v>
      </c>
      <c r="L30" s="2009" t="s">
        <v>2826</v>
      </c>
      <c r="M30" s="2009" t="s">
        <v>2827</v>
      </c>
      <c r="N30" s="2009" t="s">
        <v>2828</v>
      </c>
      <c r="O30" s="2009"/>
      <c r="P30" s="2009" t="s">
        <v>2829</v>
      </c>
      <c r="Q30" s="2877"/>
      <c r="R30" s="2008" t="s">
        <v>2825</v>
      </c>
      <c r="S30" s="2009" t="s">
        <v>2826</v>
      </c>
      <c r="T30" s="2009" t="s">
        <v>2827</v>
      </c>
      <c r="U30" s="2009" t="s">
        <v>2828</v>
      </c>
      <c r="V30" s="2009"/>
      <c r="W30" s="2009" t="s">
        <v>2829</v>
      </c>
      <c r="X30" s="2877"/>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3400</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6">
        <f t="shared" ref="AG33:AG50" si="129">$AG$52*S33</f>
        <v>101.49</v>
      </c>
      <c r="AH33" s="3146">
        <f t="shared" ref="AH33:AH50" si="130">$AG$52*T33</f>
        <v>100.72000000000001</v>
      </c>
      <c r="AI33" s="3146">
        <f t="shared" ref="AI33:AI50" si="131">$AG$52*U33</f>
        <v>103.35000000000001</v>
      </c>
      <c r="AJ33" s="3148"/>
      <c r="AK33" s="3146">
        <f t="shared" ref="AK33:AK50" si="132">$AG$52*W33</f>
        <v>100.72000000000001</v>
      </c>
      <c r="AN33" s="3151">
        <v>100</v>
      </c>
      <c r="AO33" s="3151">
        <v>100</v>
      </c>
      <c r="AP33" s="3151">
        <v>100</v>
      </c>
      <c r="AQ33" s="3151"/>
      <c r="AR33" s="3151">
        <v>100</v>
      </c>
    </row>
    <row r="34" spans="1:44" s="2042" customFormat="1" ht="13.2">
      <c r="A34" s="2037" t="s">
        <v>3399</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6">
        <f t="shared" si="129"/>
        <v>101.49</v>
      </c>
      <c r="AH34" s="3146">
        <f t="shared" si="130"/>
        <v>100.72000000000001</v>
      </c>
      <c r="AI34" s="3146">
        <f t="shared" si="131"/>
        <v>103.35000000000001</v>
      </c>
      <c r="AJ34" s="3148"/>
      <c r="AK34" s="3146">
        <f t="shared" si="132"/>
        <v>100.72000000000001</v>
      </c>
      <c r="AN34" s="3146">
        <f>AN33/(1+E33/100)</f>
        <v>100</v>
      </c>
      <c r="AO34" s="3146">
        <f t="shared" ref="AO34:AR34" si="140">AO33/(1+F33/100)</f>
        <v>100</v>
      </c>
      <c r="AP34" s="3146">
        <f t="shared" si="140"/>
        <v>100</v>
      </c>
      <c r="AQ34" s="3146"/>
      <c r="AR34" s="3146">
        <f t="shared" si="140"/>
        <v>100</v>
      </c>
    </row>
    <row r="35" spans="1:44" s="2910" customFormat="1" ht="13.2">
      <c r="A35" s="2901" t="s">
        <v>3407</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7">
        <f t="shared" si="129"/>
        <v>101.49</v>
      </c>
      <c r="AH35" s="3147">
        <f t="shared" si="130"/>
        <v>100.72000000000001</v>
      </c>
      <c r="AI35" s="3147">
        <f t="shared" si="131"/>
        <v>103.35000000000001</v>
      </c>
      <c r="AJ35" s="3149"/>
      <c r="AK35" s="3147">
        <f t="shared" si="132"/>
        <v>100.72000000000001</v>
      </c>
      <c r="AN35" s="3147">
        <f t="shared" ref="AN35:AN52" si="148">AN34/(1+E34/100)</f>
        <v>100</v>
      </c>
      <c r="AO35" s="3147">
        <f t="shared" ref="AO35" si="149">AO34/(1+F34/100)</f>
        <v>100</v>
      </c>
      <c r="AP35" s="3147">
        <f t="shared" ref="AP35" si="150">AP34/(1+G34/100)</f>
        <v>100</v>
      </c>
      <c r="AQ35" s="3147"/>
      <c r="AR35" s="3147">
        <f t="shared" ref="AR35" si="151">AR34/(1+I34/100)</f>
        <v>100</v>
      </c>
    </row>
    <row r="36" spans="1:44" s="2042" customFormat="1" ht="13.2">
      <c r="A36" s="2037" t="s">
        <v>3404</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6">
        <f t="shared" si="129"/>
        <v>101.49</v>
      </c>
      <c r="AH36" s="3146">
        <f t="shared" si="130"/>
        <v>100.72000000000001</v>
      </c>
      <c r="AI36" s="3146">
        <f t="shared" si="131"/>
        <v>103.35000000000001</v>
      </c>
      <c r="AJ36" s="3148"/>
      <c r="AK36" s="3146">
        <f t="shared" si="132"/>
        <v>100.72000000000001</v>
      </c>
      <c r="AN36" s="3146">
        <f t="shared" si="148"/>
        <v>100</v>
      </c>
      <c r="AO36" s="3146">
        <f t="shared" ref="AO36:AO52" si="159">AO35/(1+F35/100)</f>
        <v>100</v>
      </c>
      <c r="AP36" s="3146">
        <f t="shared" ref="AP36:AP52" si="160">AP35/(1+G35/100)</f>
        <v>100</v>
      </c>
      <c r="AQ36" s="3146"/>
      <c r="AR36" s="3146">
        <f t="shared" ref="AR36:AR52" si="161">AR35/(1+I35/100)</f>
        <v>100</v>
      </c>
    </row>
    <row r="37" spans="1:44" s="2042" customFormat="1" ht="13.2">
      <c r="A37" s="2037" t="s">
        <v>3405</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6">
        <f t="shared" si="129"/>
        <v>103.01</v>
      </c>
      <c r="AH37" s="3146">
        <f t="shared" si="130"/>
        <v>101.71</v>
      </c>
      <c r="AI37" s="3146">
        <f t="shared" si="131"/>
        <v>103.88</v>
      </c>
      <c r="AJ37" s="3148"/>
      <c r="AK37" s="3146">
        <f t="shared" si="132"/>
        <v>101.71</v>
      </c>
      <c r="AN37" s="3146">
        <f t="shared" si="148"/>
        <v>101.49193139145439</v>
      </c>
      <c r="AO37" s="3146">
        <f t="shared" si="159"/>
        <v>100.98969905069683</v>
      </c>
      <c r="AP37" s="3146">
        <f t="shared" si="160"/>
        <v>100.51261433309881</v>
      </c>
      <c r="AQ37" s="3146"/>
      <c r="AR37" s="3146">
        <f t="shared" si="161"/>
        <v>100.98969905069683</v>
      </c>
    </row>
    <row r="38" spans="1:44" s="2042" customFormat="1" ht="13.2">
      <c r="A38" s="2037" t="s">
        <v>3369</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6">
        <f t="shared" si="129"/>
        <v>103.64</v>
      </c>
      <c r="AH38" s="3146">
        <f t="shared" si="130"/>
        <v>102.44</v>
      </c>
      <c r="AI38" s="3146">
        <f t="shared" si="131"/>
        <v>104.80000000000001</v>
      </c>
      <c r="AJ38" s="3148"/>
      <c r="AK38" s="3146">
        <f t="shared" si="132"/>
        <v>102.44</v>
      </c>
      <c r="AN38" s="3146">
        <f t="shared" si="148"/>
        <v>102.11483186583598</v>
      </c>
      <c r="AO38" s="3146">
        <f t="shared" si="159"/>
        <v>101.71185320847701</v>
      </c>
      <c r="AP38" s="3146">
        <f t="shared" si="160"/>
        <v>101.4049781407373</v>
      </c>
      <c r="AQ38" s="3146"/>
      <c r="AR38" s="3146">
        <f t="shared" si="161"/>
        <v>101.71185320847701</v>
      </c>
    </row>
    <row r="39" spans="1:44" s="2042" customFormat="1" ht="13.2">
      <c r="A39" s="2899" t="s">
        <v>3373</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6">
        <f t="shared" si="129"/>
        <v>104.32999999999998</v>
      </c>
      <c r="AH39" s="3146">
        <f t="shared" si="130"/>
        <v>102.98</v>
      </c>
      <c r="AI39" s="3146">
        <f t="shared" si="131"/>
        <v>107.89999999999999</v>
      </c>
      <c r="AJ39" s="3148"/>
      <c r="AK39" s="3146">
        <f t="shared" si="132"/>
        <v>102.98</v>
      </c>
      <c r="AN39" s="3146">
        <f t="shared" si="148"/>
        <v>102.79326743087979</v>
      </c>
      <c r="AO39" s="3146">
        <f t="shared" si="159"/>
        <v>102.24351950992863</v>
      </c>
      <c r="AP39" s="3146">
        <f t="shared" si="160"/>
        <v>104.40129531631555</v>
      </c>
      <c r="AQ39" s="3146"/>
      <c r="AR39" s="3146">
        <f t="shared" si="161"/>
        <v>102.24351950992863</v>
      </c>
    </row>
    <row r="40" spans="1:44" s="2042" customFormat="1" ht="13.2">
      <c r="A40" s="2899" t="s">
        <v>3370</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6">
        <f t="shared" si="129"/>
        <v>104.65</v>
      </c>
      <c r="AH40" s="3146">
        <f t="shared" si="130"/>
        <v>103.38000000000001</v>
      </c>
      <c r="AI40" s="3146">
        <f t="shared" si="131"/>
        <v>106.59</v>
      </c>
      <c r="AJ40" s="3148"/>
      <c r="AK40" s="3146">
        <f t="shared" si="132"/>
        <v>103.38000000000001</v>
      </c>
      <c r="AN40" s="3146">
        <f t="shared" si="148"/>
        <v>103.11291747505246</v>
      </c>
      <c r="AO40" s="3146">
        <f t="shared" si="159"/>
        <v>102.64383044867849</v>
      </c>
      <c r="AP40" s="3146">
        <f t="shared" si="160"/>
        <v>103.13276233953923</v>
      </c>
      <c r="AQ40" s="3146"/>
      <c r="AR40" s="3146">
        <f t="shared" si="161"/>
        <v>102.64383044867849</v>
      </c>
    </row>
    <row r="41" spans="1:44" s="2042" customFormat="1" ht="13.2">
      <c r="A41" s="2899" t="s">
        <v>3368</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6">
        <f t="shared" si="129"/>
        <v>104.39</v>
      </c>
      <c r="AH41" s="3146">
        <f t="shared" si="130"/>
        <v>102.97</v>
      </c>
      <c r="AI41" s="3146">
        <f t="shared" si="131"/>
        <v>107.27</v>
      </c>
      <c r="AJ41" s="3148"/>
      <c r="AK41" s="3146">
        <f t="shared" si="132"/>
        <v>102.97</v>
      </c>
      <c r="AN41" s="3146">
        <f t="shared" si="148"/>
        <v>102.85577802997751</v>
      </c>
      <c r="AO41" s="3146">
        <f t="shared" si="159"/>
        <v>102.23489088513793</v>
      </c>
      <c r="AP41" s="3146">
        <f t="shared" si="160"/>
        <v>103.78661803314806</v>
      </c>
      <c r="AQ41" s="3146"/>
      <c r="AR41" s="3146">
        <f t="shared" si="161"/>
        <v>102.23489088513793</v>
      </c>
    </row>
    <row r="42" spans="1:44" s="2042" customFormat="1" ht="13.2">
      <c r="A42" s="2899" t="s">
        <v>3366</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6">
        <f t="shared" si="129"/>
        <v>104.32</v>
      </c>
      <c r="AH42" s="3146">
        <f t="shared" si="130"/>
        <v>102.86999999999999</v>
      </c>
      <c r="AI42" s="3146">
        <f t="shared" si="131"/>
        <v>107.23</v>
      </c>
      <c r="AJ42" s="3148"/>
      <c r="AK42" s="3146">
        <f t="shared" si="132"/>
        <v>102.86999999999999</v>
      </c>
      <c r="AN42" s="3146">
        <f t="shared" si="148"/>
        <v>102.78382934943292</v>
      </c>
      <c r="AO42" s="3146">
        <f t="shared" si="159"/>
        <v>102.14296221914071</v>
      </c>
      <c r="AP42" s="3146">
        <f t="shared" si="160"/>
        <v>103.75549138573234</v>
      </c>
      <c r="AQ42" s="3146"/>
      <c r="AR42" s="3146">
        <f t="shared" si="161"/>
        <v>102.14296221914071</v>
      </c>
    </row>
    <row r="43" spans="1:44" s="2042" customFormat="1" ht="13.2">
      <c r="A43" s="2899" t="s">
        <v>3365</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6">
        <f t="shared" si="129"/>
        <v>103.96000000000001</v>
      </c>
      <c r="AH43" s="3146">
        <f t="shared" si="130"/>
        <v>102.69999999999999</v>
      </c>
      <c r="AI43" s="3146">
        <f t="shared" si="131"/>
        <v>106.67999999999999</v>
      </c>
      <c r="AJ43" s="3148"/>
      <c r="AK43" s="3146">
        <f t="shared" si="132"/>
        <v>102.69999999999999</v>
      </c>
      <c r="AN43" s="3146">
        <f t="shared" si="148"/>
        <v>102.42534065713295</v>
      </c>
      <c r="AO43" s="3146">
        <f t="shared" si="159"/>
        <v>101.96961387555227</v>
      </c>
      <c r="AP43" s="3146">
        <f t="shared" si="160"/>
        <v>103.21875386563104</v>
      </c>
      <c r="AQ43" s="3146"/>
      <c r="AR43" s="3146">
        <f t="shared" si="161"/>
        <v>101.96961387555227</v>
      </c>
    </row>
    <row r="44" spans="1:44" s="2042" customFormat="1" ht="13.2">
      <c r="A44" s="2899" t="s">
        <v>3363</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6">
        <f t="shared" si="129"/>
        <v>103.44</v>
      </c>
      <c r="AH44" s="3146">
        <f t="shared" si="130"/>
        <v>102.24</v>
      </c>
      <c r="AI44" s="3146">
        <f t="shared" si="131"/>
        <v>105.74</v>
      </c>
      <c r="AJ44" s="3148"/>
      <c r="AK44" s="3146">
        <f t="shared" si="132"/>
        <v>102.24</v>
      </c>
      <c r="AN44" s="3146">
        <f t="shared" si="148"/>
        <v>101.91576184789349</v>
      </c>
      <c r="AO44" s="3146">
        <f t="shared" si="159"/>
        <v>101.5128062474388</v>
      </c>
      <c r="AP44" s="3146">
        <f t="shared" si="160"/>
        <v>102.30821078960358</v>
      </c>
      <c r="AQ44" s="3146"/>
      <c r="AR44" s="3146">
        <f t="shared" si="161"/>
        <v>101.5128062474388</v>
      </c>
    </row>
    <row r="45" spans="1:44" s="2042" customFormat="1" ht="13.2">
      <c r="A45" s="2899" t="s">
        <v>3362</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6">
        <f t="shared" si="129"/>
        <v>102.86999999999999</v>
      </c>
      <c r="AH45" s="3146">
        <f t="shared" si="130"/>
        <v>101.64</v>
      </c>
      <c r="AI45" s="3146">
        <f t="shared" si="131"/>
        <v>105.06</v>
      </c>
      <c r="AJ45" s="3148"/>
      <c r="AK45" s="3146">
        <f t="shared" si="132"/>
        <v>101.64</v>
      </c>
      <c r="AN45" s="3146">
        <f t="shared" si="148"/>
        <v>101.35829124604027</v>
      </c>
      <c r="AO45" s="3146">
        <f t="shared" si="159"/>
        <v>100.91739362505101</v>
      </c>
      <c r="AP45" s="3146">
        <f t="shared" si="160"/>
        <v>101.6576021359336</v>
      </c>
      <c r="AQ45" s="3146"/>
      <c r="AR45" s="3146">
        <f t="shared" si="161"/>
        <v>100.91739362505101</v>
      </c>
    </row>
    <row r="46" spans="1:44" s="2042" customFormat="1" ht="13.2">
      <c r="A46" s="2899" t="s">
        <v>3361</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6">
        <f t="shared" si="129"/>
        <v>102.41</v>
      </c>
      <c r="AH46" s="3146">
        <f t="shared" si="130"/>
        <v>101.44</v>
      </c>
      <c r="AI46" s="3146">
        <f t="shared" si="131"/>
        <v>104.67</v>
      </c>
      <c r="AJ46" s="3148"/>
      <c r="AK46" s="3146">
        <f t="shared" si="132"/>
        <v>101.44</v>
      </c>
      <c r="AN46" s="3146">
        <f t="shared" si="148"/>
        <v>100.90422224593357</v>
      </c>
      <c r="AO46" s="3146">
        <f t="shared" si="159"/>
        <v>100.71596170164771</v>
      </c>
      <c r="AP46" s="3146">
        <f t="shared" si="160"/>
        <v>101.2727656265527</v>
      </c>
      <c r="AQ46" s="3146"/>
      <c r="AR46" s="3146">
        <f t="shared" si="161"/>
        <v>100.71596170164771</v>
      </c>
    </row>
    <row r="47" spans="1:44" s="2042" customFormat="1" ht="13.2">
      <c r="A47" s="2899" t="s">
        <v>3351</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100.60241500093079</v>
      </c>
      <c r="AO47" s="3146">
        <f t="shared" si="159"/>
        <v>100.42472998469212</v>
      </c>
      <c r="AP47" s="3146">
        <f t="shared" si="160"/>
        <v>100.43912092289268</v>
      </c>
      <c r="AQ47" s="3146"/>
      <c r="AR47" s="3146">
        <f t="shared" si="161"/>
        <v>100.42472998469212</v>
      </c>
    </row>
    <row r="48" spans="1:44" s="2042" customFormat="1" ht="13.2">
      <c r="A48" s="2899" t="s">
        <v>2831</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100.71319952040324</v>
      </c>
      <c r="AO48" s="3146">
        <f t="shared" si="159"/>
        <v>100.55545207238622</v>
      </c>
      <c r="AP48" s="3146">
        <f t="shared" si="160"/>
        <v>99.90960004266654</v>
      </c>
      <c r="AQ48" s="3146"/>
      <c r="AR48" s="3146">
        <f t="shared" si="161"/>
        <v>100.55545207238622</v>
      </c>
    </row>
    <row r="49" spans="1:44" s="2042" customFormat="1" ht="13.2">
      <c r="A49" s="2899" t="s">
        <v>2832</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6">
        <f t="shared" si="129"/>
        <v>101.61</v>
      </c>
      <c r="AH49" s="3146">
        <f t="shared" si="130"/>
        <v>100.82</v>
      </c>
      <c r="AI49" s="3146">
        <f t="shared" si="131"/>
        <v>102.71</v>
      </c>
      <c r="AJ49" s="3148"/>
      <c r="AK49" s="3146">
        <f t="shared" si="132"/>
        <v>100.82</v>
      </c>
      <c r="AN49" s="3146">
        <f t="shared" si="148"/>
        <v>100.11252437415828</v>
      </c>
      <c r="AO49" s="3146">
        <f t="shared" si="159"/>
        <v>100.10497966389867</v>
      </c>
      <c r="AP49" s="3146">
        <f t="shared" si="160"/>
        <v>99.382870827281934</v>
      </c>
      <c r="AQ49" s="3146"/>
      <c r="AR49" s="3146">
        <f t="shared" si="161"/>
        <v>100.10497966389867</v>
      </c>
    </row>
    <row r="50" spans="1:44" s="2042" customFormat="1" ht="13.2">
      <c r="A50" s="2899" t="s">
        <v>2833</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6">
        <f t="shared" si="129"/>
        <v>101.02</v>
      </c>
      <c r="AH50" s="3146">
        <f t="shared" si="130"/>
        <v>100.74000000000001</v>
      </c>
      <c r="AI50" s="3146">
        <f t="shared" si="131"/>
        <v>102.02</v>
      </c>
      <c r="AJ50" s="3148"/>
      <c r="AK50" s="3146">
        <f t="shared" si="132"/>
        <v>100.74000000000001</v>
      </c>
      <c r="AN50" s="3146">
        <f t="shared" si="148"/>
        <v>99.535220097592244</v>
      </c>
      <c r="AO50" s="3146">
        <f t="shared" si="159"/>
        <v>100.02495969614176</v>
      </c>
      <c r="AP50" s="3146">
        <f t="shared" si="160"/>
        <v>98.711631731507694</v>
      </c>
      <c r="AQ50" s="3146"/>
      <c r="AR50" s="3146">
        <f t="shared" si="161"/>
        <v>100.02495969614176</v>
      </c>
    </row>
    <row r="51" spans="1:44" s="2042" customFormat="1" ht="13.2">
      <c r="A51" s="2899" t="s">
        <v>2834</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6">
        <f>$AG$52*S51</f>
        <v>100.55000000000001</v>
      </c>
      <c r="AH51" s="3146">
        <f t="shared" ref="AH51:AK51" si="192">$AG$52*T51</f>
        <v>100.46</v>
      </c>
      <c r="AI51" s="3146">
        <f t="shared" si="192"/>
        <v>101.1</v>
      </c>
      <c r="AJ51" s="3148"/>
      <c r="AK51" s="3146">
        <f t="shared" si="192"/>
        <v>100.46</v>
      </c>
      <c r="AN51" s="3146">
        <f t="shared" si="148"/>
        <v>99.069593010443171</v>
      </c>
      <c r="AO51" s="3146">
        <f t="shared" si="159"/>
        <v>99.745671815059609</v>
      </c>
      <c r="AP51" s="3146">
        <f t="shared" si="160"/>
        <v>97.821456477561867</v>
      </c>
      <c r="AQ51" s="3146"/>
      <c r="AR51" s="3146">
        <f t="shared" si="161"/>
        <v>99.745671815059609</v>
      </c>
    </row>
    <row r="52" spans="1:44" s="2922" customFormat="1" ht="15" thickBot="1">
      <c r="A52" s="2912" t="s">
        <v>2820</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0">
        <v>100</v>
      </c>
      <c r="AH52" s="3150">
        <v>100</v>
      </c>
      <c r="AI52" s="3150">
        <v>100</v>
      </c>
      <c r="AJ52" s="3150"/>
      <c r="AK52" s="3150">
        <v>100</v>
      </c>
      <c r="AN52" s="3153">
        <f t="shared" si="148"/>
        <v>98.527690711529758</v>
      </c>
      <c r="AO52" s="3153">
        <f t="shared" si="159"/>
        <v>99.288942678737428</v>
      </c>
      <c r="AP52" s="3153">
        <f t="shared" si="160"/>
        <v>96.757128068805017</v>
      </c>
      <c r="AQ52" s="3153"/>
      <c r="AR52" s="3153">
        <f t="shared" si="161"/>
        <v>99.288942678737428</v>
      </c>
    </row>
    <row r="53" spans="1:44" ht="15" thickTop="1"/>
    <row r="54" spans="1:44">
      <c r="A54" s="3136"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928</v>
      </c>
      <c r="B2" s="3254" t="s">
        <v>929</v>
      </c>
      <c r="C2" s="3254" t="s">
        <v>930</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6">
      <c r="A3" s="3249"/>
      <c r="B3" s="3249"/>
      <c r="C3" s="3249"/>
      <c r="D3" s="798" t="s">
        <v>925</v>
      </c>
      <c r="E3" s="798" t="s">
        <v>931</v>
      </c>
      <c r="F3" s="798" t="s">
        <v>925</v>
      </c>
      <c r="G3" s="798" t="s">
        <v>926</v>
      </c>
      <c r="H3" s="798" t="s">
        <v>925</v>
      </c>
      <c r="I3" s="798" t="s">
        <v>926</v>
      </c>
    </row>
    <row r="4" spans="1:9" ht="30">
      <c r="A4" s="1400" t="str">
        <f>项目基本情况!S2</f>
        <v>北京市朝阳区红军营南路36号院房地产</v>
      </c>
      <c r="B4" s="798">
        <f>项目基本情况!C17</f>
        <v>37817.270000000004</v>
      </c>
      <c r="C4" s="798">
        <f>项目基本情况!C18</f>
        <v>11268.85</v>
      </c>
      <c r="D4" s="798">
        <f ca="1">结果表!D118</f>
        <v>35750</v>
      </c>
      <c r="E4" s="798">
        <f ca="1">结果表!E118</f>
        <v>23429</v>
      </c>
      <c r="F4" s="798">
        <f ca="1">结果表!F118</f>
        <v>28433</v>
      </c>
      <c r="G4" s="798">
        <f ca="1">结果表!G118</f>
        <v>18633</v>
      </c>
      <c r="H4" s="798">
        <f ca="1">结果表!H118</f>
        <v>64183</v>
      </c>
      <c r="I4" s="798">
        <f ca="1">结果表!I118</f>
        <v>42062</v>
      </c>
    </row>
    <row r="5" spans="1:9" ht="30" customHeight="1">
      <c r="A5" s="3249" t="s">
        <v>927</v>
      </c>
      <c r="B5" s="3249"/>
      <c r="C5" s="3249"/>
      <c r="D5" s="3249" t="str">
        <f ca="1">结果表!D119</f>
        <v>叁亿伍仟柒佰伍拾万元整</v>
      </c>
      <c r="E5" s="3249"/>
      <c r="F5" s="3249" t="str">
        <f ca="1">结果表!F119</f>
        <v>贰亿捌仟肆佰叁拾叁万元整</v>
      </c>
      <c r="G5" s="3249"/>
      <c r="H5" s="3249" t="str">
        <f ca="1">结果表!H119</f>
        <v>陆亿肆仟壹佰捌拾叁万元整</v>
      </c>
      <c r="I5" s="3249"/>
    </row>
    <row r="6" spans="1:9" ht="15.6">
      <c r="A6" s="3248" t="str">
        <f>结果表!A120</f>
        <v>估价师知悉的法定优先受偿款</v>
      </c>
      <c r="B6" s="3248"/>
      <c r="C6" s="3248"/>
      <c r="D6" s="3248">
        <f>结果表!D120</f>
        <v>0</v>
      </c>
      <c r="E6" s="3248"/>
      <c r="F6" s="3248"/>
      <c r="G6" s="3248"/>
      <c r="H6" s="3248"/>
      <c r="I6" s="3248"/>
    </row>
    <row r="7" spans="1:9" ht="15">
      <c r="A7" s="3249" t="s">
        <v>927</v>
      </c>
      <c r="B7" s="3249"/>
      <c r="C7" s="3249"/>
      <c r="D7" s="3250" t="str">
        <f>结果表!D121</f>
        <v>零元整</v>
      </c>
      <c r="E7" s="3251"/>
      <c r="F7" s="3251"/>
      <c r="G7" s="3251"/>
      <c r="H7" s="3251"/>
      <c r="I7" s="3252"/>
    </row>
    <row r="8" spans="1:9" ht="15.6">
      <c r="A8" s="3248" t="str">
        <f>结果表!A122</f>
        <v>房地产抵押价值</v>
      </c>
      <c r="B8" s="3248"/>
      <c r="C8" s="3248"/>
      <c r="D8" s="3248">
        <f ca="1">结果表!D122</f>
        <v>64183</v>
      </c>
      <c r="E8" s="3248"/>
      <c r="F8" s="3248"/>
      <c r="G8" s="3248"/>
      <c r="H8" s="3248"/>
      <c r="I8" s="3248"/>
    </row>
    <row r="9" spans="1:9" ht="15">
      <c r="A9" s="3249" t="s">
        <v>927</v>
      </c>
      <c r="B9" s="3249"/>
      <c r="C9" s="3249"/>
      <c r="D9" s="3249" t="str">
        <f ca="1">结果表!D123</f>
        <v>陆亿肆仟壹佰捌拾叁万元整</v>
      </c>
      <c r="E9" s="3249"/>
      <c r="F9" s="3249"/>
      <c r="G9" s="3249"/>
      <c r="H9" s="3249"/>
      <c r="I9" s="3249"/>
    </row>
    <row r="10" spans="1:9" ht="15.6">
      <c r="A10" s="3248" t="str">
        <f>结果表!A124</f>
        <v/>
      </c>
      <c r="B10" s="3248"/>
      <c r="C10" s="3248"/>
      <c r="D10" s="3248" t="str">
        <f>结果表!D124</f>
        <v>——</v>
      </c>
      <c r="E10" s="3248"/>
      <c r="F10" s="3248"/>
      <c r="G10" s="3248"/>
      <c r="H10" s="3248"/>
      <c r="I10" s="3248"/>
    </row>
    <row r="11" spans="1:9" ht="15">
      <c r="A11" s="3249" t="s">
        <v>927</v>
      </c>
      <c r="B11" s="3249"/>
      <c r="C11" s="3249"/>
      <c r="D11" s="3249" t="e">
        <f>结果表!D125</f>
        <v>#VALUE!</v>
      </c>
      <c r="E11" s="3249"/>
      <c r="F11" s="3249"/>
      <c r="G11" s="3249"/>
      <c r="H11" s="3249"/>
      <c r="I11" s="3249"/>
    </row>
    <row r="12" spans="1:9" ht="15.6">
      <c r="A12" s="3248" t="str">
        <f>结果表!A126</f>
        <v>抵押净值</v>
      </c>
      <c r="B12" s="3248"/>
      <c r="C12" s="3248"/>
      <c r="D12" s="3248">
        <f ca="1">结果表!D126</f>
        <v>87940</v>
      </c>
      <c r="E12" s="3248"/>
      <c r="F12" s="3248"/>
      <c r="G12" s="3248"/>
      <c r="H12" s="3248"/>
      <c r="I12" s="3248"/>
    </row>
    <row r="13" spans="1:9" ht="15.6" thickBot="1">
      <c r="A13" s="3246" t="s">
        <v>927</v>
      </c>
      <c r="B13" s="3246"/>
      <c r="C13" s="3246"/>
      <c r="D13" s="3246" t="str">
        <f ca="1">结果表!D127</f>
        <v>捌亿柒仟玖佰肆拾万元整</v>
      </c>
      <c r="E13" s="3246"/>
      <c r="F13" s="3246"/>
      <c r="G13" s="3246"/>
      <c r="H13" s="3246"/>
      <c r="I13" s="3246"/>
    </row>
    <row r="14" spans="1:9" ht="14.4" thickTop="1">
      <c r="A14" s="3247" t="s">
        <v>932</v>
      </c>
      <c r="B14" s="3247"/>
      <c r="C14" s="3247"/>
      <c r="D14" s="3247"/>
      <c r="E14" s="3247"/>
      <c r="F14" s="3247"/>
      <c r="G14" s="3247"/>
      <c r="H14" s="3247"/>
      <c r="I14" s="3247"/>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64" t="s">
        <v>452</v>
      </c>
      <c r="C1" s="3564"/>
      <c r="D1" s="3564"/>
      <c r="E1" s="3564"/>
      <c r="F1" s="3564"/>
      <c r="G1" s="3560" t="s">
        <v>453</v>
      </c>
      <c r="H1" s="3560"/>
      <c r="I1" s="3560"/>
      <c r="J1" s="3560"/>
      <c r="K1" s="3560"/>
      <c r="L1" s="3560"/>
      <c r="N1" s="3560" t="s">
        <v>454</v>
      </c>
      <c r="O1" s="3560"/>
      <c r="P1" s="3560"/>
      <c r="Q1" s="3560"/>
      <c r="S1" s="3560" t="s">
        <v>455</v>
      </c>
      <c r="T1" s="3560"/>
      <c r="U1" s="3560"/>
      <c r="V1" s="3560"/>
      <c r="X1" s="3559" t="s">
        <v>456</v>
      </c>
      <c r="Y1" s="3560"/>
      <c r="Z1" s="3560"/>
      <c r="AA1" s="3560"/>
      <c r="AB1" s="3560"/>
      <c r="AD1" s="3559" t="s">
        <v>457</v>
      </c>
      <c r="AE1" s="3560"/>
      <c r="AF1" s="3560"/>
      <c r="AG1" s="3560"/>
      <c r="AH1" s="3560"/>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6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6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6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6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6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6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6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6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6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6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6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6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6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6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6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2">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63">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6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2">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63">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72" t="s">
        <v>2835</v>
      </c>
      <c r="B1" s="3572"/>
      <c r="C1" s="3572"/>
      <c r="D1" s="3572"/>
      <c r="E1" s="3572"/>
      <c r="F1" s="3572"/>
      <c r="G1" s="3573"/>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70"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71"/>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45771</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15259.08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3" t="s">
        <v>1935</v>
      </c>
      <c r="D2" s="162" t="s">
        <v>1936</v>
      </c>
      <c r="E2" s="311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3" t="s">
        <v>1941</v>
      </c>
      <c r="D3" s="162" t="s">
        <v>1942</v>
      </c>
      <c r="E3" s="3112" t="s">
        <v>3442</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16692</v>
      </c>
      <c r="D5" s="1249">
        <f>ROUND(C6*C17+C20,0)</f>
        <v>16364</v>
      </c>
      <c r="E5" s="1249"/>
      <c r="F5" s="1848"/>
      <c r="G5" s="1849"/>
      <c r="H5" s="1849"/>
      <c r="I5" s="1849"/>
      <c r="J5" s="1850"/>
      <c r="K5" s="1851"/>
      <c r="L5" s="1844" t="s">
        <v>1948</v>
      </c>
      <c r="M5" s="808">
        <f>SUMPRODUCT((区片价!B87:B126=I2)*(区片价!C3:G3=E2)*(区片价!C87:G126))</f>
        <v>16400</v>
      </c>
      <c r="N5" s="810">
        <f>SUMPRODUCT((因素修正幅度!B87:B126=I2)*(因素修正幅度!C3:G3=E2)*(因素修正幅度!C87:G126))</f>
        <v>5.1999999999999998E-2</v>
      </c>
      <c r="O5" s="1053"/>
      <c r="P5" s="1053"/>
      <c r="Q5" s="1053"/>
      <c r="R5" s="1126">
        <v>4</v>
      </c>
      <c r="S5" s="3057">
        <f>ROUND(SUMPRODUCT((B106:B110=R5)*(C105:N105=G2)*(C106:N110)),4)</f>
        <v>0.88239999999999996</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16400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1.0149999999999999</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3429</v>
      </c>
      <c r="D8" s="709" t="s">
        <v>112</v>
      </c>
      <c r="E8" s="710">
        <f>ROUND(C11/E7,4)</f>
        <v>3.7499999999999999E-2</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t="e">
        <f t="shared" si="0"/>
        <v>#DIV/0!</v>
      </c>
      <c r="U8" s="1127"/>
      <c r="V8" s="3057" t="e">
        <f t="shared" si="1"/>
        <v>#DIV/0!</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0.1</v>
      </c>
      <c r="D9" s="163" t="s">
        <v>113</v>
      </c>
      <c r="E9" s="163">
        <f>ROUND(C11/E7,4)</f>
        <v>3.7499999999999999E-2</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t="e">
        <f t="shared" si="0"/>
        <v>#DIV/0!</v>
      </c>
      <c r="U9" s="1127"/>
      <c r="V9" s="3057" t="e">
        <f t="shared" si="1"/>
        <v>#DIV/0!</v>
      </c>
      <c r="W9" s="3480"/>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15</v>
      </c>
      <c r="D10" s="163" t="s">
        <v>114</v>
      </c>
      <c r="E10" s="163">
        <f>ROUND(C11/E7,4)</f>
        <v>3.7499999999999999E-2</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t="e">
        <f t="shared" si="0"/>
        <v>#DIV/0!</v>
      </c>
      <c r="U10" s="1127"/>
      <c r="V10" s="3057" t="e">
        <f t="shared" si="1"/>
        <v>#DIV/0!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3.75</v>
      </c>
      <c r="D11" s="712" t="s">
        <v>115</v>
      </c>
      <c r="E11" s="712">
        <f>ROUND(C11/E7,4)</f>
        <v>3.7499999999999999E-2</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1.02</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-36</v>
      </c>
      <c r="D20" s="3040" t="s">
        <v>1998</v>
      </c>
      <c r="E20" s="3041"/>
      <c r="F20" s="3491" t="s">
        <v>1995</v>
      </c>
      <c r="G20" s="3492"/>
      <c r="H20" s="3026" t="s">
        <v>3414</v>
      </c>
      <c r="I20" s="3026" t="s">
        <v>3415</v>
      </c>
      <c r="J20" s="3027" t="s">
        <v>3416</v>
      </c>
      <c r="K20" s="1886" t="s">
        <v>3417</v>
      </c>
      <c r="L20" s="1886" t="s">
        <v>3418</v>
      </c>
      <c r="M20" s="1886" t="s">
        <v>43</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4">
        <v>44197</v>
      </c>
      <c r="F23" s="1893" t="s">
        <v>2003</v>
      </c>
      <c r="G23" s="715">
        <f>'数据-取费表'!B2</f>
        <v>45771</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t="e">
        <f>ROUND(POWER(1+G24,J24-I24)*(POWER(1+G24,I24)-1)/(POWER(1+G24,J24)-1),4)</f>
        <v>#DIV/0!</v>
      </c>
      <c r="D24" s="1899" t="s">
        <v>2007</v>
      </c>
      <c r="E24" s="1245">
        <f>存贷款利率!E27/100</f>
        <v>4.3499999999999997E-2</v>
      </c>
      <c r="F24" s="1899" t="s">
        <v>1999</v>
      </c>
      <c r="G24" s="721">
        <f>SUMIF(M30:Q30,E2,M33:Q33)</f>
        <v>5.5E-2</v>
      </c>
      <c r="H24" s="1899" t="s">
        <v>2008</v>
      </c>
      <c r="I24" s="722" t="e">
        <f>SUMIF('数据-取费表'!C6:C15,E2,'数据-取费表'!F6:F15)/COUNTIF('数据-取费表'!C6:C15,E2)</f>
        <v>#DIV/0!</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3331</v>
      </c>
      <c r="C25" s="461">
        <f>IF(B25="容积率修正",IF(G3&lt;10,D26,J26),C27)</f>
        <v>1.1471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1.1471</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1.1559999999999999</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#DIV/0!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t="e">
        <f>ROUND(C5*C22*C23*C24*C25*C28,0)</f>
        <v>#DIV/0!</v>
      </c>
      <c r="D33" s="1937">
        <f>'数据-汇总表'!F19</f>
        <v>15259.08</v>
      </c>
      <c r="E33" s="724" t="e">
        <f>ROUND(C33*D33/10000,0)</f>
        <v>#DIV/0!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t="e">
        <f>ROUND(D5*C22*C23*C24*C28*F37,0)</f>
        <v>#DIV/0!</v>
      </c>
      <c r="D37" s="1937">
        <f>'数据-汇总表'!F20</f>
        <v>0</v>
      </c>
      <c r="E37" s="163" t="e">
        <f>ROUND(C37*D37/10000,0)</f>
        <v>#DIV/0!</v>
      </c>
      <c r="F37" s="163">
        <f>SUMIF(修正!A57:A68,G2,修正!B57:B68)</f>
        <v>0.6</v>
      </c>
      <c r="G37" s="163" t="e">
        <f>ROUND(IF(E2="工业",C37*$M$42,C37*$M$41),0)</f>
        <v>#DIV/0!</v>
      </c>
      <c r="H37" s="163">
        <f>D37</f>
        <v>0</v>
      </c>
      <c r="I37" s="163" t="e">
        <f>ROUND(G37*H37/10000,0)</f>
        <v>#DIV/0!</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t="e">
        <f>ROUND(D5*C22*C23*C24*C28*F39,0)</f>
        <v>#DIV/0!</v>
      </c>
      <c r="D39" s="1937"/>
      <c r="E39" s="163" t="e">
        <f t="shared" si="4"/>
        <v>#DIV/0!</v>
      </c>
      <c r="F39" s="163">
        <f>SUMIF(修正!A57:A68,G2,修正!D57:D68)</f>
        <v>0.25</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0.25</v>
      </c>
      <c r="G40" s="163" t="e">
        <f>ROUND(IF(E2="工业",C40*$M$42,C40*$M$41),0)</f>
        <v>#DIV/0!</v>
      </c>
      <c r="H40" s="163">
        <f t="shared" si="5"/>
        <v>0</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0</v>
      </c>
      <c r="D42" s="1942"/>
      <c r="E42" s="179">
        <f t="shared" si="4"/>
        <v>0</v>
      </c>
      <c r="F42" s="720">
        <f>SUMIF(修正!A57:A68,G2,修正!G57:G68)</f>
        <v>0.15</v>
      </c>
      <c r="G42" s="179">
        <f>ROUND(IF(E2="工业",C42*$M$42,C42*$M$41),0)</f>
        <v>0</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v>
      </c>
      <c r="D44" s="163" t="s">
        <v>1999</v>
      </c>
      <c r="E44" s="1988">
        <f>G24</f>
        <v>5.5E-2</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3431</v>
      </c>
      <c r="D61" s="999">
        <f t="shared" ref="D61:D69" si="12">SUMIF($J$60:$N$60,C61,J61:N61)</f>
        <v>1.0200000000000001E-2</v>
      </c>
      <c r="E61" s="699">
        <f>ROUND(SUM(D61:D69),4)</f>
        <v>4.41E-2</v>
      </c>
      <c r="F61" s="1672">
        <f>IF(E2="办公",SUMIF(L1:L12,G2,N1:N12),"——")</f>
        <v>5.1999999999999998E-2</v>
      </c>
      <c r="G61" s="997">
        <v>1.0200000000000001E-2</v>
      </c>
      <c r="H61" s="1000">
        <f t="shared" ref="H61:H69" si="13">IFERROR(ROUNDDOWN($F$61*I61/2,4),"——")</f>
        <v>6.4999999999999997E-3</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t="s">
        <v>3431</v>
      </c>
      <c r="D62" s="999">
        <f t="shared" si="12"/>
        <v>1.06E-2</v>
      </c>
      <c r="E62" s="700"/>
      <c r="F62" s="1672"/>
      <c r="G62" s="997">
        <v>1.06E-2</v>
      </c>
      <c r="H62" s="1000">
        <f t="shared" si="13"/>
        <v>6.7000000000000002E-3</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t="s">
        <v>3431</v>
      </c>
      <c r="D63" s="999">
        <f t="shared" si="12"/>
        <v>4.4999999999999997E-3</v>
      </c>
      <c r="E63" s="700"/>
      <c r="F63" s="1672"/>
      <c r="G63" s="997">
        <v>4.4999999999999997E-3</v>
      </c>
      <c r="H63" s="1000">
        <f t="shared" si="13"/>
        <v>2.8E-3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3431</v>
      </c>
      <c r="D64" s="999">
        <f t="shared" si="12"/>
        <v>2E-3</v>
      </c>
      <c r="E64" s="700"/>
      <c r="F64" s="1672"/>
      <c r="G64" s="997">
        <v>2E-3</v>
      </c>
      <c r="H64" s="1000">
        <f t="shared" si="13"/>
        <v>1.2999999999999999E-3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t="s">
        <v>3431</v>
      </c>
      <c r="D65" s="999">
        <f t="shared" si="12"/>
        <v>2E-3</v>
      </c>
      <c r="E65" s="700"/>
      <c r="F65" s="1672"/>
      <c r="G65" s="997">
        <v>2E-3</v>
      </c>
      <c r="H65" s="1000">
        <f t="shared" si="13"/>
        <v>1.2999999999999999E-3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3431</v>
      </c>
      <c r="D66" s="999">
        <f t="shared" si="12"/>
        <v>2.3999999999999998E-3</v>
      </c>
      <c r="E66" s="700"/>
      <c r="F66" s="1672"/>
      <c r="G66" s="997">
        <v>2.3999999999999998E-3</v>
      </c>
      <c r="H66" s="1000">
        <f t="shared" si="13"/>
        <v>1.5E-3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t="s">
        <v>3431</v>
      </c>
      <c r="D67" s="999">
        <f t="shared" si="12"/>
        <v>2.3999999999999998E-3</v>
      </c>
      <c r="E67" s="700"/>
      <c r="F67" s="1672"/>
      <c r="G67" s="997">
        <v>2.3999999999999998E-3</v>
      </c>
      <c r="H67" s="1000">
        <f t="shared" si="13"/>
        <v>1.5E-3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3434</v>
      </c>
      <c r="D68" s="999">
        <f t="shared" si="12"/>
        <v>7.1999999999999998E-3</v>
      </c>
      <c r="E68" s="700"/>
      <c r="F68" s="1672"/>
      <c r="G68" s="997">
        <v>3.5999999999999999E-3</v>
      </c>
      <c r="H68" s="1000">
        <f t="shared" si="13"/>
        <v>2.3E-3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t="s">
        <v>3431</v>
      </c>
      <c r="D69" s="999">
        <f t="shared" si="12"/>
        <v>2.8E-3</v>
      </c>
      <c r="E69" s="701"/>
      <c r="F69" s="1672"/>
      <c r="G69" s="997">
        <v>2.8E-3</v>
      </c>
      <c r="H69" s="1000">
        <f t="shared" si="13"/>
        <v>1.8E-3</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3265</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3279</v>
      </c>
      <c r="G92" s="2305" t="s">
        <v>1989</v>
      </c>
      <c r="H92" s="3083" t="s">
        <v>3283</v>
      </c>
      <c r="I92" s="2305" t="s">
        <v>2051</v>
      </c>
      <c r="J92" s="2147" t="s">
        <v>1721</v>
      </c>
      <c r="K92" s="2147" t="s">
        <v>1722</v>
      </c>
      <c r="L92" s="2147" t="s">
        <v>1723</v>
      </c>
      <c r="M92" s="2147" t="s">
        <v>1724</v>
      </c>
      <c r="N92" s="2147" t="s">
        <v>1725</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2053</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2059</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2061</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0.92230000000000001</v>
      </c>
      <c r="E116" s="162" t="s">
        <v>1936</v>
      </c>
      <c r="F116" s="3095" t="str">
        <f>E2</f>
        <v>办公</v>
      </c>
      <c r="G116" s="162" t="s">
        <v>1937</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1990</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1991</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1992</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1993</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3449</v>
      </c>
      <c r="C1" s="1714" t="s">
        <v>1563</v>
      </c>
      <c r="D1" s="190"/>
      <c r="E1" s="190"/>
      <c r="F1" s="190"/>
      <c r="G1" s="1059" t="e">
        <f>MATCH(B1,'数据-取费表'!A6:A16,0)+5</f>
        <v>#N/A</v>
      </c>
      <c r="H1" s="995" t="str">
        <f>IF(ISERROR(FIND("住宅",B1)),"非住宅","住宅")</f>
        <v>非住宅</v>
      </c>
    </row>
    <row r="2" spans="1:8" s="192" customFormat="1" ht="18" customHeight="1">
      <c r="A2" s="193" t="s">
        <v>685</v>
      </c>
      <c r="B2" s="3116" t="e">
        <f ca="1">ROUND(IF(D2="——",C52/10000,C52/10000-E2),4)</f>
        <v>#DIV/0!</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9" t="s">
        <v>346</v>
      </c>
      <c r="B6" s="207" t="s">
        <v>1473</v>
      </c>
      <c r="C6" s="208" t="e">
        <f>ROUND(基准地价修正办!C33*基准地价修正办!D33,0)</f>
        <v>#DIV/0!</v>
      </c>
      <c r="D6" s="209"/>
      <c r="E6" s="210"/>
      <c r="F6" s="210"/>
      <c r="G6" s="211"/>
    </row>
    <row r="7" spans="1:8" s="206" customFormat="1" ht="13.5" customHeight="1">
      <c r="A7" s="729" t="s">
        <v>347</v>
      </c>
      <c r="B7" s="207" t="s">
        <v>1475</v>
      </c>
      <c r="C7" s="212" t="e">
        <f>ROUND(C6*F7,0)</f>
        <v>#DIV/0!</v>
      </c>
      <c r="D7" s="212"/>
      <c r="E7" s="210"/>
      <c r="F7" s="213">
        <f>IF(项目基本情况!B8="出让",0,'数据-取费表'!B48+'数据-取费表'!B49)</f>
        <v>3.0499999999999999E-2</v>
      </c>
      <c r="G7" s="211"/>
    </row>
    <row r="8" spans="1:8" s="215" customFormat="1">
      <c r="A8" s="729" t="s">
        <v>348</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1"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230" t="e">
        <f ca="1">ROUND(IF('数据-取费表'!B22&lt;=1,C5*F22*'数据-取费表'!B22,C5*(POWER((1+F22),'数据-取费表'!B22)-1)),0)</f>
        <v>#DIV/0!</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t="e">
        <f ca="1">ROUND(IF('数据-取费表'!B22&lt;=1,C20*F22*'数据-取费表'!B22/2,C20*(POWER((1+F22),'数据-取费表'!B22/2)-1)),0)</f>
        <v>#DIV/0!</v>
      </c>
      <c r="D25" s="230"/>
      <c r="E25" s="233"/>
      <c r="F25" s="231"/>
      <c r="G25" s="234" t="s">
        <v>1510</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1" t="s">
        <v>346</v>
      </c>
      <c r="B28" s="240" t="s">
        <v>1516</v>
      </c>
      <c r="C28" s="241" t="e">
        <f ca="1">ROUND((C5+C19+C20)*F27,0)</f>
        <v>#DIV/0!</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t="e">
        <f ca="1">ROUND(IF('数据-取费表'!B22&lt;=1,C33*F22*'数据-取费表'!B20/2,C33*(POWER((1+F22),'数据-取费表'!B20/2)-1)),0)</f>
        <v>#N/A</v>
      </c>
      <c r="D42" s="230"/>
      <c r="E42" s="230"/>
      <c r="F42" s="231"/>
      <c r="G42" s="3471" t="s">
        <v>1591</v>
      </c>
    </row>
    <row r="43" spans="1:7" ht="13.5" customHeight="1">
      <c r="A43" s="731" t="s">
        <v>347</v>
      </c>
      <c r="B43" s="207" t="s">
        <v>1506</v>
      </c>
      <c r="C43" s="230" t="e">
        <f ca="1">ROUND(IF('数据-取费表'!B22&lt;=1,C39*F22*'数据-取费表'!B20/2,C39*(POWER((1+F22),'数据-取费表'!B20/2)-1)),0)</f>
        <v>#N/A</v>
      </c>
      <c r="D43" s="230"/>
      <c r="E43" s="230"/>
      <c r="F43" s="231"/>
      <c r="G43" s="3472"/>
    </row>
    <row r="44" spans="1:7" ht="13.5" customHeight="1">
      <c r="A44" s="731" t="s">
        <v>348</v>
      </c>
      <c r="B44" s="207" t="s">
        <v>1509</v>
      </c>
      <c r="C44" s="230">
        <f ca="1">ROUND(IF('数据-取费表'!B22&lt;=1,C40*F22*'数据-取费表'!B20/2,C40*(POWER((1+F22),'数据-取费表'!B20/2)-1)),4)</f>
        <v>8.0000000000000004E-4</v>
      </c>
      <c r="D44" s="230"/>
      <c r="E44" s="230"/>
      <c r="F44" s="231"/>
      <c r="G44" s="347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61" t="s">
        <v>949</v>
      </c>
      <c r="B1" s="3261"/>
      <c r="C1" s="3261"/>
      <c r="D1" s="3261"/>
    </row>
    <row r="2" spans="1:4" ht="17.399999999999999">
      <c r="A2" s="3262" t="s">
        <v>933</v>
      </c>
      <c r="B2" s="3262"/>
      <c r="C2" s="3262"/>
      <c r="D2" s="3262"/>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62" t="s">
        <v>939</v>
      </c>
      <c r="B6" s="3262"/>
      <c r="C6" s="3262"/>
      <c r="D6" s="3262"/>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63" t="s">
        <v>942</v>
      </c>
      <c r="B11" s="3255"/>
      <c r="C11" s="3255"/>
      <c r="D11" s="3255"/>
    </row>
    <row r="12" spans="1:4" ht="15.6">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943</v>
      </c>
      <c r="B16" s="3257"/>
      <c r="C16" s="3257"/>
      <c r="D16" s="3257"/>
    </row>
    <row r="17" spans="1:4" ht="144" customHeight="1">
      <c r="A17" s="3257" t="s">
        <v>944</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8"/>
      <c r="C21" s="3258"/>
      <c r="D21" s="3258"/>
    </row>
    <row r="22" spans="1:4" ht="18.75" customHeight="1">
      <c r="A22" s="3259" t="s">
        <v>945</v>
      </c>
      <c r="B22" s="3259"/>
      <c r="C22" s="3259"/>
      <c r="D22" s="3259"/>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69" t="s">
        <v>956</v>
      </c>
      <c r="B15" s="3264" t="s">
        <v>109</v>
      </c>
      <c r="C15" s="3265"/>
    </row>
    <row r="16" spans="1:7" ht="14.4">
      <c r="A16" s="3270"/>
      <c r="B16" s="3264" t="s">
        <v>42</v>
      </c>
      <c r="C16" s="3265"/>
    </row>
    <row r="17" spans="1:3" ht="14.4">
      <c r="A17" s="3270"/>
      <c r="B17" s="3267" t="s">
        <v>957</v>
      </c>
      <c r="C17" s="1426" t="s">
        <v>956</v>
      </c>
    </row>
    <row r="18" spans="1:3" ht="14.4">
      <c r="A18" s="3270"/>
      <c r="B18" s="3267"/>
      <c r="C18" s="1426" t="s">
        <v>958</v>
      </c>
    </row>
    <row r="19" spans="1:3" ht="14.4">
      <c r="A19" s="3270"/>
      <c r="B19" s="3267"/>
      <c r="C19" s="1426" t="s">
        <v>959</v>
      </c>
    </row>
    <row r="20" spans="1:3" ht="14.4">
      <c r="A20" s="3271"/>
      <c r="B20" s="3266" t="s">
        <v>960</v>
      </c>
      <c r="C20" s="3265"/>
    </row>
    <row r="21" spans="1:3" ht="14.4">
      <c r="A21" s="1427" t="s">
        <v>961</v>
      </c>
      <c r="B21" s="1428"/>
      <c r="C21" s="1429"/>
    </row>
    <row r="22" spans="1:3" ht="14.4">
      <c r="A22" s="3268" t="s">
        <v>962</v>
      </c>
      <c r="B22" s="3266" t="s">
        <v>963</v>
      </c>
      <c r="C22" s="3265"/>
    </row>
    <row r="23" spans="1:3" ht="14.4">
      <c r="A23" s="3268"/>
      <c r="B23" s="3266" t="s">
        <v>964</v>
      </c>
      <c r="C23" s="3265"/>
    </row>
    <row r="24" spans="1:3" ht="14.4">
      <c r="A24" s="3268"/>
      <c r="B24" s="3266" t="s">
        <v>965</v>
      </c>
      <c r="C24" s="3265"/>
    </row>
    <row r="25" spans="1:3" ht="14.4">
      <c r="A25" s="3268"/>
      <c r="B25" s="3267" t="s">
        <v>966</v>
      </c>
      <c r="C25" s="1426" t="s">
        <v>967</v>
      </c>
    </row>
    <row r="26" spans="1:3" ht="14.4">
      <c r="A26" s="3268"/>
      <c r="B26" s="3267"/>
      <c r="C26" s="1426" t="s">
        <v>968</v>
      </c>
    </row>
    <row r="27" spans="1:3" ht="14.4">
      <c r="A27" s="3268"/>
      <c r="B27" s="3267"/>
      <c r="C27" s="1426" t="s">
        <v>969</v>
      </c>
    </row>
    <row r="28" spans="1:3" ht="14.4">
      <c r="A28" s="3268"/>
      <c r="B28" s="3267"/>
      <c r="C28" s="1426" t="s">
        <v>970</v>
      </c>
    </row>
    <row r="29" spans="1:3" ht="14.4">
      <c r="A29" s="3268"/>
      <c r="B29" s="3267"/>
      <c r="C29" s="1426" t="s">
        <v>971</v>
      </c>
    </row>
    <row r="30" spans="1:3" ht="14.4">
      <c r="A30" s="3268"/>
      <c r="B30" s="3267"/>
      <c r="C30" s="1426" t="s">
        <v>972</v>
      </c>
    </row>
    <row r="31" spans="1:3" ht="14.4">
      <c r="A31" s="3268"/>
      <c r="B31" s="3267"/>
      <c r="C31" s="1426" t="s">
        <v>973</v>
      </c>
    </row>
    <row r="32" spans="1:3" ht="14.4">
      <c r="A32" s="3268"/>
      <c r="B32" s="3267"/>
      <c r="C32" s="1426" t="s">
        <v>974</v>
      </c>
    </row>
    <row r="33" spans="1:3" ht="14.4">
      <c r="A33" s="3268"/>
      <c r="B33" s="3267"/>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45803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72" t="s">
        <v>2160</v>
      </c>
      <c r="B17" s="3272"/>
      <c r="C17" s="3272"/>
      <c r="D17" s="3272"/>
      <c r="E17" s="3272"/>
      <c r="F17" s="3272"/>
      <c r="G17" s="3272"/>
      <c r="H17" s="3272"/>
    </row>
    <row r="18" spans="1:8" ht="24" customHeight="1">
      <c r="A18" s="3273" t="s">
        <v>2161</v>
      </c>
      <c r="B18" s="3273"/>
      <c r="C18" s="3273"/>
      <c r="D18" s="2157"/>
      <c r="E18" s="3274" t="s">
        <v>2162</v>
      </c>
      <c r="F18" s="3273"/>
      <c r="G18" s="3273"/>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比较法-商业</vt:lpstr>
      <vt:lpstr>商业</vt:lpstr>
      <vt:lpstr>收益法</vt:lpstr>
      <vt:lpstr>成本法 (元)</vt:lpstr>
      <vt:lpstr>收益法 (元)</vt:lpstr>
      <vt:lpstr>结果表地下商</vt:lpstr>
      <vt:lpstr>基准地价修正</vt:lpstr>
      <vt:lpstr>成本法</vt:lpstr>
      <vt:lpstr>假设开发法</vt:lpstr>
      <vt:lpstr>收益法商</vt:lpstr>
      <vt:lpstr>结果表车</vt:lpstr>
      <vt:lpstr>成本法车</vt:lpstr>
      <vt:lpstr>收益法车</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结果表车!Print_Area</vt:lpstr>
      <vt:lpstr>结果表地下商!Print_Area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2025-05-26T05:58:35Z</dcterms:modified>
</cp:coreProperties>
</file>