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C23" i="67"/>
  <c r="F26" i="67"/>
  <c r="C26"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I118" i="9"/>
  <c r="H118" i="9"/>
  <c r="D14" i="74"/>
  <c r="B14" i="74"/>
  <c r="F19" i="6"/>
  <c r="N18" i="1"/>
  <c r="B131" i="81"/>
  <c r="B129" i="81"/>
  <c r="B127" i="81"/>
  <c r="E126" i="81"/>
  <c r="F126" i="81"/>
  <c r="G126" i="81"/>
  <c r="D126" i="81"/>
  <c r="D124" i="81"/>
  <c r="E124" i="81"/>
  <c r="F124" i="81"/>
  <c r="G124" i="81"/>
  <c r="H124" i="81"/>
  <c r="I124" i="81"/>
  <c r="J124" i="81"/>
  <c r="K124" i="81"/>
  <c r="L124" i="81"/>
  <c r="M124" i="81"/>
  <c r="E120" i="81"/>
  <c r="F120" i="81"/>
  <c r="G120" i="81"/>
  <c r="H120" i="81"/>
  <c r="I120" i="81"/>
  <c r="J120" i="81"/>
  <c r="K120" i="81"/>
  <c r="L120" i="81"/>
  <c r="M120" i="81"/>
  <c r="D120" i="81"/>
  <c r="E118" i="81"/>
  <c r="F118" i="81"/>
  <c r="G118" i="81"/>
  <c r="D118" i="81"/>
  <c r="D116" i="81"/>
  <c r="E116" i="81"/>
  <c r="F116" i="81"/>
  <c r="G116" i="81"/>
  <c r="H116" i="81"/>
  <c r="I116" i="81"/>
  <c r="J116" i="81"/>
  <c r="K116" i="81"/>
  <c r="L116" i="81"/>
  <c r="M116" i="81"/>
  <c r="E114" i="81"/>
  <c r="F114" i="81"/>
  <c r="G114" i="81"/>
  <c r="H114" i="81"/>
  <c r="I114" i="81"/>
  <c r="J114" i="81"/>
  <c r="K114" i="81"/>
  <c r="L114" i="81"/>
  <c r="M114" i="81"/>
  <c r="D114" i="81"/>
  <c r="D112" i="81"/>
  <c r="E112" i="81"/>
  <c r="F112" i="81"/>
  <c r="G112" i="81"/>
  <c r="H112" i="81"/>
  <c r="I112" i="81"/>
  <c r="J112" i="81"/>
  <c r="K112" i="81"/>
  <c r="L112" i="81"/>
  <c r="M112" i="81"/>
  <c r="G110" i="81"/>
  <c r="F110" i="81"/>
  <c r="E110" i="81"/>
  <c r="D110" i="81"/>
  <c r="C110" i="81"/>
  <c r="F109" i="81"/>
  <c r="G109" i="81"/>
  <c r="H109" i="81"/>
  <c r="I109" i="81"/>
  <c r="J109" i="81"/>
  <c r="K109" i="81"/>
  <c r="L109" i="81"/>
  <c r="M109" i="81"/>
  <c r="E109" i="81"/>
  <c r="D109" i="81"/>
  <c r="D107" i="81"/>
  <c r="E107" i="81"/>
  <c r="F107" i="81"/>
  <c r="G107" i="81"/>
  <c r="H107" i="81"/>
  <c r="I107" i="81"/>
  <c r="J107" i="81"/>
  <c r="K107" i="81"/>
  <c r="L107" i="81"/>
  <c r="M107" i="81"/>
  <c r="M103" i="81"/>
  <c r="L103" i="81"/>
  <c r="K103" i="81"/>
  <c r="J103" i="81"/>
  <c r="I103" i="81"/>
  <c r="H103" i="81"/>
  <c r="G103" i="81"/>
  <c r="F103" i="81"/>
  <c r="E103" i="81"/>
  <c r="D103" i="81"/>
  <c r="C103" i="81"/>
  <c r="E102" i="81"/>
  <c r="F102" i="81"/>
  <c r="G102" i="81"/>
  <c r="H102" i="81"/>
  <c r="I102" i="81"/>
  <c r="J102" i="81"/>
  <c r="K102" i="81"/>
  <c r="L102" i="81"/>
  <c r="M102" i="81"/>
  <c r="D102" i="81"/>
  <c r="B99" i="81"/>
  <c r="B97" i="81"/>
  <c r="B95" i="81"/>
  <c r="B93" i="81"/>
  <c r="D92" i="81"/>
  <c r="E92" i="81"/>
  <c r="F92" i="81"/>
  <c r="G92" i="81"/>
  <c r="H92" i="81"/>
  <c r="I92" i="81"/>
  <c r="J92" i="81"/>
  <c r="K92" i="81"/>
  <c r="L92" i="81"/>
  <c r="M92" i="81"/>
  <c r="B91" i="81"/>
  <c r="D90" i="81"/>
  <c r="E90" i="81"/>
  <c r="B89" i="81"/>
  <c r="E88" i="81"/>
  <c r="F88" i="81"/>
  <c r="G88" i="81"/>
  <c r="H88" i="81"/>
  <c r="I88" i="81"/>
  <c r="J88" i="81"/>
  <c r="K88" i="81"/>
  <c r="L88" i="81"/>
  <c r="M88" i="81"/>
  <c r="D88" i="81"/>
  <c r="E86" i="81"/>
  <c r="F86" i="81"/>
  <c r="G86" i="81"/>
  <c r="D86" i="81"/>
  <c r="E84" i="81"/>
  <c r="F84" i="81"/>
  <c r="G84" i="81"/>
  <c r="D84" i="81"/>
  <c r="E82" i="81"/>
  <c r="F82" i="81"/>
  <c r="G82" i="81"/>
  <c r="D82" i="81"/>
  <c r="E80" i="81"/>
  <c r="F80" i="81"/>
  <c r="G80" i="81"/>
  <c r="D80" i="81"/>
  <c r="E78" i="81"/>
  <c r="F78" i="81"/>
  <c r="G78" i="81"/>
  <c r="D78" i="81"/>
  <c r="B75" i="81"/>
  <c r="B73" i="81"/>
  <c r="B71" i="81"/>
  <c r="F70" i="81"/>
  <c r="G70" i="81"/>
  <c r="H70" i="81"/>
  <c r="I70" i="81"/>
  <c r="J70" i="81"/>
  <c r="K70" i="81"/>
  <c r="L70" i="81"/>
  <c r="M70" i="81"/>
  <c r="E70" i="81"/>
  <c r="D70" i="81"/>
  <c r="M68" i="81"/>
  <c r="L68" i="81"/>
  <c r="K68" i="81"/>
  <c r="J68" i="81"/>
  <c r="I68" i="81"/>
  <c r="H68" i="81"/>
  <c r="G68" i="81"/>
  <c r="F68" i="81"/>
  <c r="E68" i="81"/>
  <c r="D68" i="81"/>
  <c r="C68" i="81"/>
  <c r="C64" i="81"/>
  <c r="I55" i="81"/>
  <c r="J55" i="81"/>
  <c r="G55" i="81"/>
  <c r="H55" i="81"/>
  <c r="E55" i="81"/>
  <c r="F55" i="81"/>
  <c r="P50" i="81"/>
  <c r="P49" i="81"/>
  <c r="K49" i="81"/>
  <c r="V48" i="81"/>
  <c r="T48" i="81"/>
  <c r="R48" i="81"/>
  <c r="P48" i="81"/>
  <c r="Q47" i="81"/>
  <c r="Z47" i="81"/>
  <c r="J47" i="81"/>
  <c r="AC47" i="81"/>
  <c r="H47" i="81"/>
  <c r="AB47" i="81"/>
  <c r="F47" i="81"/>
  <c r="AA47" i="81"/>
  <c r="Q46" i="81"/>
  <c r="Z46" i="81"/>
  <c r="J46" i="81"/>
  <c r="AC46" i="81"/>
  <c r="H46" i="81"/>
  <c r="AB46" i="81"/>
  <c r="F46" i="81"/>
  <c r="AA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H40" i="81"/>
  <c r="AB40" i="81"/>
  <c r="F40" i="81"/>
  <c r="AA40" i="81"/>
  <c r="Q39" i="81"/>
  <c r="Z39" i="81"/>
  <c r="J39" i="81"/>
  <c r="AC39" i="81"/>
  <c r="H39" i="81"/>
  <c r="AB39" i="81"/>
  <c r="F39" i="81"/>
  <c r="AA39" i="81"/>
  <c r="Q38" i="81"/>
  <c r="Z38" i="81"/>
  <c r="J38" i="81"/>
  <c r="AC38" i="81"/>
  <c r="H38" i="81"/>
  <c r="AB38" i="81"/>
  <c r="F38" i="81"/>
  <c r="AA38" i="81"/>
  <c r="Q37" i="81"/>
  <c r="Z37" i="81"/>
  <c r="Q36" i="81"/>
  <c r="Z36" i="81"/>
  <c r="J36" i="81"/>
  <c r="AC36" i="81"/>
  <c r="H36" i="81"/>
  <c r="AB36" i="81"/>
  <c r="F36" i="81"/>
  <c r="AA36" i="81"/>
  <c r="Q35" i="81"/>
  <c r="Z35" i="81"/>
  <c r="J35" i="81"/>
  <c r="AC35" i="81"/>
  <c r="H35" i="81"/>
  <c r="AB35" i="81"/>
  <c r="F35" i="81"/>
  <c r="AA35" i="81"/>
  <c r="Q34" i="81"/>
  <c r="Z34" i="81"/>
  <c r="J34" i="81"/>
  <c r="AC34" i="81"/>
  <c r="C34" i="81"/>
  <c r="H34" i="81"/>
  <c r="Q33" i="81"/>
  <c r="Z33" i="81"/>
  <c r="J33" i="81"/>
  <c r="AC33" i="81"/>
  <c r="H33" i="81"/>
  <c r="AB33" i="81"/>
  <c r="F33" i="81"/>
  <c r="AA33" i="81"/>
  <c r="Z32" i="81"/>
  <c r="U32" i="81"/>
  <c r="Q32" i="81"/>
  <c r="J32" i="81"/>
  <c r="AC32" i="81"/>
  <c r="H32" i="81"/>
  <c r="AB32" i="81"/>
  <c r="F32" i="81"/>
  <c r="AA32" i="81"/>
  <c r="W31" i="81"/>
  <c r="Q31" i="81"/>
  <c r="Z31" i="81"/>
  <c r="J31" i="81"/>
  <c r="AC31" i="81"/>
  <c r="H31" i="81"/>
  <c r="AB31" i="81"/>
  <c r="F31" i="81"/>
  <c r="AA31" i="81"/>
  <c r="U30" i="81"/>
  <c r="Q30" i="81"/>
  <c r="Z30" i="81"/>
  <c r="J30" i="81"/>
  <c r="AC30" i="81"/>
  <c r="H30" i="81"/>
  <c r="AB30" i="81"/>
  <c r="F30" i="81"/>
  <c r="AA30" i="81"/>
  <c r="AC29" i="81"/>
  <c r="W29" i="81"/>
  <c r="Q29" i="81"/>
  <c r="Z29" i="81"/>
  <c r="J29" i="81"/>
  <c r="H29" i="81"/>
  <c r="AB29" i="81"/>
  <c r="F29" i="81"/>
  <c r="S29" i="81"/>
  <c r="AB28" i="81"/>
  <c r="U28" i="81"/>
  <c r="Q28" i="81"/>
  <c r="Z28" i="81"/>
  <c r="J28" i="81"/>
  <c r="AC28" i="81"/>
  <c r="H28" i="81"/>
  <c r="F28" i="81"/>
  <c r="AA28" i="81"/>
  <c r="Q27" i="81"/>
  <c r="Z27" i="81"/>
  <c r="Q25" i="81"/>
  <c r="Z25" i="81"/>
  <c r="J25" i="81"/>
  <c r="AC25" i="81"/>
  <c r="H25" i="81"/>
  <c r="AB25" i="81"/>
  <c r="F25" i="81"/>
  <c r="AA25" i="81"/>
  <c r="Q23" i="81"/>
  <c r="Z23" i="81"/>
  <c r="J23" i="81"/>
  <c r="AC23" i="81"/>
  <c r="H23" i="81"/>
  <c r="AB23" i="81"/>
  <c r="F23" i="81"/>
  <c r="AA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AC13" i="81"/>
  <c r="H13" i="81"/>
  <c r="AB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W8" i="81"/>
  <c r="J8" i="81"/>
  <c r="AC8" i="81"/>
  <c r="H8" i="81"/>
  <c r="U8" i="81"/>
  <c r="F8" i="81"/>
  <c r="S8" i="81"/>
  <c r="J49" i="67"/>
  <c r="O19" i="1"/>
  <c r="N20" i="1"/>
  <c r="N6" i="1"/>
  <c r="C37" i="81"/>
  <c r="E37" i="81"/>
  <c r="D3" i="4"/>
  <c r="D2" i="81"/>
  <c r="F34" i="81"/>
  <c r="AA34" i="81"/>
  <c r="F37" i="81"/>
  <c r="AA37" i="81"/>
  <c r="G37" i="81"/>
  <c r="I37" i="81"/>
  <c r="J37" i="81"/>
  <c r="AC37" i="81"/>
  <c r="F27" i="81"/>
  <c r="S27" i="81"/>
  <c r="F90" i="81"/>
  <c r="G90" i="81"/>
  <c r="H90" i="81"/>
  <c r="I90" i="81"/>
  <c r="J90" i="81"/>
  <c r="K90" i="81"/>
  <c r="L90" i="81"/>
  <c r="M90" i="81"/>
  <c r="H27" i="81"/>
  <c r="AB27" i="81"/>
  <c r="J27" i="81"/>
  <c r="AC27" i="8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c r="G37" i="34"/>
  <c r="I37" i="34"/>
  <c r="AB28" i="79"/>
  <c r="AA28" i="79"/>
  <c r="Z28" i="79"/>
  <c r="U28" i="79"/>
  <c r="N28" i="79"/>
  <c r="M28" i="79"/>
  <c r="P28" i="79"/>
  <c r="L28" i="79"/>
  <c r="S28" i="79"/>
  <c r="I28" i="79"/>
  <c r="AD28" i="79"/>
  <c r="AC5" i="79"/>
  <c r="AB5" i="79"/>
  <c r="AA5" i="79"/>
  <c r="AD5" i="79"/>
  <c r="Z5" i="79"/>
  <c r="Y5" i="79"/>
  <c r="O5" i="79"/>
  <c r="N5" i="79"/>
  <c r="M5" i="79"/>
  <c r="P5" i="79"/>
  <c r="L5" i="79"/>
  <c r="K5" i="79"/>
  <c r="I5" i="79"/>
  <c r="W37" i="81"/>
  <c r="S37" i="81"/>
  <c r="U27" i="81"/>
  <c r="AA27" i="81"/>
  <c r="W27" i="81"/>
  <c r="AB37" i="81"/>
  <c r="U37" i="81"/>
  <c r="T28" i="79"/>
  <c r="W28" i="79"/>
  <c r="I8" i="79"/>
  <c r="I31" i="79"/>
  <c r="I30" i="79"/>
  <c r="N30" i="79"/>
  <c r="M30" i="79"/>
  <c r="P30" i="79"/>
  <c r="L30" i="79"/>
  <c r="N31" i="79"/>
  <c r="M31" i="79"/>
  <c r="L31" i="79"/>
  <c r="O7" i="79"/>
  <c r="N7" i="79"/>
  <c r="M7" i="79"/>
  <c r="P7" i="79"/>
  <c r="L7" i="79"/>
  <c r="K7" i="79"/>
  <c r="O8" i="79"/>
  <c r="N8" i="79"/>
  <c r="M8" i="79"/>
  <c r="P8" i="79"/>
  <c r="L8" i="79"/>
  <c r="K8" i="79"/>
  <c r="P31" i="79"/>
  <c r="G14" i="73"/>
  <c r="F14" i="73"/>
  <c r="E14" i="73"/>
  <c r="E7" i="1"/>
  <c r="E8" i="1"/>
  <c r="E9" i="1"/>
  <c r="E10" i="1"/>
  <c r="E11" i="1"/>
  <c r="E12" i="1"/>
  <c r="E13" i="1"/>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D41" i="79"/>
  <c r="AB40" i="79"/>
  <c r="AA40" i="79"/>
  <c r="Z40" i="79"/>
  <c r="N40" i="79"/>
  <c r="U40" i="79"/>
  <c r="M40" i="79"/>
  <c r="L40" i="79"/>
  <c r="S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T36" i="79"/>
  <c r="L36" i="79"/>
  <c r="I36" i="79"/>
  <c r="AD36" i="79"/>
  <c r="AB35" i="79"/>
  <c r="AA35" i="79"/>
  <c r="Z35" i="79"/>
  <c r="N35" i="79"/>
  <c r="U30" i="79"/>
  <c r="M35" i="79"/>
  <c r="T30" i="79"/>
  <c r="W30" i="79"/>
  <c r="L35" i="79"/>
  <c r="S30" i="79"/>
  <c r="I35" i="79"/>
  <c r="AB29" i="79"/>
  <c r="AA29" i="79"/>
  <c r="AA26" i="79"/>
  <c r="AD26" i="79"/>
  <c r="Z29" i="79"/>
  <c r="N29" i="79"/>
  <c r="M29" i="79"/>
  <c r="T29" i="79"/>
  <c r="L29" i="79"/>
  <c r="I29" i="79"/>
  <c r="AD29" i="79"/>
  <c r="U26" i="79"/>
  <c r="T26" i="79"/>
  <c r="W26" i="79"/>
  <c r="N26" i="79"/>
  <c r="M26" i="79"/>
  <c r="P26" i="79"/>
  <c r="L26" i="79"/>
  <c r="G26" i="79"/>
  <c r="F26" i="79"/>
  <c r="I26" i="79"/>
  <c r="E26" i="79"/>
  <c r="AC19" i="79"/>
  <c r="AB19" i="79"/>
  <c r="AA19" i="79"/>
  <c r="AD19" i="79"/>
  <c r="Z19" i="79"/>
  <c r="Y19" i="79"/>
  <c r="W19" i="79"/>
  <c r="P19" i="79"/>
  <c r="O19" i="79"/>
  <c r="N19" i="79"/>
  <c r="M19" i="79"/>
  <c r="L19" i="79"/>
  <c r="K19" i="79"/>
  <c r="I19" i="79"/>
  <c r="AC18" i="79"/>
  <c r="AB18" i="79"/>
  <c r="AA18" i="79"/>
  <c r="AD18" i="79"/>
  <c r="Z18" i="79"/>
  <c r="Y18" i="79"/>
  <c r="O18" i="79"/>
  <c r="V18" i="79"/>
  <c r="N18" i="79"/>
  <c r="U18" i="79"/>
  <c r="M18" i="79"/>
  <c r="L18" i="79"/>
  <c r="S18" i="79"/>
  <c r="K18" i="79"/>
  <c r="R18" i="79"/>
  <c r="I18" i="79"/>
  <c r="AD17" i="79"/>
  <c r="AC17" i="79"/>
  <c r="AB17" i="79"/>
  <c r="AA17" i="79"/>
  <c r="Z17" i="79"/>
  <c r="Y17" i="79"/>
  <c r="O17" i="79"/>
  <c r="V17" i="79"/>
  <c r="N17" i="79"/>
  <c r="U17" i="79"/>
  <c r="M17" i="79"/>
  <c r="T17" i="79"/>
  <c r="W17" i="79"/>
  <c r="L17" i="79"/>
  <c r="S17" i="79"/>
  <c r="K17" i="79"/>
  <c r="R17" i="79"/>
  <c r="I17" i="79"/>
  <c r="AC16" i="79"/>
  <c r="AB16" i="79"/>
  <c r="AA16" i="79"/>
  <c r="AD16" i="79"/>
  <c r="Z16" i="79"/>
  <c r="Y16" i="79"/>
  <c r="O16" i="79"/>
  <c r="N16" i="79"/>
  <c r="U16" i="79"/>
  <c r="M16" i="79"/>
  <c r="L16" i="79"/>
  <c r="S16" i="79"/>
  <c r="K16" i="79"/>
  <c r="I16" i="79"/>
  <c r="AD15" i="79"/>
  <c r="AC15" i="79"/>
  <c r="AB15" i="79"/>
  <c r="AA15" i="79"/>
  <c r="Z15" i="79"/>
  <c r="Y15" i="79"/>
  <c r="O15" i="79"/>
  <c r="N15" i="79"/>
  <c r="U15" i="79"/>
  <c r="M15" i="79"/>
  <c r="T15" i="79"/>
  <c r="W15" i="79"/>
  <c r="L15" i="79"/>
  <c r="S15" i="79"/>
  <c r="K15" i="79"/>
  <c r="I15" i="79"/>
  <c r="AC14" i="79"/>
  <c r="AB14" i="79"/>
  <c r="AA14" i="79"/>
  <c r="AD14" i="79"/>
  <c r="Z14" i="79"/>
  <c r="Y14" i="79"/>
  <c r="O14" i="79"/>
  <c r="N14" i="79"/>
  <c r="M14" i="79"/>
  <c r="L14" i="79"/>
  <c r="S14" i="79"/>
  <c r="K14" i="79"/>
  <c r="I14" i="79"/>
  <c r="AC13" i="79"/>
  <c r="AB13" i="79"/>
  <c r="AA13" i="79"/>
  <c r="AD13" i="79"/>
  <c r="Z13" i="79"/>
  <c r="Y13" i="79"/>
  <c r="O13" i="79"/>
  <c r="V13" i="79"/>
  <c r="N13" i="79"/>
  <c r="M13" i="79"/>
  <c r="L13" i="79"/>
  <c r="S13" i="79"/>
  <c r="K13" i="79"/>
  <c r="R13" i="79"/>
  <c r="I13" i="79"/>
  <c r="AC12" i="79"/>
  <c r="AB12" i="79"/>
  <c r="AA12" i="79"/>
  <c r="AD12" i="79"/>
  <c r="Z12" i="79"/>
  <c r="Y12" i="79"/>
  <c r="O12" i="79"/>
  <c r="V3" i="79"/>
  <c r="N12" i="79"/>
  <c r="M12" i="79"/>
  <c r="L12" i="79"/>
  <c r="K12" i="79"/>
  <c r="I12" i="79"/>
  <c r="AC6" i="79"/>
  <c r="AC3" i="79"/>
  <c r="AB6" i="79"/>
  <c r="AB3" i="79"/>
  <c r="AA6" i="79"/>
  <c r="AD6" i="79"/>
  <c r="Z6" i="79"/>
  <c r="Z3" i="79"/>
  <c r="Y6" i="79"/>
  <c r="Y3" i="79"/>
  <c r="O6" i="79"/>
  <c r="N6" i="79"/>
  <c r="U5" i="79"/>
  <c r="M6" i="79"/>
  <c r="L6" i="79"/>
  <c r="K6" i="79"/>
  <c r="I6"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2" i="79"/>
  <c r="W34" i="79"/>
  <c r="W33" i="79"/>
  <c r="W29" i="79"/>
  <c r="AB26" i="79"/>
  <c r="R9" i="79"/>
  <c r="R6" i="79"/>
  <c r="R10" i="79"/>
  <c r="P12" i="79"/>
  <c r="T10" i="79"/>
  <c r="W10" i="79"/>
  <c r="T9" i="79"/>
  <c r="W9" i="79"/>
  <c r="T6" i="79"/>
  <c r="W6" i="79"/>
  <c r="V9" i="79"/>
  <c r="V6" i="79"/>
  <c r="V10" i="79"/>
  <c r="S10" i="79"/>
  <c r="S6" i="79"/>
  <c r="S9" i="79"/>
  <c r="U10" i="79"/>
  <c r="U6" i="79"/>
  <c r="U9" i="79"/>
  <c r="S26" i="79"/>
  <c r="P15" i="79"/>
  <c r="P17" i="79"/>
  <c r="R3" i="79"/>
  <c r="Z26" i="79"/>
  <c r="W3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c r="G84" i="34"/>
  <c r="F21" i="34"/>
  <c r="S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c r="J29" i="39"/>
  <c r="AC29" i="39"/>
  <c r="G66" i="36"/>
  <c r="J18" i="36"/>
  <c r="F68" i="35"/>
  <c r="H18" i="35"/>
  <c r="S18" i="35"/>
  <c r="G68" i="35"/>
  <c r="J18" i="35"/>
  <c r="F77" i="37"/>
  <c r="H21" i="37"/>
  <c r="F21" i="37"/>
  <c r="H21" i="34"/>
  <c r="AB21" i="34"/>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F38" i="68"/>
  <c r="E37" i="68"/>
  <c r="F36" i="68"/>
  <c r="F35" i="68"/>
  <c r="F21" i="68"/>
  <c r="F40" i="68"/>
  <c r="F20" i="68"/>
  <c r="F39" i="68"/>
  <c r="E10" i="68"/>
  <c r="E9" i="68"/>
  <c r="C7" i="68"/>
  <c r="W21" i="21"/>
  <c r="AC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R30" i="31"/>
  <c r="S30" i="31"/>
  <c r="R31" i="31"/>
  <c r="S31" i="31"/>
  <c r="R32" i="31"/>
  <c r="R33" i="31"/>
  <c r="R34" i="31"/>
  <c r="S34" i="31"/>
  <c r="R35" i="31"/>
  <c r="S35" i="31"/>
  <c r="R36" i="31"/>
  <c r="S36" i="31"/>
  <c r="R37" i="31"/>
  <c r="R38" i="31"/>
  <c r="S38" i="31"/>
  <c r="R39" i="31"/>
  <c r="S39" i="31"/>
  <c r="R40" i="31"/>
  <c r="R41" i="31"/>
  <c r="R42" i="31"/>
  <c r="S42" i="31"/>
  <c r="R43" i="31"/>
  <c r="R44" i="31"/>
  <c r="S44" i="31"/>
  <c r="R45" i="31"/>
  <c r="R46" i="31"/>
  <c r="S46" i="31"/>
  <c r="R47" i="31"/>
  <c r="S47" i="31"/>
  <c r="R48" i="31"/>
  <c r="S48" i="31"/>
  <c r="R49" i="31"/>
  <c r="R50" i="31"/>
  <c r="S50" i="31"/>
  <c r="R51" i="31"/>
  <c r="S51" i="31"/>
  <c r="R52" i="31"/>
  <c r="S52" i="31"/>
  <c r="R53" i="31"/>
  <c r="R54" i="31"/>
  <c r="S54" i="31"/>
  <c r="R55" i="31"/>
  <c r="S55" i="31"/>
  <c r="R56" i="31"/>
  <c r="S56" i="31"/>
  <c r="R57" i="31"/>
  <c r="R58" i="31"/>
  <c r="S58" i="31"/>
  <c r="R59" i="31"/>
  <c r="S59" i="31"/>
  <c r="R60" i="31"/>
  <c r="S60" i="31"/>
  <c r="R61" i="31"/>
  <c r="R62" i="31"/>
  <c r="S62" i="31"/>
  <c r="R63" i="31"/>
  <c r="R64" i="31"/>
  <c r="R65" i="31"/>
  <c r="R66" i="31"/>
  <c r="S66" i="31"/>
  <c r="R67" i="31"/>
  <c r="S67" i="31"/>
  <c r="R68" i="31"/>
  <c r="S68" i="31"/>
  <c r="R69" i="31"/>
  <c r="R70" i="31"/>
  <c r="S70" i="31"/>
  <c r="R71" i="31"/>
  <c r="S71" i="31"/>
  <c r="R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R88" i="31"/>
  <c r="R89" i="31"/>
  <c r="R90" i="31"/>
  <c r="S90" i="31"/>
  <c r="R91" i="31"/>
  <c r="S91" i="31"/>
  <c r="R92" i="31"/>
  <c r="S92" i="31"/>
  <c r="R93" i="31"/>
  <c r="R94" i="31"/>
  <c r="S94" i="31"/>
  <c r="R95" i="31"/>
  <c r="S95" i="31"/>
  <c r="R96" i="31"/>
  <c r="R97" i="31"/>
  <c r="R98" i="31"/>
  <c r="S98" i="31"/>
  <c r="R99" i="31"/>
  <c r="S99" i="31"/>
  <c r="R100" i="31"/>
  <c r="S100" i="31"/>
  <c r="R101" i="31"/>
  <c r="R102" i="31"/>
  <c r="S102" i="31"/>
  <c r="R103" i="31"/>
  <c r="R104" i="31"/>
  <c r="S104" i="31"/>
  <c r="R105" i="31"/>
  <c r="R106" i="31"/>
  <c r="S106" i="31"/>
  <c r="R107" i="31"/>
  <c r="S107" i="31"/>
  <c r="R108" i="31"/>
  <c r="R109" i="31"/>
  <c r="R110" i="31"/>
  <c r="S110" i="31"/>
  <c r="R111" i="31"/>
  <c r="S111" i="31"/>
  <c r="R112" i="31"/>
  <c r="R113" i="31"/>
  <c r="R114" i="31"/>
  <c r="S114" i="31"/>
  <c r="R115" i="31"/>
  <c r="R116" i="31"/>
  <c r="S116" i="31"/>
  <c r="R117" i="31"/>
  <c r="R118" i="31"/>
  <c r="S118" i="31"/>
  <c r="R119" i="31"/>
  <c r="S119" i="31"/>
  <c r="R120" i="31"/>
  <c r="S120" i="31"/>
  <c r="R121" i="31"/>
  <c r="R122" i="31"/>
  <c r="S122" i="31"/>
  <c r="R123" i="31"/>
  <c r="R124" i="31"/>
  <c r="S124" i="31"/>
  <c r="R125" i="31"/>
  <c r="R126" i="31"/>
  <c r="R127" i="31"/>
  <c r="R128" i="31"/>
  <c r="S128" i="31"/>
  <c r="R129" i="31"/>
  <c r="R130" i="31"/>
  <c r="R131" i="31"/>
  <c r="R132" i="31"/>
  <c r="S132" i="31"/>
  <c r="R133" i="31"/>
  <c r="R134" i="31"/>
  <c r="R135" i="31"/>
  <c r="R136" i="31"/>
  <c r="S136" i="31"/>
  <c r="R137" i="31"/>
  <c r="R138" i="31"/>
  <c r="R139" i="31"/>
  <c r="R140" i="31"/>
  <c r="S140" i="31"/>
  <c r="R141" i="31"/>
  <c r="R142" i="31"/>
  <c r="R143" i="31"/>
  <c r="R144" i="31"/>
  <c r="S144" i="31"/>
  <c r="R145" i="31"/>
  <c r="R146" i="31"/>
  <c r="R147" i="31"/>
  <c r="R148" i="31"/>
  <c r="S148" i="31"/>
  <c r="R149" i="31"/>
  <c r="R150" i="31"/>
  <c r="R151" i="31"/>
  <c r="R152" i="31"/>
  <c r="S152" i="31"/>
  <c r="R153" i="31"/>
  <c r="R154" i="31"/>
  <c r="R155" i="31"/>
  <c r="R156" i="31"/>
  <c r="S156" i="31"/>
  <c r="R157" i="31"/>
  <c r="R158" i="31"/>
  <c r="R159" i="31"/>
  <c r="R160" i="31"/>
  <c r="S160" i="31"/>
  <c r="R161" i="31"/>
  <c r="R162" i="31"/>
  <c r="R163" i="31"/>
  <c r="R164" i="31"/>
  <c r="S164" i="31"/>
  <c r="R165" i="31"/>
  <c r="R166" i="31"/>
  <c r="R167" i="31"/>
  <c r="R168" i="31"/>
  <c r="S168" i="31"/>
  <c r="R169" i="31"/>
  <c r="R170" i="31"/>
  <c r="R171" i="31"/>
  <c r="R172" i="31"/>
  <c r="S172" i="31"/>
  <c r="R173" i="31"/>
  <c r="R174" i="31"/>
  <c r="R175" i="31"/>
  <c r="R176" i="31"/>
  <c r="S176" i="31"/>
  <c r="R177" i="31"/>
  <c r="R178" i="31"/>
  <c r="R179" i="31"/>
  <c r="R180" i="31"/>
  <c r="S180" i="31"/>
  <c r="R181" i="31"/>
  <c r="R182" i="31"/>
  <c r="R183" i="31"/>
  <c r="R184" i="31"/>
  <c r="S184" i="31"/>
  <c r="R185" i="31"/>
  <c r="R186" i="31"/>
  <c r="R187" i="31"/>
  <c r="R188" i="31"/>
  <c r="S188" i="31"/>
  <c r="R189" i="31"/>
  <c r="R190" i="31"/>
  <c r="R191" i="31"/>
  <c r="R192" i="31"/>
  <c r="S192" i="31"/>
  <c r="R193" i="31"/>
  <c r="R194" i="31"/>
  <c r="R195" i="31"/>
  <c r="R196" i="31"/>
  <c r="S196" i="31"/>
  <c r="R197" i="31"/>
  <c r="R198" i="31"/>
  <c r="R199" i="31"/>
  <c r="R200" i="31"/>
  <c r="S200" i="31"/>
  <c r="R201" i="31"/>
  <c r="R202" i="31"/>
  <c r="R203" i="31"/>
  <c r="R204" i="31"/>
  <c r="S204" i="31"/>
  <c r="R205" i="31"/>
  <c r="R206" i="31"/>
  <c r="R207" i="31"/>
  <c r="R208" i="31"/>
  <c r="S208" i="31"/>
  <c r="R209" i="31"/>
  <c r="R210" i="31"/>
  <c r="R211" i="31"/>
  <c r="R212" i="31"/>
  <c r="S212" i="31"/>
  <c r="R213" i="31"/>
  <c r="R214" i="31"/>
  <c r="R215" i="31"/>
  <c r="R216" i="31"/>
  <c r="S216" i="31"/>
  <c r="R217" i="31"/>
  <c r="R218" i="31"/>
  <c r="R219" i="31"/>
  <c r="R220" i="31"/>
  <c r="S220" i="31"/>
  <c r="R221" i="31"/>
  <c r="R222" i="31"/>
  <c r="R223" i="31"/>
  <c r="R224" i="31"/>
  <c r="S224" i="31"/>
  <c r="R225" i="31"/>
  <c r="R226" i="31"/>
  <c r="S226" i="31"/>
  <c r="R227" i="31"/>
  <c r="S227" i="31"/>
  <c r="R228" i="31"/>
  <c r="R229" i="31"/>
  <c r="R230" i="31"/>
  <c r="S230" i="31"/>
  <c r="R231" i="31"/>
  <c r="S231" i="31"/>
  <c r="R232" i="31"/>
  <c r="S232" i="31"/>
  <c r="R233" i="31"/>
  <c r="R234" i="31"/>
  <c r="S234" i="31"/>
  <c r="R235" i="31"/>
  <c r="S235" i="31"/>
  <c r="R236" i="31"/>
  <c r="R237" i="31"/>
  <c r="R238" i="31"/>
  <c r="S238" i="31"/>
  <c r="R239" i="31"/>
  <c r="R240" i="31"/>
  <c r="S240" i="31"/>
  <c r="R241" i="31"/>
  <c r="R242" i="31"/>
  <c r="S242" i="31"/>
  <c r="R243" i="31"/>
  <c r="S243" i="31"/>
  <c r="R244" i="31"/>
  <c r="S244" i="31"/>
  <c r="R245" i="31"/>
  <c r="R246" i="31"/>
  <c r="S246" i="31"/>
  <c r="R247" i="31"/>
  <c r="S247" i="31"/>
  <c r="R248" i="31"/>
  <c r="S248" i="31"/>
  <c r="R249" i="31"/>
  <c r="R250" i="31"/>
  <c r="S250" i="31"/>
  <c r="R251" i="31"/>
  <c r="S251" i="31"/>
  <c r="R252" i="31"/>
  <c r="S252" i="31"/>
  <c r="R253" i="31"/>
  <c r="R254" i="31"/>
  <c r="S254" i="31"/>
  <c r="R255" i="31"/>
  <c r="S255" i="31"/>
  <c r="R256" i="31"/>
  <c r="S256" i="31"/>
  <c r="R257" i="31"/>
  <c r="S257" i="31"/>
  <c r="R258" i="31"/>
  <c r="S258" i="31"/>
  <c r="R259" i="31"/>
  <c r="S259" i="31"/>
  <c r="R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R277" i="31"/>
  <c r="S277" i="31"/>
  <c r="R278" i="31"/>
  <c r="S278" i="31"/>
  <c r="R279" i="31"/>
  <c r="S279" i="31"/>
  <c r="R280" i="31"/>
  <c r="R281" i="31"/>
  <c r="S281" i="31"/>
  <c r="R282" i="31"/>
  <c r="R283" i="31"/>
  <c r="S283" i="31"/>
  <c r="R284" i="31"/>
  <c r="R285" i="31"/>
  <c r="S285" i="31"/>
  <c r="R286" i="31"/>
  <c r="S286" i="31"/>
  <c r="R287" i="31"/>
  <c r="S287" i="31"/>
  <c r="R288" i="31"/>
  <c r="S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R323" i="31"/>
  <c r="S323" i="31"/>
  <c r="R324" i="31"/>
  <c r="R325" i="31"/>
  <c r="S325" i="31"/>
  <c r="R326" i="31"/>
  <c r="S326" i="31"/>
  <c r="R327" i="31"/>
  <c r="S327" i="31"/>
  <c r="R328" i="31"/>
  <c r="R329" i="31"/>
  <c r="S329" i="31"/>
  <c r="R330" i="31"/>
  <c r="R331" i="31"/>
  <c r="S331" i="31"/>
  <c r="R332" i="31"/>
  <c r="R333" i="31"/>
  <c r="S333" i="31"/>
  <c r="R334" i="31"/>
  <c r="S334" i="31"/>
  <c r="R335" i="31"/>
  <c r="S335" i="31"/>
  <c r="R336" i="31"/>
  <c r="R337" i="31"/>
  <c r="S337" i="31"/>
  <c r="R338" i="31"/>
  <c r="R339" i="31"/>
  <c r="S339" i="31"/>
  <c r="R340" i="31"/>
  <c r="R341" i="31"/>
  <c r="S341" i="31"/>
  <c r="R342" i="31"/>
  <c r="S342" i="31"/>
  <c r="R343" i="31"/>
  <c r="S343" i="31"/>
  <c r="R344" i="31"/>
  <c r="R345" i="31"/>
  <c r="S345" i="31"/>
  <c r="R346" i="31"/>
  <c r="R347" i="31"/>
  <c r="S347" i="31"/>
  <c r="R348" i="31"/>
  <c r="R349" i="31"/>
  <c r="S349" i="31"/>
  <c r="R350" i="31"/>
  <c r="S350" i="31"/>
  <c r="R351" i="31"/>
  <c r="S351" i="31"/>
  <c r="R352" i="31"/>
  <c r="R353" i="31"/>
  <c r="S353" i="31"/>
  <c r="R354" i="31"/>
  <c r="R355" i="31"/>
  <c r="S355" i="31"/>
  <c r="R356" i="31"/>
  <c r="R357" i="31"/>
  <c r="S357" i="31"/>
  <c r="R358" i="31"/>
  <c r="S358" i="31"/>
  <c r="R359" i="31"/>
  <c r="S359" i="31"/>
  <c r="R360" i="31"/>
  <c r="R361" i="31"/>
  <c r="S361" i="31"/>
  <c r="R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S426" i="31"/>
  <c r="R427" i="31"/>
  <c r="S427" i="31"/>
  <c r="R428" i="31"/>
  <c r="R429" i="31"/>
  <c r="R430" i="31"/>
  <c r="S430" i="31"/>
  <c r="R431" i="31"/>
  <c r="S431" i="31"/>
  <c r="R432" i="31"/>
  <c r="R433" i="31"/>
  <c r="R434" i="31"/>
  <c r="S434" i="31"/>
  <c r="R435" i="31"/>
  <c r="S435" i="31"/>
  <c r="R436" i="31"/>
  <c r="R437" i="31"/>
  <c r="R438" i="31"/>
  <c r="S438" i="31"/>
  <c r="R439" i="31"/>
  <c r="S439" i="31"/>
  <c r="R440" i="31"/>
  <c r="R441" i="31"/>
  <c r="R442" i="31"/>
  <c r="S442" i="31"/>
  <c r="R443" i="31"/>
  <c r="R444" i="31"/>
  <c r="R445" i="31"/>
  <c r="R446" i="31"/>
  <c r="R447" i="31"/>
  <c r="R448" i="31"/>
  <c r="R449" i="31"/>
  <c r="R450" i="31"/>
  <c r="S450" i="31"/>
  <c r="R451" i="31"/>
  <c r="S451" i="31"/>
  <c r="R452" i="31"/>
  <c r="R453" i="31"/>
  <c r="R454" i="31"/>
  <c r="S454" i="31"/>
  <c r="R455" i="31"/>
  <c r="R456" i="31"/>
  <c r="R457" i="31"/>
  <c r="R458" i="31"/>
  <c r="S458" i="31"/>
  <c r="R459" i="31"/>
  <c r="S459" i="31"/>
  <c r="R460" i="31"/>
  <c r="R461" i="31"/>
  <c r="R462" i="31"/>
  <c r="S462" i="31"/>
  <c r="R463" i="31"/>
  <c r="S463" i="31"/>
  <c r="R464" i="31"/>
  <c r="R465" i="31"/>
  <c r="R466" i="31"/>
  <c r="S466" i="31"/>
  <c r="R467" i="31"/>
  <c r="S467" i="31"/>
  <c r="R468" i="31"/>
  <c r="R469" i="31"/>
  <c r="R470" i="31"/>
  <c r="S470" i="31"/>
  <c r="R471" i="31"/>
  <c r="R472" i="31"/>
  <c r="R473" i="31"/>
  <c r="R474" i="31"/>
  <c r="S474" i="31"/>
  <c r="R475" i="31"/>
  <c r="S475" i="31"/>
  <c r="R476" i="31"/>
  <c r="R477" i="31"/>
  <c r="R478" i="31"/>
  <c r="S478" i="31"/>
  <c r="R479" i="31"/>
  <c r="S479" i="31"/>
  <c r="R480" i="31"/>
  <c r="R481" i="31"/>
  <c r="R482" i="31"/>
  <c r="S482" i="31"/>
  <c r="R483" i="31"/>
  <c r="S483" i="31"/>
  <c r="R484" i="31"/>
  <c r="R485" i="31"/>
  <c r="R486" i="31"/>
  <c r="S486" i="31"/>
  <c r="R487" i="31"/>
  <c r="R488" i="31"/>
  <c r="R489" i="31"/>
  <c r="R490" i="31"/>
  <c r="S490" i="31"/>
  <c r="R491" i="31"/>
  <c r="S491" i="31"/>
  <c r="R492" i="31"/>
  <c r="R493" i="31"/>
  <c r="R494" i="31"/>
  <c r="S494" i="31"/>
  <c r="R495" i="31"/>
  <c r="S495" i="31"/>
  <c r="R496" i="31"/>
  <c r="R497" i="31"/>
  <c r="R498" i="31"/>
  <c r="S498" i="31"/>
  <c r="R499" i="31"/>
  <c r="S499" i="31"/>
  <c r="R500" i="31"/>
  <c r="R501" i="31"/>
  <c r="R502" i="31"/>
  <c r="S502" i="31"/>
  <c r="R503" i="31"/>
  <c r="S503" i="31"/>
  <c r="R504" i="31"/>
  <c r="R505" i="31"/>
  <c r="R506" i="31"/>
  <c r="S506" i="31"/>
  <c r="R507" i="31"/>
  <c r="S507" i="31"/>
  <c r="R508" i="31"/>
  <c r="R509" i="31"/>
  <c r="R510" i="31"/>
  <c r="S510" i="31"/>
  <c r="R511" i="31"/>
  <c r="S511" i="31"/>
  <c r="R512" i="31"/>
  <c r="R513" i="31"/>
  <c r="R514" i="31"/>
  <c r="S514" i="31"/>
  <c r="R515" i="31"/>
  <c r="S515" i="31"/>
  <c r="R516" i="31"/>
  <c r="R517" i="31"/>
  <c r="R518" i="31"/>
  <c r="S518" i="31"/>
  <c r="R519" i="31"/>
  <c r="S519" i="31"/>
  <c r="R520" i="31"/>
  <c r="R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88" i="31"/>
  <c r="S384" i="31"/>
  <c r="S380" i="31"/>
  <c r="S376" i="31"/>
  <c r="S372"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4" i="31"/>
  <c r="S282" i="31"/>
  <c r="S280" i="31"/>
  <c r="S276" i="31"/>
  <c r="S260" i="31"/>
  <c r="S253" i="31"/>
  <c r="S249" i="31"/>
  <c r="S245" i="31"/>
  <c r="S241" i="31"/>
  <c r="S239" i="31"/>
  <c r="S237" i="31"/>
  <c r="S236" i="31"/>
  <c r="S233" i="31"/>
  <c r="S229" i="31"/>
  <c r="S228" i="31"/>
  <c r="S225" i="31"/>
  <c r="S223"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1" i="31"/>
  <c r="S117" i="31"/>
  <c r="S115" i="31"/>
  <c r="S113" i="31"/>
  <c r="S112" i="31"/>
  <c r="S504" i="31"/>
  <c r="S500" i="31"/>
  <c r="S465" i="31"/>
  <c r="S464" i="31"/>
  <c r="S461" i="31"/>
  <c r="S460" i="31"/>
  <c r="S457" i="31"/>
  <c r="S456" i="31"/>
  <c r="S455" i="31"/>
  <c r="S453" i="31"/>
  <c r="S452" i="31"/>
  <c r="S53" i="31"/>
  <c r="S49" i="31"/>
  <c r="S45" i="31"/>
  <c r="S43" i="31"/>
  <c r="S41" i="31"/>
  <c r="S40" i="31"/>
  <c r="S37" i="31"/>
  <c r="S33" i="31"/>
  <c r="S32" i="31"/>
  <c r="S77" i="31"/>
  <c r="S73" i="31"/>
  <c r="S72" i="31"/>
  <c r="S69" i="31"/>
  <c r="S65" i="31"/>
  <c r="S64" i="31"/>
  <c r="S63" i="31"/>
  <c r="S61" i="31"/>
  <c r="S57" i="31"/>
  <c r="S97" i="31"/>
  <c r="S96" i="31"/>
  <c r="S93" i="31"/>
  <c r="S89" i="31"/>
  <c r="S88" i="31"/>
  <c r="S87" i="31"/>
  <c r="S85" i="31"/>
  <c r="S81" i="31"/>
  <c r="S29" i="31"/>
  <c r="S101" i="31"/>
  <c r="S103" i="31"/>
  <c r="S105" i="31"/>
  <c r="S108" i="31"/>
  <c r="S109" i="31"/>
  <c r="S445" i="31"/>
  <c r="S446" i="31"/>
  <c r="S447" i="31"/>
  <c r="S448" i="31"/>
  <c r="S449" i="31"/>
  <c r="S508" i="31"/>
  <c r="S509"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40" i="33"/>
  <c r="J41" i="33"/>
  <c r="D113" i="33"/>
  <c r="F37" i="33"/>
  <c r="D111" i="33"/>
  <c r="E111" i="33"/>
  <c r="F111" i="33"/>
  <c r="S516" i="31"/>
  <c r="S517" i="31"/>
  <c r="S520" i="31"/>
  <c r="S521"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F9" i="34"/>
  <c r="AA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AA36" i="34"/>
  <c r="J35" i="34"/>
  <c r="AC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5" i="34"/>
  <c r="S25" i="34"/>
  <c r="H23" i="34"/>
  <c r="AB23" i="34"/>
  <c r="J23" i="34"/>
  <c r="F19" i="34"/>
  <c r="AA19" i="34"/>
  <c r="H17" i="34"/>
  <c r="U17" i="34"/>
  <c r="F15" i="34"/>
  <c r="S15" i="34"/>
  <c r="J15" i="34"/>
  <c r="AC15" i="34"/>
  <c r="H15" i="34"/>
  <c r="AB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W43" i="34"/>
  <c r="AB42" i="34"/>
  <c r="J40" i="34"/>
  <c r="AC40" i="34"/>
  <c r="F114" i="34"/>
  <c r="G114" i="34"/>
  <c r="H114" i="34"/>
  <c r="I114" i="34"/>
  <c r="J114" i="34"/>
  <c r="K114" i="34"/>
  <c r="L114" i="34"/>
  <c r="M114" i="34"/>
  <c r="H38" i="34"/>
  <c r="AB38" i="34"/>
  <c r="J36" i="34"/>
  <c r="W36" i="34"/>
  <c r="H25" i="34"/>
  <c r="AB25" i="34"/>
  <c r="J25" i="34"/>
  <c r="AC25" i="34"/>
  <c r="F23" i="34"/>
  <c r="S23" i="34"/>
  <c r="AA23" i="34"/>
  <c r="J19" i="34"/>
  <c r="AC19" i="34"/>
  <c r="F17" i="34"/>
  <c r="AA17" i="34"/>
  <c r="J17" i="34"/>
  <c r="W17" i="34"/>
  <c r="AA15"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W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U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AA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AB8" i="34"/>
  <c r="W41" i="34"/>
  <c r="AC42" i="34"/>
  <c r="AB35" i="34"/>
  <c r="AB41" i="34"/>
  <c r="AA45" i="34"/>
  <c r="U28" i="34"/>
  <c r="AA29"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BL5" i="3"/>
  <c r="J56" i="9"/>
  <c r="J57" i="9"/>
  <c r="J59" i="9"/>
  <c r="J61" i="9"/>
  <c r="A24" i="51"/>
  <c r="B18" i="72"/>
  <c r="U29" i="34"/>
  <c r="E5" i="6"/>
  <c r="E32" i="6"/>
  <c r="G1" i="68"/>
  <c r="K1" i="12"/>
  <c r="E19" i="69"/>
  <c r="E19" i="68"/>
  <c r="E19" i="11"/>
  <c r="E1" i="73"/>
  <c r="G22" i="69"/>
  <c r="G22" i="68"/>
  <c r="G26" i="12"/>
  <c r="G22" i="11"/>
  <c r="C6" i="43"/>
  <c r="B19" i="53"/>
  <c r="B37" i="72"/>
  <c r="A4" i="51"/>
  <c r="B6" i="72"/>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H112" i="9"/>
  <c r="C8" i="74"/>
  <c r="H111" i="9"/>
  <c r="D126" i="9"/>
  <c r="D19" i="53"/>
  <c r="B38" i="72"/>
  <c r="AD3" i="71"/>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8" i="15"/>
  <c r="F20" i="31"/>
  <c r="M26" i="15"/>
  <c r="F40" i="15"/>
  <c r="L48" i="15"/>
  <c r="F6" i="15"/>
  <c r="E7" i="76"/>
  <c r="B7" i="76"/>
  <c r="E12" i="76"/>
  <c r="F5" i="73"/>
  <c r="F3" i="73"/>
  <c r="F16" i="15"/>
  <c r="M8" i="15"/>
  <c r="M26" i="67"/>
  <c r="F36" i="15"/>
  <c r="F38" i="15"/>
  <c r="M23" i="67"/>
  <c r="L47" i="15"/>
  <c r="F37" i="15"/>
  <c r="C76" i="15"/>
  <c r="M22" i="67"/>
  <c r="E2" i="68"/>
  <c r="M6" i="15"/>
  <c r="E11" i="76"/>
  <c r="F7" i="15"/>
  <c r="C76" i="67"/>
  <c r="B8" i="76"/>
  <c r="B12" i="76"/>
  <c r="F42" i="15"/>
  <c r="J15" i="15"/>
  <c r="M22" i="15"/>
  <c r="M28" i="67"/>
  <c r="F9" i="15"/>
  <c r="F6" i="73"/>
  <c r="J15" i="67"/>
  <c r="M23" i="15"/>
  <c r="B11" i="76"/>
  <c r="E8" i="76"/>
  <c r="F13" i="15"/>
  <c r="L47" i="67"/>
  <c r="F7" i="73"/>
  <c r="M24" i="15"/>
  <c r="B13" i="76"/>
  <c r="E13" i="76"/>
  <c r="B10" i="76"/>
  <c r="M9" i="15"/>
  <c r="M29" i="15"/>
  <c r="M29" i="67"/>
  <c r="F43" i="15"/>
  <c r="E10" i="76"/>
  <c r="F26" i="15"/>
  <c r="AO13" i="1"/>
  <c r="E2" i="69"/>
  <c r="M28" i="15"/>
  <c r="M24" i="67"/>
  <c r="B9" i="76"/>
  <c r="E9" i="76"/>
  <c r="G13" i="3"/>
  <c r="D21" i="53"/>
  <c r="B39" i="72"/>
  <c r="C7" i="34"/>
  <c r="C7" i="81"/>
  <c r="C59" i="81"/>
  <c r="J27" i="34"/>
  <c r="F27" i="34"/>
  <c r="AA27" i="34"/>
  <c r="H27" i="34"/>
  <c r="AB27" i="34"/>
  <c r="F90" i="34"/>
  <c r="G90" i="34"/>
  <c r="H90" i="34"/>
  <c r="I90" i="34"/>
  <c r="J90" i="34"/>
  <c r="K90" i="34"/>
  <c r="L90" i="34"/>
  <c r="M90" i="34"/>
  <c r="H37" i="34"/>
  <c r="U37" i="34"/>
  <c r="J37" i="34"/>
  <c r="AC37" i="34"/>
  <c r="F112" i="34"/>
  <c r="G112" i="34"/>
  <c r="H112" i="34"/>
  <c r="I112" i="34"/>
  <c r="J112" i="34"/>
  <c r="K112" i="34"/>
  <c r="L112" i="34"/>
  <c r="M112" i="34"/>
  <c r="F37" i="34"/>
  <c r="AA37" i="34"/>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c r="F28" i="15"/>
  <c r="F28" i="67"/>
  <c r="F32" i="67"/>
  <c r="F60" i="67"/>
  <c r="F54" i="9"/>
  <c r="F32" i="15"/>
  <c r="F60" i="15"/>
  <c r="F52" i="9"/>
  <c r="F30" i="68"/>
  <c r="F48" i="68"/>
  <c r="D68" i="9"/>
  <c r="F30" i="69"/>
  <c r="F48" i="69"/>
  <c r="F31" i="12"/>
  <c r="C40" i="69"/>
  <c r="C40" i="68"/>
  <c r="C21" i="68"/>
  <c r="BB5" i="3"/>
  <c r="BA13" i="3"/>
  <c r="BA5" i="3"/>
  <c r="G28" i="6"/>
  <c r="G30" i="6"/>
  <c r="G31" i="6"/>
  <c r="G23" i="43"/>
  <c r="C23" i="43"/>
  <c r="C7" i="37"/>
  <c r="C52" i="37"/>
  <c r="D52" i="37"/>
  <c r="C7" i="33"/>
  <c r="J1" i="73"/>
  <c r="M47" i="9"/>
  <c r="C7" i="35"/>
  <c r="C48" i="35"/>
  <c r="D48" i="35"/>
  <c r="C7" i="40"/>
  <c r="C63" i="40"/>
  <c r="C7" i="39"/>
  <c r="C67" i="39"/>
  <c r="C69" i="39"/>
  <c r="C42" i="1"/>
  <c r="C24" i="12"/>
  <c r="C7" i="36"/>
  <c r="C46" i="36"/>
  <c r="D46" i="36"/>
  <c r="E46" i="36"/>
  <c r="F46" i="36"/>
  <c r="G46" i="36"/>
  <c r="H46" i="36"/>
  <c r="I46" i="36"/>
  <c r="C7" i="21"/>
  <c r="G6" i="1"/>
  <c r="G16" i="1"/>
  <c r="F10" i="39"/>
  <c r="I24" i="43"/>
  <c r="C24" i="43"/>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J26" i="43"/>
  <c r="E29" i="6"/>
  <c r="K15" i="1"/>
  <c r="F30" i="6"/>
  <c r="L19" i="6"/>
  <c r="L27" i="6"/>
  <c r="M6" i="1"/>
  <c r="O6" i="1"/>
  <c r="T13" i="1"/>
  <c r="C58" i="21"/>
  <c r="D58" i="21"/>
  <c r="C58" i="33"/>
  <c r="D58" i="33"/>
  <c r="E58" i="33"/>
  <c r="F58" i="33"/>
  <c r="G58" i="33"/>
  <c r="H58" i="33"/>
  <c r="I58" i="33"/>
  <c r="J58" i="33"/>
  <c r="K58" i="33"/>
  <c r="L58" i="33"/>
  <c r="M58" i="33"/>
  <c r="N58" i="33"/>
  <c r="O58" i="33"/>
  <c r="C59" i="34"/>
  <c r="D59" i="34"/>
  <c r="E59" i="34"/>
  <c r="F59" i="34"/>
  <c r="G59" i="34"/>
  <c r="H59" i="34"/>
  <c r="I59" i="34"/>
  <c r="J59" i="34"/>
  <c r="K59" i="34"/>
  <c r="L59" i="34"/>
  <c r="M59" i="34"/>
  <c r="N59" i="34"/>
  <c r="O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E59" i="40"/>
  <c r="D9" i="11"/>
  <c r="C9" i="11"/>
  <c r="D19" i="12"/>
  <c r="C19" i="12"/>
  <c r="AZ13" i="3"/>
  <c r="AZ5" i="3"/>
  <c r="O9" i="1"/>
  <c r="P9" i="1"/>
  <c r="O12" i="1"/>
  <c r="P12" i="1"/>
  <c r="O8" i="1"/>
  <c r="P8" i="1"/>
  <c r="H73" i="43"/>
  <c r="H90" i="43"/>
  <c r="O23" i="43"/>
  <c r="I18" i="43"/>
  <c r="E17" i="43"/>
  <c r="C17" i="43"/>
  <c r="F26" i="43"/>
  <c r="A1" i="79"/>
  <c r="H55" i="43"/>
  <c r="H86" i="43"/>
  <c r="H87" i="43"/>
  <c r="N370" i="46"/>
  <c r="H89" i="43"/>
  <c r="H88" i="43"/>
  <c r="H84" i="43"/>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36" i="68"/>
  <c r="D9" i="69"/>
  <c r="C36" i="69"/>
  <c r="D9" i="68"/>
  <c r="D7" i="73"/>
  <c r="D4" i="73"/>
  <c r="C16" i="15"/>
  <c r="D3" i="73"/>
  <c r="D5" i="73"/>
  <c r="D6" i="73"/>
  <c r="E26" i="43"/>
  <c r="H26" i="43"/>
  <c r="G26" i="43"/>
  <c r="N94" i="46"/>
  <c r="G5" i="3"/>
  <c r="B3" i="3"/>
  <c r="E13" i="3"/>
  <c r="C28" i="15"/>
  <c r="F7" i="36"/>
  <c r="AA7" i="36"/>
  <c r="R36" i="36"/>
  <c r="C77" i="9"/>
  <c r="C74" i="9"/>
  <c r="D59" i="81"/>
  <c r="E59" i="81"/>
  <c r="F59" i="81"/>
  <c r="G59" i="81"/>
  <c r="H59" i="81"/>
  <c r="I59" i="81"/>
  <c r="J59" i="81"/>
  <c r="K59" i="81"/>
  <c r="L59" i="81"/>
  <c r="M59" i="81"/>
  <c r="N59" i="81"/>
  <c r="O59" i="81"/>
  <c r="H7" i="81"/>
  <c r="J7" i="81"/>
  <c r="F7" i="81"/>
  <c r="U27" i="34"/>
  <c r="S37" i="34"/>
  <c r="S27" i="34"/>
  <c r="AC27" i="34"/>
  <c r="W27" i="34"/>
  <c r="U9" i="34"/>
  <c r="AB9" i="34"/>
  <c r="C30" i="69"/>
  <c r="C48" i="69"/>
  <c r="C48" i="68"/>
  <c r="C28" i="67"/>
  <c r="P6" i="1"/>
  <c r="C13" i="12"/>
  <c r="E28" i="6"/>
  <c r="K14" i="1"/>
  <c r="K16" i="1"/>
  <c r="B29" i="1"/>
  <c r="C8" i="68"/>
  <c r="C5" i="68"/>
  <c r="D18" i="53"/>
  <c r="B35" i="72"/>
  <c r="C7" i="74"/>
  <c r="K1" i="73"/>
  <c r="H7" i="36"/>
  <c r="D67" i="39"/>
  <c r="D69" i="39"/>
  <c r="J7" i="37"/>
  <c r="AC7" i="37"/>
  <c r="V42" i="37"/>
  <c r="I42" i="37"/>
  <c r="E61" i="43"/>
  <c r="B59" i="43"/>
  <c r="C28" i="43"/>
  <c r="B116" i="43"/>
  <c r="Z7" i="43"/>
  <c r="E30" i="6"/>
  <c r="E56" i="39"/>
  <c r="H7" i="34"/>
  <c r="AB7" i="34"/>
  <c r="T49" i="34"/>
  <c r="G49" i="34"/>
  <c r="E67" i="39"/>
  <c r="F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E58" i="40"/>
  <c r="E62" i="39"/>
  <c r="E3" i="6"/>
  <c r="D5" i="43"/>
  <c r="J10" i="40"/>
  <c r="AC10" i="40"/>
  <c r="H10" i="39"/>
  <c r="U10" i="39"/>
  <c r="F10" i="40"/>
  <c r="S10" i="40"/>
  <c r="J10" i="39"/>
  <c r="W10" i="39"/>
  <c r="H10" i="40"/>
  <c r="AB10" i="40"/>
  <c r="D26" i="43"/>
  <c r="C25" i="43"/>
  <c r="C7" i="43"/>
  <c r="C5" i="43"/>
  <c r="D10" i="52"/>
  <c r="D125" i="9"/>
  <c r="D11" i="52"/>
  <c r="B7" i="74"/>
  <c r="F59" i="67"/>
  <c r="H7" i="37"/>
  <c r="AB7" i="37"/>
  <c r="T42" i="37"/>
  <c r="G42" i="37"/>
  <c r="S10" i="39"/>
  <c r="AA10" i="39"/>
  <c r="H7" i="33"/>
  <c r="J7" i="33"/>
  <c r="D65" i="40"/>
  <c r="E63" i="40"/>
  <c r="F48" i="35"/>
  <c r="S7" i="36"/>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F27" i="68"/>
  <c r="AE7" i="1"/>
  <c r="AE8" i="1"/>
  <c r="AE12" i="1"/>
  <c r="AE10" i="1"/>
  <c r="G1" i="73"/>
  <c r="AY6"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139" i="3"/>
  <c r="E297" i="3"/>
  <c r="E391" i="3"/>
  <c r="E42" i="3"/>
  <c r="E488" i="3"/>
  <c r="E412" i="3"/>
  <c r="E78" i="3"/>
  <c r="E195" i="3"/>
  <c r="E275" i="3"/>
  <c r="E383" i="3"/>
  <c r="E584" i="3"/>
  <c r="E34" i="3"/>
  <c r="E232" i="3"/>
  <c r="E341" i="3"/>
  <c r="E80" i="3"/>
  <c r="E287" i="3"/>
  <c r="E326" i="3"/>
  <c r="E21"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536" i="3"/>
  <c r="E286" i="3"/>
  <c r="E502" i="3"/>
  <c r="E430" i="3"/>
  <c r="AP6" i="3"/>
  <c r="E491" i="3"/>
  <c r="E37" i="3"/>
  <c r="E192" i="3"/>
  <c r="E363" i="3"/>
  <c r="E76" i="3"/>
  <c r="E425" i="3"/>
  <c r="E103" i="3"/>
  <c r="E267" i="3"/>
  <c r="E492" i="3"/>
  <c r="E381" i="3"/>
  <c r="E16" i="3"/>
  <c r="E105" i="3"/>
  <c r="E543" i="3"/>
  <c r="E422" i="3"/>
  <c r="AH6" i="3"/>
  <c r="E483" i="3"/>
  <c r="E25" i="3"/>
  <c r="E202" i="3"/>
  <c r="E346" i="3"/>
  <c r="E60" i="3"/>
  <c r="E15" i="3"/>
  <c r="E100" i="3"/>
  <c r="E234" i="3"/>
  <c r="E325" i="3"/>
  <c r="E36" i="3"/>
  <c r="E289" i="3"/>
  <c r="E20" i="3"/>
  <c r="E265" i="3"/>
  <c r="E371" i="3"/>
  <c r="E184" i="3"/>
  <c r="E118" i="3"/>
  <c r="E323" i="3"/>
  <c r="E284" i="3"/>
  <c r="E354" i="3"/>
  <c r="E138" i="3"/>
  <c r="E110" i="3"/>
  <c r="E240" i="3"/>
  <c r="E520" i="3"/>
  <c r="E416" i="3"/>
  <c r="E31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575" i="3"/>
  <c r="E417" i="3"/>
  <c r="E59" i="3"/>
  <c r="E84" i="3"/>
  <c r="E427" i="3"/>
  <c r="E108" i="3"/>
  <c r="E455" i="3"/>
  <c r="E112" i="3"/>
  <c r="E23" i="3"/>
  <c r="E127" i="3"/>
  <c r="E187" i="3"/>
  <c r="E122" i="3"/>
  <c r="E306" i="3"/>
  <c r="E532" i="3"/>
  <c r="E288" i="3"/>
  <c r="E475" i="3"/>
  <c r="E208" i="3"/>
  <c r="E357" i="3"/>
  <c r="E93" i="3"/>
  <c r="E196" i="3"/>
  <c r="E145" i="3"/>
  <c r="U6" i="3"/>
  <c r="E548" i="3"/>
  <c r="E477" i="3"/>
  <c r="E557" i="3"/>
  <c r="E403" i="3"/>
  <c r="E447"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42" i="3"/>
  <c r="E95" i="3"/>
  <c r="E467" i="3"/>
  <c r="E63" i="3"/>
  <c r="E440" i="3"/>
  <c r="E242" i="3"/>
  <c r="E170" i="3"/>
  <c r="E340" i="3"/>
  <c r="E355" i="3"/>
  <c r="E307" i="3"/>
  <c r="E413" i="3"/>
  <c r="E461" i="3"/>
  <c r="E157" i="3"/>
  <c r="E529" i="3"/>
  <c r="W6" i="3"/>
  <c r="E54" i="3"/>
  <c r="E279" i="3"/>
  <c r="E318" i="3"/>
  <c r="E567" i="3"/>
  <c r="E269" i="3"/>
  <c r="E107" i="3"/>
  <c r="E515" i="3"/>
  <c r="E414" i="3"/>
  <c r="E345" i="3"/>
  <c r="E547" i="3"/>
  <c r="E476" i="3"/>
  <c r="E28"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49" i="3"/>
  <c r="E258" i="3"/>
  <c r="E160" i="3"/>
  <c r="E188" i="3"/>
  <c r="J6" i="3"/>
  <c r="E333" i="3"/>
  <c r="E219" i="3"/>
  <c r="E62" i="3"/>
  <c r="E283" i="3"/>
  <c r="E98" i="3"/>
  <c r="E487" i="3"/>
  <c r="E136" i="3"/>
  <c r="E224" i="3"/>
  <c r="E474" i="3"/>
  <c r="E537" i="3"/>
  <c r="E168" i="3"/>
  <c r="E257" i="3"/>
  <c r="E14" i="3"/>
  <c r="E397" i="3"/>
  <c r="E207" i="3"/>
  <c r="E379" i="3"/>
  <c r="E411" i="3"/>
  <c r="E400" i="3"/>
  <c r="E367" i="3"/>
  <c r="AS6" i="3"/>
  <c r="E489" i="3"/>
  <c r="E71"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48" i="3"/>
  <c r="E554" i="3"/>
  <c r="E349" i="3"/>
  <c r="E249" i="3"/>
  <c r="E393" i="3"/>
  <c r="E401" i="3"/>
  <c r="E43" i="3"/>
  <c r="E392" i="3"/>
  <c r="E365" i="3"/>
  <c r="E179" i="3"/>
  <c r="E504" i="3"/>
  <c r="E167" i="3"/>
  <c r="E352" i="3"/>
  <c r="E313" i="3"/>
  <c r="E438" i="3"/>
  <c r="E471" i="3"/>
  <c r="E150" i="3"/>
  <c r="E31" i="3"/>
  <c r="E549" i="3"/>
  <c r="E432" i="3"/>
  <c r="E27" i="3"/>
  <c r="E331" i="3"/>
  <c r="E319" i="3"/>
  <c r="E328" i="3"/>
  <c r="E285" i="3"/>
  <c r="E523" i="3"/>
  <c r="E321" i="3"/>
  <c r="E304" i="3"/>
  <c r="E302" i="3"/>
  <c r="E303" i="3"/>
  <c r="E280" i="3"/>
  <c r="E271" i="3"/>
  <c r="E505" i="3"/>
  <c r="E162" i="3"/>
  <c r="E384" i="3"/>
  <c r="E501" i="3"/>
  <c r="O6" i="3"/>
  <c r="E97" i="3"/>
  <c r="E506" i="3"/>
  <c r="E298" i="3"/>
  <c r="E565" i="3"/>
  <c r="E221" i="3"/>
  <c r="E402" i="3"/>
  <c r="AA6" i="3"/>
  <c r="E351" i="3"/>
  <c r="E585" i="3"/>
  <c r="E531" i="3"/>
  <c r="E186" i="3"/>
  <c r="E44" i="3"/>
  <c r="E153" i="3"/>
  <c r="E574" i="3"/>
  <c r="E390" i="3"/>
  <c r="E418" i="3"/>
  <c r="E169" i="3"/>
  <c r="E213" i="3"/>
  <c r="E254" i="3"/>
  <c r="AN6" i="3"/>
  <c r="E478" i="3"/>
  <c r="E546" i="3"/>
  <c r="E210" i="3"/>
  <c r="E441" i="3"/>
  <c r="E53" i="3"/>
  <c r="E426" i="3"/>
  <c r="E359" i="3"/>
  <c r="S6" i="3"/>
  <c r="E338" i="3"/>
  <c r="E237" i="3"/>
  <c r="E17" i="3"/>
  <c r="E159" i="3"/>
  <c r="E353" i="3"/>
  <c r="S7" i="81"/>
  <c r="AA7" i="81"/>
  <c r="R49" i="81"/>
  <c r="AC7" i="81"/>
  <c r="V49" i="81"/>
  <c r="I49" i="81"/>
  <c r="W7" i="81"/>
  <c r="U7" i="81"/>
  <c r="AB7" i="81"/>
  <c r="T49" i="81"/>
  <c r="G49" i="81"/>
  <c r="E65" i="39"/>
  <c r="M14" i="1"/>
  <c r="O14" i="1"/>
  <c r="O16" i="1"/>
  <c r="L36" i="43"/>
  <c r="N36" i="43"/>
  <c r="W7" i="37"/>
  <c r="E69" i="39"/>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M27" i="15"/>
  <c r="F41" i="15"/>
  <c r="M27" i="67"/>
  <c r="M16" i="1"/>
  <c r="H6" i="3"/>
  <c r="E6" i="3"/>
  <c r="AC6" i="3"/>
  <c r="I53" i="81"/>
  <c r="J53" i="81"/>
  <c r="G53" i="81"/>
  <c r="H53" i="81"/>
  <c r="G54" i="81"/>
  <c r="H54" i="81"/>
  <c r="E49" i="81"/>
  <c r="I54" i="81"/>
  <c r="J54" i="81"/>
  <c r="R50" i="81"/>
  <c r="F69" i="67"/>
  <c r="R50" i="34"/>
  <c r="C49" i="34"/>
  <c r="F22" i="11"/>
  <c r="C44" i="11"/>
  <c r="D41" i="11"/>
  <c r="F22" i="68"/>
  <c r="C44" i="68"/>
  <c r="D41" i="68"/>
  <c r="F25" i="12"/>
  <c r="C26" i="12"/>
  <c r="D25" i="12"/>
  <c r="D116" i="43"/>
  <c r="F24" i="67"/>
  <c r="C24" i="67"/>
  <c r="F24" i="15"/>
  <c r="C24" i="15"/>
  <c r="F22" i="69"/>
  <c r="F41" i="69"/>
  <c r="P36" i="43"/>
  <c r="L37" i="43"/>
  <c r="M37" i="43"/>
  <c r="M36" i="43"/>
  <c r="O36" i="43"/>
  <c r="Q36" i="43"/>
  <c r="E49" i="34"/>
  <c r="E54" i="34"/>
  <c r="F54" i="34"/>
  <c r="G54" i="34"/>
  <c r="H54" i="34"/>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4" i="6"/>
  <c r="D19" i="6"/>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R49" i="33"/>
  <c r="E48" i="33"/>
  <c r="I53" i="33"/>
  <c r="J53" i="33"/>
  <c r="I52" i="33"/>
  <c r="J52" i="33"/>
  <c r="E40" i="36"/>
  <c r="F40" i="36"/>
  <c r="E41" i="36"/>
  <c r="F41" i="36"/>
  <c r="G52" i="33"/>
  <c r="H52" i="33"/>
  <c r="G53" i="33"/>
  <c r="H53" i="33"/>
  <c r="H48" i="35"/>
  <c r="I41" i="36"/>
  <c r="J41" i="36"/>
  <c r="R43" i="37"/>
  <c r="E42" i="37"/>
  <c r="G63" i="40"/>
  <c r="F65" i="40"/>
  <c r="C37" i="36"/>
  <c r="C36" i="36"/>
  <c r="G58" i="21"/>
  <c r="D12" i="71"/>
  <c r="C60" i="15"/>
  <c r="C66" i="67"/>
  <c r="C60" i="67"/>
  <c r="D10" i="69"/>
  <c r="C34" i="69"/>
  <c r="D10" i="68"/>
  <c r="C17" i="15"/>
  <c r="I54" i="34"/>
  <c r="J54" i="34"/>
  <c r="H22" i="6"/>
  <c r="D30" i="6"/>
  <c r="H21" i="6"/>
  <c r="E54" i="81"/>
  <c r="F54" i="81"/>
  <c r="E53" i="81"/>
  <c r="F53" i="81"/>
  <c r="C49" i="81"/>
  <c r="U6" i="1"/>
  <c r="C50" i="81"/>
  <c r="C50" i="34"/>
  <c r="F41" i="68"/>
  <c r="E53" i="34"/>
  <c r="F53" i="34"/>
  <c r="C24" i="11"/>
  <c r="C23" i="11"/>
  <c r="C25" i="11"/>
  <c r="C26" i="68"/>
  <c r="D22" i="68"/>
  <c r="C23" i="68"/>
  <c r="C26" i="11"/>
  <c r="D22" i="11"/>
  <c r="H25" i="6"/>
  <c r="R25" i="6"/>
  <c r="R12" i="1"/>
  <c r="C26" i="69"/>
  <c r="D22" i="69"/>
  <c r="N37" i="43"/>
  <c r="O37" i="43"/>
  <c r="P37" i="43"/>
  <c r="C44" i="69"/>
  <c r="D41" i="69"/>
  <c r="Q37" i="43"/>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J19" i="67"/>
  <c r="C34" i="68"/>
  <c r="B6" i="76"/>
  <c r="E6" i="76"/>
  <c r="C14" i="15"/>
  <c r="B2" i="81"/>
  <c r="B3" i="81"/>
  <c r="C22" i="11"/>
  <c r="C31" i="11"/>
  <c r="D8" i="71"/>
  <c r="C7" i="71"/>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J48" i="35"/>
  <c r="F7" i="21"/>
  <c r="S7" i="21"/>
  <c r="J7" i="21"/>
  <c r="AC7" i="21"/>
  <c r="V48" i="21"/>
  <c r="I48" i="21"/>
  <c r="D7" i="71"/>
  <c r="C6" i="71"/>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W7" i="21"/>
  <c r="AA7" i="21"/>
  <c r="R48" i="21"/>
  <c r="R49" i="21"/>
  <c r="J7" i="35"/>
  <c r="W7" i="35"/>
  <c r="D6" i="71"/>
  <c r="C5" i="71"/>
  <c r="Q49" i="67"/>
  <c r="J14" i="67"/>
  <c r="J13" i="67"/>
  <c r="J23" i="67"/>
  <c r="C57" i="67"/>
  <c r="C64"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J65" i="40"/>
  <c r="K63" i="40"/>
  <c r="I52" i="21"/>
  <c r="J52" i="21"/>
  <c r="U7" i="35"/>
  <c r="AB7" i="35"/>
  <c r="T38" i="35"/>
  <c r="G38" i="35"/>
  <c r="E48" i="21"/>
  <c r="G52" i="21"/>
  <c r="H52" i="21"/>
  <c r="G53" i="21"/>
  <c r="H53" i="21"/>
  <c r="F7" i="35"/>
  <c r="F35" i="15"/>
  <c r="M21" i="67"/>
  <c r="M21" i="15"/>
  <c r="AC7" i="35"/>
  <c r="V38" i="35"/>
  <c r="I38" i="35"/>
  <c r="D5" i="71"/>
  <c r="M24" i="43"/>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19" i="9"/>
  <c r="D2" i="35"/>
  <c r="D2" i="37"/>
  <c r="D2" i="36"/>
  <c r="L51" i="15"/>
  <c r="D2" i="34"/>
  <c r="D102" i="9"/>
  <c r="D21" i="9"/>
  <c r="Q57" i="67"/>
  <c r="Q62" i="67"/>
  <c r="Q66" i="67"/>
  <c r="Q75"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D34" i="9"/>
  <c r="AO11" i="1"/>
  <c r="C19" i="9"/>
  <c r="AO12" i="1"/>
  <c r="AO7" i="1"/>
  <c r="D35" i="9"/>
  <c r="AO9" i="1"/>
  <c r="AO8" i="1"/>
  <c r="AO10" i="1"/>
  <c r="AO6" i="1"/>
  <c r="C102" i="9"/>
  <c r="C21" i="9"/>
  <c r="G19" i="9"/>
  <c r="G21" i="9"/>
  <c r="D22" i="9"/>
  <c r="B3" i="34"/>
  <c r="D103" i="9"/>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103"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5" i="9"/>
  <c r="C34" i="9"/>
  <c r="R24" i="31"/>
  <c r="C42" i="40"/>
  <c r="C43" i="40"/>
  <c r="E47" i="40"/>
  <c r="F47" i="40"/>
  <c r="E46" i="40"/>
  <c r="F46" i="40"/>
  <c r="I47" i="40"/>
  <c r="J47" i="40"/>
  <c r="S24" i="31"/>
  <c r="R26" i="31"/>
  <c r="S26" i="31"/>
  <c r="R27" i="31"/>
  <c r="S27" i="31"/>
  <c r="R25" i="31"/>
  <c r="S25" i="31"/>
  <c r="B58" i="40"/>
  <c r="F58" i="40"/>
  <c r="B54" i="40"/>
  <c r="F54" i="40"/>
  <c r="B53" i="40"/>
  <c r="F53" i="40"/>
  <c r="B59" i="40"/>
  <c r="F59" i="40"/>
  <c r="B52" i="40"/>
  <c r="F52" i="40"/>
  <c r="B56" i="40"/>
  <c r="F56" i="40"/>
  <c r="B60" i="40"/>
  <c r="F60" i="40"/>
  <c r="B57" i="40"/>
  <c r="F57" i="40"/>
  <c r="B51" i="40"/>
  <c r="F51" i="40"/>
  <c r="F61" i="40"/>
  <c r="B2" i="40"/>
  <c r="B3" i="40"/>
  <c r="S22" i="31"/>
  <c r="G14" i="74"/>
  <c r="B6" i="74"/>
  <c r="D6" i="74"/>
  <c r="G118" i="9"/>
  <c r="G4" i="52"/>
  <c r="B52" i="72"/>
  <c r="I4" i="52"/>
  <c r="R22" i="31"/>
  <c r="B20" i="31"/>
  <c r="B21" i="31"/>
  <c r="F118" i="9"/>
  <c r="F4" i="52"/>
  <c r="B51" i="72"/>
  <c r="E118" i="9"/>
  <c r="C105" i="9"/>
  <c r="H102" i="9"/>
  <c r="F119" i="9"/>
  <c r="F5" i="52"/>
  <c r="B53" i="72"/>
  <c r="D7" i="53"/>
  <c r="B21" i="72"/>
  <c r="E4" i="52"/>
  <c r="B48" i="72"/>
  <c r="D118" i="9"/>
  <c r="H119" i="9"/>
  <c r="H5" i="52"/>
  <c r="C104" i="9"/>
  <c r="H4" i="52"/>
  <c r="H101" i="9"/>
  <c r="F14" i="74"/>
  <c r="E14" i="74"/>
  <c r="B5" i="74"/>
  <c r="D4" i="52"/>
  <c r="B47" i="72"/>
  <c r="D119" i="9"/>
  <c r="D5" i="52"/>
  <c r="B49" i="72"/>
  <c r="M48" i="9"/>
  <c r="D45" i="9"/>
  <c r="D5" i="53"/>
  <c r="H107" i="9"/>
  <c r="M49" i="9"/>
  <c r="L65" i="9"/>
  <c r="M65" i="9"/>
  <c r="L67" i="9"/>
  <c r="M67" i="9"/>
  <c r="L66" i="9"/>
  <c r="M66" i="9"/>
  <c r="L64" i="9"/>
  <c r="M64" i="9"/>
  <c r="L68" i="9"/>
  <c r="M68" i="9"/>
  <c r="L63" i="9"/>
  <c r="M63" i="9"/>
  <c r="D5" i="74"/>
  <c r="C5" i="74"/>
  <c r="C85" i="9"/>
  <c r="D55" i="9"/>
  <c r="M53" i="9"/>
  <c r="C64" i="9"/>
  <c r="C63" i="9"/>
  <c r="C67" i="9"/>
  <c r="D52" i="9"/>
  <c r="C93" i="9"/>
  <c r="C86" i="9"/>
  <c r="D53" i="9"/>
  <c r="C78" i="9"/>
  <c r="C73" i="9"/>
  <c r="C72" i="9"/>
  <c r="D122" i="9"/>
  <c r="D13" i="53"/>
  <c r="H108" i="9"/>
  <c r="D6" i="53"/>
  <c r="B22" i="72"/>
  <c r="B20" i="72"/>
  <c r="M69" i="9"/>
  <c r="N69" i="9"/>
  <c r="C79" i="9"/>
  <c r="C6" i="74"/>
  <c r="D15" i="53"/>
  <c r="B31" i="72"/>
  <c r="D59" i="9"/>
  <c r="M55" i="9"/>
  <c r="C68" i="9"/>
  <c r="D54" i="9"/>
  <c r="D14" i="53"/>
  <c r="B32" i="72"/>
  <c r="B30" i="72"/>
  <c r="D8" i="52"/>
  <c r="D123" i="9"/>
  <c r="D9" i="52"/>
  <c r="C95" i="9"/>
  <c r="C96" i="9"/>
  <c r="E96" i="9"/>
  <c r="E97" i="9"/>
  <c r="C80" i="9"/>
  <c r="E80" i="9"/>
  <c r="E81" i="9"/>
  <c r="C97" i="9"/>
  <c r="D58" i="9"/>
  <c r="D56" i="9"/>
  <c r="M54" i="9"/>
  <c r="N57" i="9"/>
  <c r="P57" i="9"/>
  <c r="C81" i="9"/>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<sst xmlns="http://schemas.openxmlformats.org/spreadsheetml/2006/main" count="8213" uniqueCount="3441">
  <si>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</si>
  <si>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</si>
  <si>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</si>
  <si>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</si>
  <si>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</si>
  <si>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</si>
  <si>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</si>
  <si>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</si>
  <si>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</si>
  <si>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</si>
  <si>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</si>
  <si>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</si>
  <si>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</si>
  <si>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</si>
  <si>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</si>
  <si>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</si>
  <si>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</si>
  <si>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</si>
  <si>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</si>
  <si>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</si>
  <si>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</si>
  <si>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</si>
  <si>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</si>
  <si>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</si>
  <si>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</si>
  <si>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</si>
  <si>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</si>
  <si>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</si>
  <si>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</si>
  <si>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</si>
  <si>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</si>
  <si>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</si>
  <si>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</si>
  <si>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</si>
  <si>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</si>
  <si>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</si>
  <si>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</si>
  <si>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</si>
  <si>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</si>
  <si>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</si>
  <si>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</si>
  <si>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</si>
  <si>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</si>
  <si>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</si>
  <si>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</si>
  <si>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</si>
  <si>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</si>
  <si>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</si>
  <si>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</si>
  <si>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</si>
  <si>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</si>
  <si>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</si>
  <si>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</si>
  <si>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</si>
  <si>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</si>
  <si>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</si>
  <si>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</si>
  <si>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</si>
  <si>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</si>
  <si>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</si>
  <si>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</si>
  <si>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</si>
  <si>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</si>
  <si>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</si>
  <si>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</si>
  <si>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</si>
  <si>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</si>
  <si>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</si>
  <si>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</si>
  <si>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</si>
  <si>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</si>
  <si>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</si>
  <si>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</si>
  <si>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</si>
  <si>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</si>
  <si>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</si>
  <si>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</si>
  <si>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</si>
  <si>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</si>
  <si>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</si>
  <si>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</si>
  <si>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</si>
  <si>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</si>
  <si>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</si>
  <si>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</si>
  <si>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</si>
  <si>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</si>
  <si>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</si>
  <si>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</si>
  <si>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</si>
  <si>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</si>
  <si>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</si>
  <si>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</si>
  <si>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</si>
  <si>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</si>
  <si>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</si>
  <si>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</si>
  <si>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</si>
  <si>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</si>
  <si>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</si>
  <si>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</si>
  <si>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</si>
  <si>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</si>
  <si>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</si>
  <si>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</si>
  <si>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</si>
  <si>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</si>
  <si>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</si>
  <si>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</si>
  <si>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</si>
  <si>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</si>
  <si>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</si>
  <si>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</si>
  <si>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</si>
  <si>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</si>
  <si>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</si>
  <si>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</si>
  <si>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</si>
  <si>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</si>
  <si>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</si>
  <si>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</si>
  <si>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</si>
  <si>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</si>
  <si>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</si>
  <si>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</si>
  <si>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</si>
  <si>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</si>
  <si>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</si>
  <si>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</si>
  <si>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</si>
  <si>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</si>
  <si>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</si>
  <si>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</si>
  <si>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</si>
  <si>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</si>
  <si>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</si>
  <si>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</si>
  <si>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</si>
  <si>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</si>
  <si>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</si>
  <si>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</si>
  <si>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</si>
  <si>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</si>
  <si>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</si>
  <si>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</si>
  <si>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</si>
  <si>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</si>
  <si>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</si>
  <si>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</si>
  <si>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</si>
  <si>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</si>
  <si>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</si>
  <si>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</si>
  <si>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</si>
  <si>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</si>
  <si>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</si>
  <si>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</si>
  <si>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</si>
  <si>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</si>
  <si>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</si>
  <si>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</si>
  <si>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</si>
  <si>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</si>
  <si>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</si>
  <si>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</si>
  <si>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</si>
  <si>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</si>
  <si>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</si>
  <si>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</si>
  <si>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</si>
  <si>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</si>
  <si>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</si>
  <si>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</si>
  <si>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</si>
  <si>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</si>
  <si>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</si>
  <si>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</si>
  <si>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</si>
  <si>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</si>
  <si>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</si>
  <si>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</si>
  <si>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</si>
  <si>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</si>
  <si>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</si>
  <si>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</si>
  <si>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</si>
  <si>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</si>
  <si>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</si>
  <si>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</si>
  <si>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</si>
  <si>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</si>
  <si>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</si>
  <si>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</si>
  <si>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</si>
  <si>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</si>
  <si>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</si>
  <si>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</si>
  <si>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</si>
  <si>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</si>
  <si>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</si>
  <si>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</si>
  <si>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</si>
  <si>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</si>
  <si>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</si>
  <si>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</si>
  <si>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</si>
  <si>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</si>
  <si>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</si>
  <si>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</si>
  <si>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</si>
  <si>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</si>
  <si>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</si>
  <si>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</si>
  <si>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</si>
  <si>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</si>
  <si>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</si>
  <si>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</si>
  <si>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</si>
  <si>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</si>
  <si>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</si>
  <si>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</si>
  <si>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</si>
  <si>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</si>
  <si>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</si>
  <si>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</si>
  <si>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</si>
  <si>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</si>
  <si>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</si>
  <si>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</si>
  <si>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</si>
  <si>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</si>
  <si>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</si>
  <si>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</si>
  <si>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</si>
  <si>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</si>
  <si>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</si>
  <si>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</si>
  <si>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</si>
  <si>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</si>
  <si>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</si>
  <si>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</si>
  <si>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</si>
  <si>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</si>
  <si>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</si>
  <si>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</si>
  <si>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</si>
  <si>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</si>
  <si>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</si>
  <si>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</si>
  <si>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</si>
  <si>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</si>
  <si>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</si>
  <si>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</si>
  <si>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</si>
  <si>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</si>
  <si>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</si>
  <si>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</si>
  <si>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</si>
  <si>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</si>
  <si>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</si>
  <si>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</si>
  <si>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</si>
  <si>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</si>
  <si>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</si>
  <si>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</si>
  <si>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</si>
  <si>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</si>
  <si>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</si>
  <si>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</si>
  <si>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</si>
  <si>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</si>
  <si>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</si>
  <si>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</si>
  <si>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</si>
  <si>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</si>
  <si>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</si>
  <si>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</si>
  <si>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</si>
  <si>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</si>
  <si>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</si>
  <si>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</si>
  <si>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</si>
  <si>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</si>
  <si>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</si>
  <si>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</si>
  <si>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</si>
  <si>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</si>
  <si>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</si>
  <si>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</si>
  <si>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</si>
  <si>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</si>
  <si>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</si>
  <si>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</si>
  <si>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</si>
  <si>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</si>
  <si>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</si>
  <si>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</si>
  <si>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</si>
  <si>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</si>
  <si>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</si>
  <si>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</si>
  <si>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</si>
  <si>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</si>
  <si>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</si>
  <si>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</si>
  <si>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</si>
  <si>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</si>
  <si>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</si>
  <si>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</si>
  <si>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</si>
  <si>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</si>
  <si>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</si>
  <si>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</si>
  <si>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</si>
  <si>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</si>
  <si>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</si>
  <si>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</si>
  <si>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</si>
  <si>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</si>
  <si>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</si>
  <si>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</si>
  <si>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</si>
  <si>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</si>
  <si>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</si>
  <si>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</si>
  <si>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</si>
  <si>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</si>
  <si>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</si>
  <si>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</si>
  <si>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</si>
  <si>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</si>
  <si>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</si>
  <si>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</si>
  <si>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</si>
  <si>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</si>
  <si>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</si>
  <si>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</si>
  <si>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</si>
  <si>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</si>
  <si>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</si>
  <si>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</si>
  <si>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</si>
  <si>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</si>
  <si>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</si>
  <si>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</si>
  <si>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</si>
  <si>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</si>
  <si>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</si>
  <si>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</si>
  <si>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</si>
  <si>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</si>
  <si>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</si>
  <si>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</si>
  <si>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</si>
  <si>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</si>
  <si>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</si>
  <si>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</si>
  <si>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</si>
  <si>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</si>
  <si>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</si>
  <si>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</si>
  <si>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</si>
  <si>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</si>
  <si>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</si>
  <si>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</si>
  <si>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</si>
  <si>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</si>
  <si>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</si>
  <si>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</si>
  <si>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</si>
  <si>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</si>
  <si>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</si>
  <si>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</si>
  <si>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</si>
  <si>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</si>
  <si>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</si>
  <si>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</si>
  <si>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</si>
  <si>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</si>
  <si>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</si>
  <si>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</si>
  <si>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</si>
  <si>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</si>
  <si>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</si>
  <si>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</si>
  <si>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</si>
  <si>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</si>
  <si>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</si>
  <si>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</si>
  <si>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</si>
  <si>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</si>
  <si>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</si>
  <si>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</si>
  <si>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</si>
  <si>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</si>
  <si>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</si>
  <si>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</si>
  <si>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</si>
  <si>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</si>
  <si>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</si>
  <si>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</si>
  <si>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</si>
  <si>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</si>
  <si>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</si>
  <si>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</si>
  <si>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</si>
  <si>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</si>
  <si>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</si>
  <si>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</si>
  <si>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</si>
  <si>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</si>
  <si>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</si>
  <si>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</si>
  <si>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</si>
  <si>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</si>
  <si>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</si>
  <si>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</si>
  <si>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</si>
  <si>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</si>
  <si>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</si>
  <si>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</si>
  <si>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</si>
  <si>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</si>
  <si>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</si>
  <si>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</si>
  <si>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</si>
  <si>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</si>
  <si>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</si>
  <si>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</si>
  <si>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</si>
  <si>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</si>
  <si>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</si>
  <si>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</si>
  <si>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</si>
  <si>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</si>
  <si>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</si>
  <si>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</si>
  <si>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</si>
  <si>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</si>
  <si>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</si>
  <si>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</si>
  <si>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</si>
  <si>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</si>
  <si>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</si>
  <si>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</si>
  <si>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</si>
  <si>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</si>
  <si>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</si>
  <si>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</si>
  <si>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</si>
  <si>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</si>
  <si>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</si>
  <si>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</si>
  <si>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</si>
  <si>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</si>
  <si>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</si>
  <si>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</si>
  <si>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</si>
  <si>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</si>
  <si>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</si>
  <si>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</si>
  <si>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</si>
  <si>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</si>
  <si>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</si>
  <si>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</si>
  <si>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</si>
  <si>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</si>
  <si>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</si>
  <si>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</si>
  <si>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</si>
  <si>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</si>
  <si>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</si>
  <si>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</si>
  <si>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</si>
  <si>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</si>
  <si>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</si>
  <si>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</si>
  <si>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</si>
  <si>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</si>
  <si>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</si>
  <si>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</si>
  <si>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</si>
  <si>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</si>
  <si>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</si>
  <si>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</si>
  <si>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</si>
  <si>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</si>
  <si>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</si>
  <si>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</si>
  <si>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</si>
  <si>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</si>
  <si>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</si>
  <si>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</si>
  <si>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</si>
  <si>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</si>
  <si>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</si>
  <si>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</si>
  <si>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</si>
  <si>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</si>
  <si>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</si>
  <si>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</si>
  <si>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</si>
  <si>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</si>
  <si>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</si>
  <si>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</si>
  <si>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</si>
  <si>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</si>
  <si>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</si>
  <si>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</si>
  <si>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</si>
  <si>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</si>
  <si>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</si>
  <si>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</si>
  <si>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</si>
  <si>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</si>
  <si>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</si>
  <si>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</si>
  <si>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</si>
  <si>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</si>
  <si>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</si>
  <si>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</si>
  <si>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</si>
  <si>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</si>
  <si>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</si>
  <si>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</si>
  <si>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</si>
  <si>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</si>
  <si>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</si>
  <si>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</si>
  <si>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</si>
  <si>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</si>
  <si>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</si>
  <si>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</si>
  <si>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</si>
  <si>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</si>
  <si>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</si>
  <si>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</si>
  <si>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</si>
  <si>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</si>
  <si>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</si>
  <si>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</si>
  <si>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</si>
  <si>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</si>
  <si>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</si>
  <si>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</si>
  <si>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</si>
  <si>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</si>
  <si>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</si>
  <si>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</si>
  <si>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</si>
  <si>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</si>
  <si>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</si>
  <si>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</si>
  <si>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</si>
  <si>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</si>
  <si>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</si>
  <si>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</si>
  <si>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</si>
  <si>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</si>
  <si>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</si>
  <si>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</si>
  <si>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</si>
  <si>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</si>
  <si>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</si>
  <si>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</si>
  <si>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</si>
  <si>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</si>
  <si>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</si>
  <si>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</si>
  <si>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</si>
  <si>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</si>
  <si>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</si>
  <si>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</si>
  <si>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</si>
  <si>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</si>
  <si>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</si>
  <si>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</si>
  <si>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</si>
  <si>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</si>
  <si>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</si>
  <si>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</si>
  <si>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</si>
  <si>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</si>
  <si>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</si>
  <si>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</si>
  <si>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</si>
  <si>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</si>
  <si>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</si>
  <si>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</si>
  <si>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</si>
  <si>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</si>
  <si>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</si>
  <si>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</si>
  <si>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</si>
  <si>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</si>
  <si>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</si>
  <si>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</si>
  <si>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</si>
  <si>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</si>
  <si>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</si>
  <si>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</si>
  <si>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</si>
  <si>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</si>
  <si>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</si>
  <si>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</si>
  <si>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</si>
  <si>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</si>
  <si>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</si>
  <si>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</si>
  <si>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</si>
  <si>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</si>
  <si>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</si>
  <si>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</si>
  <si>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</si>
  <si>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</si>
  <si>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</si>
  <si>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</si>
  <si>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</si>
  <si>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</si>
  <si>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</si>
  <si>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</si>
  <si>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</si>
  <si>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</si>
  <si>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</si>
  <si>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</si>
  <si>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</si>
  <si>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</si>
  <si>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</si>
  <si>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</si>
  <si>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</si>
  <si>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</si>
  <si>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</si>
  <si>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</si>
  <si>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</si>
  <si>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</si>
  <si>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</si>
  <si>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</si>
  <si>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</si>
  <si>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</si>
  <si>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</si>
  <si>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</si>
  <si>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</si>
  <si>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</si>
  <si>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</si>
  <si>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</si>
  <si>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</si>
  <si>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</si>
  <si>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</si>
  <si>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</si>
  <si>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</si>
  <si>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</si>
  <si>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</si>
  <si>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</si>
  <si>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</si>
  <si>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</si>
  <si>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</si>
  <si>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</si>
  <si>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</si>
  <si>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</si>
  <si>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</si>
  <si>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</si>
  <si>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</si>
  <si>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</si>
  <si>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</si>
  <si>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</si>
  <si>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</si>
  <si>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</si>
  <si>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</si>
  <si>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</si>
  <si>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</si>
  <si>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</si>
  <si>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</si>
  <si>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</si>
  <si>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</si>
  <si>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</si>
  <si>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</si>
  <si>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</si>
  <si>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</si>
  <si>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</si>
  <si>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</si>
  <si>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</si>
  <si>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</si>
  <si>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</si>
  <si>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</si>
  <si>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</si>
  <si>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</si>
  <si>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</si>
  <si>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</si>
  <si>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</si>
  <si>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</si>
  <si>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</si>
  <si>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</si>
  <si>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</si>
  <si>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</si>
  <si>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</si>
  <si>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</si>
  <si>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</si>
  <si>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</si>
  <si>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</si>
  <si>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</si>
  <si>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</si>
  <si>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</si>
  <si>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</si>
  <si>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</si>
  <si>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</si>
  <si>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</si>
  <si>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</si>
  <si>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</si>
  <si>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</si>
  <si>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</si>
  <si>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</si>
  <si>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</si>
  <si>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</si>
  <si>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</si>
  <si>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</si>
  <si>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</si>
  <si>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</si>
  <si>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</si>
  <si>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</si>
  <si>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</si>
  <si>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</si>
  <si>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</si>
  <si>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</si>
  <si>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</si>
  <si>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</si>
  <si>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</si>
  <si>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</si>
  <si>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</si>
  <si>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</si>
  <si>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</si>
  <si>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</si>
  <si>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</si>
  <si>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</si>
  <si>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</si>
  <si>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</si>
  <si>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</si>
  <si>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</si>
  <si>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</si>
  <si>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</si>
  <si>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</si>
  <si>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</si>
  <si>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</si>
  <si>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</si>
  <si>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</si>
  <si>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</si>
  <si>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</si>
  <si>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</si>
  <si>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</si>
  <si>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</si>
  <si>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</si>
  <si>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</si>
  <si>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</si>
  <si>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</si>
  <si>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</si>
  <si>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</si>
  <si>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</si>
  <si>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</si>
  <si>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</si>
  <si>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</si>
  <si>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</si>
  <si>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</si>
  <si>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</si>
  <si>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</si>
  <si>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</si>
  <si>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</si>
  <si>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</si>
  <si>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</si>
  <si>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</si>
  <si>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</si>
  <si>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</si>
  <si>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</si>
  <si>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</si>
  <si>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</si>
  <si>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</si>
  <si>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</si>
  <si>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</si>
  <si>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</si>
  <si>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</si>
  <si>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</si>
  <si>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</si>
  <si>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</si>
  <si>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</si>
  <si>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</si>
  <si>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</si>
  <si>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</si>
  <si>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</si>
  <si>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</si>
  <si>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</si>
  <si>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</si>
  <si>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</si>
  <si>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</si>
  <si>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</si>
  <si>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</si>
  <si>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</si>
  <si>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</si>
  <si>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</si>
  <si>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</si>
  <si>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</si>
  <si>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</si>
  <si>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</si>
  <si>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</si>
  <si>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</si>
  <si>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</si>
  <si>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</si>
  <si>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</si>
  <si>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</si>
  <si>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</si>
  <si>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</si>
  <si>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</si>
  <si>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</si>
  <si>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</si>
  <si>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</si>
  <si>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</si>
  <si>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</si>
  <si>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</si>
  <si>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</si>
  <si>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</si>
  <si>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</si>
  <si>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</si>
  <si>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</si>
  <si>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</si>
  <si>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</si>
  <si>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</si>
  <si>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</si>
  <si>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</si>
  <si>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</si>
  <si>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</si>
  <si>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</si>
  <si>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</si>
  <si>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</si>
  <si>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</si>
  <si>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</si>
  <si>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</si>
  <si>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</si>
  <si>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</si>
  <si>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</si>
  <si>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</si>
  <si>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</si>
  <si>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</si>
  <si>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</si>
  <si>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</si>
  <si>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</si>
  <si>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</si>
  <si>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</si>
  <si>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</si>
  <si>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</si>
  <si>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</si>
  <si>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</si>
  <si>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</si>
  <si>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</si>
  <si>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</si>
  <si>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</si>
  <si>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</si>
  <si>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</si>
  <si>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</si>
  <si>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</si>
  <si>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</si>
  <si>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</si>
  <si>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</si>
  <si>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</si>
  <si>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</si>
  <si>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</si>
  <si>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</si>
  <si>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</si>
  <si>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</si>
  <si>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</si>
  <si>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</si>
  <si>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</si>
  <si>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</si>
  <si>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</si>
  <si>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</si>
  <si>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</si>
  <si>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</si>
  <si>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</si>
  <si>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</si>
  <si>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</si>
  <si>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</si>
  <si>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</si>
  <si>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</si>
  <si>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</si>
  <si>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</si>
  <si>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</si>
  <si>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</si>
  <si>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</si>
  <si>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</si>
  <si>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</si>
  <si>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</si>
  <si>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</si>
  <si>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</si>
  <si>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</si>
  <si>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</si>
  <si>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</si>
  <si>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</si>
  <si>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</si>
  <si>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</si>
  <si>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</si>
  <si>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</si>
  <si>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</si>
  <si>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</si>
  <si>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</si>
  <si>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</si>
  <si>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</si>
  <si>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</si>
  <si>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</si>
  <si>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</si>
  <si>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</si>
  <si>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</si>
  <si>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</si>
  <si>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</si>
  <si>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</si>
  <si>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</si>
  <si>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</si>
  <si>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</si>
  <si>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</si>
  <si>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</si>
  <si>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</si>
  <si>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</si>
  <si>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</si>
  <si>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</si>
  <si>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</si>
  <si>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</si>
  <si>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</si>
  <si>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</si>
  <si>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</si>
  <si>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</si>
  <si>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</si>
  <si>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</si>
  <si>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</si>
  <si>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</si>
  <si>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</si>
  <si>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</si>
  <si>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</si>
  <si>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</si>
  <si>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</si>
  <si>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</si>
  <si>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</si>
  <si>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</si>
  <si>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</si>
  <si>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</si>
  <si>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</si>
  <si>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</si>
  <si>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</si>
  <si>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</si>
  <si>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</si>
  <si>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</si>
  <si>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</si>
  <si>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</si>
  <si>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</si>
  <si>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</si>
  <si>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</si>
  <si>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</si>
  <si>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</si>
  <si>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</si>
  <si>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</si>
  <si>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</si>
  <si>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</si>
  <si>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</si>
  <si>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</si>
  <si>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</si>
  <si>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</si>
  <si>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</si>
  <si>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</si>
  <si>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</si>
  <si>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</si>
  <si>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</si>
  <si>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</si>
  <si>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</si>
  <si>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</si>
  <si>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</si>
  <si>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</si>
  <si>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</si>
  <si>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</si>
  <si>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</si>
  <si>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</si>
  <si>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</si>
  <si>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</si>
  <si>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</si>
  <si>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</si>
  <si>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</si>
  <si>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</si>
  <si>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</si>
  <si>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</si>
  <si>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</si>
  <si>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</si>
  <si>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</si>
  <si>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</si>
  <si>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</si>
  <si>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</si>
  <si>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</si>
  <si>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</si>
  <si>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</si>
  <si>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</si>
  <si>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</si>
  <si>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</si>
  <si>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</si>
  <si>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</si>
  <si>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</si>
  <si>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</si>
  <si>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</si>
  <si>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</si>
  <si>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</si>
  <si>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</si>
  <si>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</si>
  <si>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</si>
  <si>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</si>
  <si>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</si>
  <si>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</si>
  <si>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</si>
  <si>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</si>
  <si>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</si>
  <si>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</si>
  <si>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</si>
  <si>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</si>
  <si>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</si>
  <si>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</si>
  <si>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</si>
  <si>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</si>
  <si>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</si>
  <si>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</si>
  <si>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</si>
  <si>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</si>
  <si>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</si>
  <si>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</si>
  <si>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</si>
  <si>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</si>
  <si>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</si>
  <si>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</si>
  <si>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</si>
  <si>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</si>
  <si>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</si>
  <si>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</si>
  <si>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</si>
  <si>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</si>
  <si>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</si>
  <si>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</si>
  <si>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</si>
  <si>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</si>
  <si>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</si>
  <si>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</si>
  <si>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</si>
  <si>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</si>
  <si>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</si>
  <si>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</si>
  <si>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</si>
  <si>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</si>
  <si>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</si>
  <si>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</si>
  <si>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</si>
  <si>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</si>
  <si>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</si>
  <si>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</si>
  <si>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</si>
  <si>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</si>
  <si>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</si>
  <si>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</si>
  <si>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</si>
  <si>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</si>
  <si>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</si>
  <si>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</si>
  <si>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</si>
  <si>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</si>
  <si>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</si>
  <si>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</si>
  <si>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</si>
  <si>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</si>
  <si>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</si>
  <si>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</si>
  <si>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</si>
  <si>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</si>
  <si>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</si>
  <si>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</si>
  <si>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</si>
  <si>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</si>
  <si>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</si>
  <si>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</si>
  <si>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</si>
  <si>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</si>
  <si>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</si>
  <si>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</si>
  <si>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</si>
  <si>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</si>
  <si>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</si>
  <si>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</si>
  <si>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</si>
  <si>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</si>
  <si>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</si>
  <si>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</si>
  <si>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</si>
  <si>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</si>
  <si>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</si>
  <si>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</si>
  <si>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</si>
  <si>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</si>
  <si>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</si>
  <si>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</si>
  <si>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</si>
  <si>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</si>
  <si>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</si>
  <si>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</si>
  <si>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</si>
  <si>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</si>
  <si>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</si>
  <si>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</si>
  <si>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</si>
  <si>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</si>
  <si>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</si>
  <si>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</si>
  <si>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</si>
  <si>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</si>
  <si>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</si>
  <si>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</si>
  <si>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</si>
  <si>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</si>
  <si>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</si>
  <si>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</si>
  <si>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</si>
  <si>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</si>
  <si>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</si>
  <si>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</si>
  <si>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</si>
  <si>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</si>
  <si>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</si>
  <si>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</si>
  <si>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</si>
  <si>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</si>
  <si>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</si>
  <si>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</si>
  <si>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</si>
  <si>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</si>
  <si>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</si>
  <si>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</si>
  <si>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</si>
  <si>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</si>
  <si>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</si>
  <si>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</si>
  <si>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</si>
  <si>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</si>
  <si>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</si>
  <si>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</si>
  <si>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</si>
  <si>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</si>
  <si>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</si>
  <si>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</si>
  <si>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</si>
  <si>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</si>
  <si>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</si>
  <si>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</si>
  <si>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</si>
  <si>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</si>
  <si>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</si>
  <si>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</si>
  <si>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</si>
  <si>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</si>
  <si>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</si>
  <si>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</si>
  <si>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</si>
  <si>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</si>
  <si>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</si>
  <si>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</si>
  <si>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</si>
  <si>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</si>
  <si>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</si>
  <si>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</si>
  <si>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</si>
  <si>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</si>
  <si>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</si>
  <si>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</si>
  <si>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</si>
  <si>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</si>
  <si>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</si>
  <si>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</si>
  <si>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</si>
  <si>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</si>
  <si>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</si>
  <si>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</si>
  <si>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</si>
  <si>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</si>
  <si>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</si>
  <si>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</si>
  <si>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</si>
  <si>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</si>
  <si>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</si>
  <si>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</si>
  <si>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</si>
  <si>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</si>
  <si>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</si>
  <si>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</si>
  <si>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</si>
  <si>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</si>
  <si>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</si>
  <si>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</si>
  <si>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</si>
  <si>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</si>
  <si>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</si>
  <si>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</si>
  <si>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</si>
  <si>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</si>
  <si>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</si>
  <si>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</si>
  <si>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</si>
  <si>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</si>
  <si>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</si>
  <si>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</si>
  <si>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</si>
  <si>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</si>
  <si>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</si>
  <si>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</si>
  <si>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</si>
  <si>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</si>
  <si>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</si>
  <si>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</si>
  <si>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</si>
  <si>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</si>
  <si>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</si>
  <si>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</si>
  <si>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</si>
  <si>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</si>
  <si>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</si>
  <si>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</si>
  <si>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</si>
  <si>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</si>
  <si>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</si>
  <si>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</si>
  <si>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</si>
  <si>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</si>
  <si>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</si>
  <si>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</si>
  <si>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</si>
  <si>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</si>
  <si>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</si>
  <si>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</si>
  <si>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</si>
  <si>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</si>
  <si>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</si>
  <si>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</si>
  <si>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</si>
  <si>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</si>
  <si>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</si>
  <si>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</si>
  <si>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</si>
  <si>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</si>
  <si>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</si>
  <si>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</si>
  <si>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</si>
  <si>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</si>
  <si>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</si>
  <si>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</si>
  <si>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</si>
  <si>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</si>
  <si>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</si>
  <si>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</si>
  <si>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</si>
  <si>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</si>
  <si>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</si>
  <si>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</si>
  <si>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</si>
  <si>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</si>
  <si>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</si>
  <si>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</si>
  <si>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</si>
  <si>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</si>
  <si>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</si>
  <si>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</si>
  <si>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</si>
  <si>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</si>
  <si>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</si>
  <si>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</si>
  <si>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</si>
  <si>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</si>
  <si>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</si>
  <si>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</si>
  <si>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</si>
  <si>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</si>
  <si>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</si>
  <si>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</si>
  <si>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</si>
  <si>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</si>
  <si>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</si>
  <si>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</si>
  <si>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</si>
  <si>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</si>
  <si>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</si>
  <si>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</si>
  <si>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</si>
  <si>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</si>
  <si>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</si>
  <si>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</si>
  <si>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</si>
  <si>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</si>
  <si>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</si>
  <si>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</si>
  <si>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</si>
  <si>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</si>
  <si>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</si>
  <si>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</si>
  <si>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</si>
  <si>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</si>
  <si>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</si>
  <si>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</si>
  <si>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</si>
  <si>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</si>
  <si>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</si>
  <si>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</si>
  <si>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</si>
  <si>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</si>
  <si>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</si>
  <si>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</si>
  <si>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</si>
  <si>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</si>
  <si>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</si>
  <si>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</si>
  <si>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</si>
  <si>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</si>
  <si>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</si>
  <si>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</si>
  <si>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</si>
  <si>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</si>
  <si>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</si>
  <si>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</si>
  <si>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</si>
  <si>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</si>
  <si>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</si>
  <si>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</si>
  <si>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</si>
  <si>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</si>
  <si>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</si>
  <si>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</si>
  <si>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</si>
  <si>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</si>
  <si>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</si>
  <si>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</si>
  <si>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</si>
  <si>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</si>
  <si>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</si>
  <si>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</si>
  <si>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</si>
  <si>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</si>
  <si>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</si>
  <si>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</si>
  <si>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</si>
  <si>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</si>
  <si>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</si>
  <si>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</si>
  <si>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</si>
  <si>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</si>
  <si>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</si>
  <si>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</si>
  <si>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</si>
  <si>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</si>
  <si>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</si>
  <si>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</si>
  <si>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</si>
  <si>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</si>
  <si>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</si>
  <si>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</si>
  <si>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</si>
  <si>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</si>
  <si>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</si>
  <si>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</si>
  <si>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</si>
  <si>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</si>
  <si>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</si>
  <si>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</si>
  <si>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</si>
  <si>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</si>
  <si>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</si>
  <si>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</si>
  <si>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</si>
  <si>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</si>
  <si>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</si>
  <si>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</si>
  <si>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</si>
  <si>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</si>
  <si>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</si>
  <si>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</si>
  <si>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</si>
  <si>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</si>
  <si>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</si>
  <si>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</si>
  <si>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</si>
  <si>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</si>
  <si>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</si>
  <si>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</si>
  <si>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</si>
  <si>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</si>
  <si>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</si>
  <si>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</si>
  <si>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</si>
  <si>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</si>
  <si>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</si>
  <si>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</si>
  <si>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</si>
  <si>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</si>
  <si>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</si>
  <si>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</si>
  <si>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</si>
  <si>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</si>
  <si>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</si>
  <si>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</si>
  <si>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</si>
  <si>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</si>
  <si>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</si>
  <si>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</si>
  <si>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</si>
  <si>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</si>
  <si>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</si>
  <si>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</si>
  <si>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</si>
  <si>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</si>
  <si>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</si>
  <si>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</si>
  <si>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</si>
  <si>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</si>
  <si>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</si>
  <si>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</si>
  <si>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</si>
  <si>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</si>
  <si>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</si>
  <si>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</si>
  <si>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</si>
  <si>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</si>
  <si>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</si>
  <si>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</si>
  <si>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</si>
  <si>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</si>
  <si>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</si>
  <si>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</si>
  <si>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</si>
  <si>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</si>
  <si>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</si>
  <si>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</si>
  <si>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</si>
  <si>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</si>
  <si>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</si>
  <si>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</si>
  <si>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</si>
  <si>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</si>
  <si>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</si>
  <si>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</si>
  <si>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</si>
  <si>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</si>
  <si>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</si>
  <si>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</si>
  <si>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</si>
  <si>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</si>
  <si>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</si>
  <si>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</si>
  <si>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</si>
  <si>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</si>
  <si>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</si>
  <si>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</si>
  <si>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</si>
  <si>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</si>
  <si>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</si>
  <si>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</si>
  <si>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</si>
  <si>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</si>
  <si>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</si>
  <si>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</si>
  <si>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</si>
  <si>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</si>
  <si>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</si>
  <si>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</si>
  <si>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</si>
  <si>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</si>
  <si>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</si>
  <si>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</si>
  <si>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</si>
  <si>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</si>
  <si>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</si>
  <si>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</si>
  <si>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</si>
  <si>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</si>
  <si>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</si>
  <si>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</si>
  <si>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</si>
  <si>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</si>
  <si>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</si>
  <si>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</si>
  <si>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</si>
  <si>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</si>
  <si>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</si>
  <si>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</si>
  <si>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</si>
  <si>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</si>
  <si>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</si>
  <si>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</si>
  <si>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</si>
  <si>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</si>
  <si>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</si>
  <si>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</si>
  <si>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</si>
  <si>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</si>
  <si>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</si>
  <si>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</si>
  <si>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</si>
  <si>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</si>
  <si>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</si>
  <si>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</si>
  <si>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</si>
  <si>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</si>
  <si>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</si>
  <si>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</si>
  <si>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</si>
  <si>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</si>
  <si>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</si>
  <si>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</si>
  <si>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</si>
  <si>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</si>
  <si>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</si>
  <si>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</si>
  <si>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</si>
  <si>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</si>
  <si>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</si>
  <si>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</si>
  <si>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</si>
  <si>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</si>
  <si>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</si>
  <si>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</si>
  <si>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</si>
  <si>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</si>
  <si>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</si>
  <si>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</si>
  <si>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</si>
  <si>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</si>
  <si>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</si>
  <si>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</si>
  <si>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</si>
  <si>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</si>
  <si>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</si>
  <si>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</si>
  <si>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</si>
  <si>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</si>
  <si>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</si>
  <si>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</si>
  <si>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</si>
  <si>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</si>
  <si>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</si>
  <si>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</si>
  <si>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</si>
  <si>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</si>
  <si>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</si>
  <si>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</si>
  <si>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</si>
  <si>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</si>
  <si>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</si>
  <si>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</si>
  <si>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</si>
  <si>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</si>
  <si>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</si>
  <si>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</si>
  <si>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</si>
  <si>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</si>
  <si>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</si>
  <si>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</si>
  <si>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</si>
  <si>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</si>
  <si>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</si>
  <si>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</si>
  <si>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</si>
  <si>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</si>
  <si>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</si>
  <si>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</si>
  <si>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</si>
  <si>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</si>
  <si>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</si>
  <si>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</si>
  <si>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</si>
  <si>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</si>
  <si>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</si>
  <si>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</si>
  <si>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</si>
  <si>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</si>
  <si>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</si>
  <si>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</si>
  <si>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</si>
  <si>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</si>
  <si>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</si>
  <si>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</si>
  <si>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</si>
  <si>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</si>
  <si>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</si>
  <si>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</si>
  <si>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</si>
  <si>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</si>
  <si>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</si>
  <si>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</si>
  <si>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</si>
  <si>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</si>
  <si>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</si>
  <si>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</si>
  <si>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</si>
  <si>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</si>
  <si>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</si>
  <si>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</si>
  <si>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</si>
  <si>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</si>
  <si>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</si>
  <si>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</si>
  <si>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</si>
  <si>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</si>
  <si>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</si>
  <si>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</si>
  <si>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</si>
  <si>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</si>
  <si>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</si>
  <si>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</si>
  <si>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</si>
  <si>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</si>
  <si>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</si>
  <si>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</si>
  <si>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</si>
  <si>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</si>
  <si>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</si>
  <si>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</si>
  <si>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</si>
  <si>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</si>
  <si>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</si>
  <si>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</si>
  <si>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</si>
  <si>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</si>
  <si>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</si>
  <si>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</si>
  <si>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</si>
  <si>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</si>
  <si>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</si>
  <si>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</si>
  <si>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</si>
  <si>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</si>
  <si>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</si>
  <si>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</si>
  <si>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</si>
  <si>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</si>
  <si>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</si>
  <si>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</si>
  <si>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</si>
  <si>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</si>
  <si>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</si>
  <si>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</si>
  <si>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</si>
  <si>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</si>
  <si>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</si>
  <si>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</si>
  <si>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</si>
  <si>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</si>
  <si>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</si>
  <si>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</si>
  <si>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</si>
  <si>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</si>
  <si>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</si>
  <si>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</si>
  <si>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</si>
  <si>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</si>
  <si>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</si>
  <si>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</si>
  <si>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</si>
  <si>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</si>
  <si>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</si>
  <si>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</si>
  <si>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</si>
  <si>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</si>
  <si>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</si>
  <si>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</si>
  <si>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</si>
  <si>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</si>
  <si>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</si>
  <si>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</si>
  <si>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</si>
  <si>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</si>
  <si>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</si>
  <si>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</si>
  <si>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</si>
  <si>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</si>
  <si>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</si>
  <si>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</si>
  <si>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</si>
  <si>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</si>
  <si>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</si>
  <si>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</si>
  <si>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</si>
  <si>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</si>
  <si>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</si>
  <si>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</si>
  <si>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</si>
  <si>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</si>
  <si>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</si>
  <si>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</si>
  <si>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</si>
  <si>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</si>
  <si>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</si>
  <si>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</si>
  <si>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</si>
  <si>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</si>
  <si>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</si>
  <si>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</si>
  <si>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</si>
  <si>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</si>
  <si>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</si>
  <si>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</si>
  <si>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</si>
  <si>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</si>
  <si>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</si>
  <si>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</si>
  <si>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</si>
  <si>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</si>
  <si>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</si>
  <si>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</si>
  <si>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</si>
  <si>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</si>
  <si>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</si>
  <si>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</si>
  <si>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</si>
  <si>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</si>
  <si>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</si>
  <si>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</si>
  <si>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</si>
  <si>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</si>
  <si>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</si>
  <si>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</si>
  <si>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</si>
  <si>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</si>
  <si>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</si>
  <si>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</si>
  <si>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</si>
  <si>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</si>
  <si>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</si>
  <si>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</si>
  <si>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</si>
  <si>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</si>
  <si>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</si>
  <si>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</si>
  <si>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</si>
  <si>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</si>
  <si>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</si>
  <si>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</si>
  <si>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</si>
  <si>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</si>
  <si>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</si>
  <si>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</si>
  <si>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</si>
  <si>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</si>
  <si>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</si>
  <si>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</si>
  <si>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</si>
  <si>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</si>
  <si>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</si>
  <si>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</si>
  <si>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</si>
  <si>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</si>
  <si>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</si>
  <si>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</si>
  <si>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</si>
  <si>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</si>
  <si>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</si>
  <si>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</si>
  <si>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</si>
  <si>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</si>
  <si>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</si>
  <si>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</si>
  <si>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</si>
  <si>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</si>
  <si>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</si>
  <si>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</si>
  <si>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</si>
  <si>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</si>
  <si>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</si>
  <si>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</si>
  <si>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</si>
  <si>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</si>
  <si>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</si>
  <si>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</si>
  <si>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</si>
  <si>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</si>
  <si>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</si>
  <si>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</si>
  <si>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</si>
  <si>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</si>
  <si>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</si>
  <si>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</si>
  <si>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</si>
  <si>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</si>
  <si>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</si>
  <si>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</si>
  <si>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</si>
  <si>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</si>
  <si>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</si>
  <si>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</si>
  <si>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</si>
  <si>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</si>
  <si>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</si>
  <si>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</si>
  <si>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</si>
  <si>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</si>
  <si>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</si>
  <si>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</si>
  <si>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</si>
  <si>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</si>
  <si>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</si>
  <si>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</si>
  <si>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</si>
  <si>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</si>
  <si>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</si>
  <si>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</si>
  <si>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</si>
  <si>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</si>
  <si>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</si>
  <si>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</si>
  <si>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</si>
  <si>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</si>
  <si>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</si>
  <si>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</si>
  <si>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</si>
  <si>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</si>
  <si>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</si>
  <si>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</si>
  <si>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</si>
  <si>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</si>
  <si>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</si>
  <si>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</si>
  <si>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</si>
  <si>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</si>
  <si>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</si>
  <si>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</si>
  <si>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</si>
  <si>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</si>
  <si>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</si>
  <si>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</si>
  <si>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</si>
  <si>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</si>
  <si>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</si>
  <si>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</si>
  <si>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</si>
  <si>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</si>
  <si>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</si>
  <si>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</si>
  <si>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</si>
  <si>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</si>
  <si>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</si>
  <si>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</si>
  <si>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</si>
  <si>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</si>
  <si>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</si>
  <si>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</si>
  <si>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</si>
  <si>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</si>
  <si>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</si>
  <si>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</si>
  <si>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</si>
  <si>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</si>
  <si>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</si>
  <si>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</si>
  <si>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</si>
  <si>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</si>
  <si>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</si>
  <si>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</si>
  <si>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</si>
  <si>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</si>
  <si>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</si>
  <si>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</si>
  <si>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</si>
  <si>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</si>
  <si>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</si>
  <si>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</si>
  <si>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</si>
  <si>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</si>
  <si>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</si>
  <si>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</si>
  <si>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</si>
  <si>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</si>
  <si>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</si>
  <si>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</si>
  <si>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</si>
  <si>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</si>
  <si>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</si>
  <si>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</si>
  <si>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</si>
  <si>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</si>
  <si>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</si>
  <si>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</si>
  <si>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</si>
  <si>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</si>
  <si>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</si>
  <si>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</si>
  <si>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</si>
  <si>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</si>
  <si>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</si>
  <si>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</si>
  <si>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</si>
  <si>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</si>
  <si>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</si>
  <si>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</si>
  <si>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</si>
  <si>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</si>
  <si>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</si>
  <si>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</si>
  <si>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</si>
  <si>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</si>
  <si>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</si>
  <si>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</si>
  <si>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</si>
  <si>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</si>
  <si>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</si>
  <si>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</si>
  <si>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</si>
  <si>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</si>
  <si>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</si>
  <si>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</si>
  <si>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</si>
  <si>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</si>
  <si>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</si>
  <si>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</si>
  <si>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</si>
  <si>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</si>
  <si>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</si>
  <si>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</si>
  <si>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</si>
  <si>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</si>
  <si>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</si>
  <si>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</si>
  <si>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</si>
  <si>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</si>
  <si>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</si>
  <si>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</si>
  <si>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</si>
  <si>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</si>
  <si>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</si>
  <si>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</si>
  <si>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</si>
  <si>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</si>
  <si>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</si>
  <si>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</si>
  <si>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</si>
  <si>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</si>
  <si>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</si>
  <si>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</si>
  <si>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</si>
  <si>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</si>
  <si>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</si>
  <si>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</si>
  <si>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</si>
  <si>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</si>
  <si>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</si>
  <si>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</si>
  <si>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</si>
  <si>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</si>
  <si>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</si>
  <si>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</si>
  <si>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</si>
  <si>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</si>
  <si>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</si>
  <si>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</si>
  <si>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</si>
  <si>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</si>
  <si>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</si>
  <si>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</si>
  <si>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</si>
  <si>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</si>
  <si>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</si>
  <si>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</si>
  <si>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</si>
  <si>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</si>
  <si>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</si>
  <si>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</si>
  <si>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</si>
  <si>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</si>
  <si>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</si>
  <si>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</si>
  <si>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</si>
  <si>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</si>
  <si>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</si>
  <si>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</si>
  <si>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</si>
  <si>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</si>
  <si>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</si>
  <si>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</si>
  <si>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</si>
  <si>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</si>
  <si>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</si>
  <si>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</si>
  <si>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</si>
  <si>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</si>
  <si>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</si>
  <si>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</si>
  <si>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</si>
  <si>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</si>
  <si>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</si>
  <si>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</si>
  <si>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</si>
  <si>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</si>
  <si>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</si>
  <si>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</si>
  <si>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</si>
  <si>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</si>
  <si>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</si>
  <si>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</si>
  <si>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</si>
  <si>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</si>
  <si>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</si>
  <si>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</si>
  <si>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</si>
  <si>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</si>
  <si>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</si>
  <si>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</si>
  <si>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</si>
  <si>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</si>
  <si>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</si>
  <si>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</si>
  <si>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</si>
  <si>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</si>
  <si>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</si>
  <si>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</si>
  <si>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</si>
  <si>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</si>
  <si>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</si>
  <si>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</si>
  <si>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</si>
  <si>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</si>
  <si>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</si>
  <si>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</si>
  <si>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</si>
  <si>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</si>
  <si>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</si>
  <si>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</si>
  <si>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</si>
  <si>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</si>
  <si>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</si>
  <si>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</si>
  <si>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</si>
  <si>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</si>
  <si>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</si>
  <si>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</si>
  <si>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</si>
  <si>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</si>
  <si>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</si>
  <si>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</si>
  <si>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</si>
  <si>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</si>
  <si>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</si>
  <si>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</si>
  <si>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</si>
  <si>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</si>
  <si>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</si>
  <si>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</si>
  <si>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</si>
  <si>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</si>
  <si>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</si>
  <si>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</si>
  <si>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</si>
  <si>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</si>
  <si>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</si>
  <si>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</si>
  <si>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</si>
  <si>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</si>
  <si>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</si>
  <si>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</si>
  <si>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</si>
  <si>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</si>
  <si>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</si>
  <si>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</si>
  <si>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</si>
  <si>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</si>
  <si>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</si>
  <si>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</si>
  <si>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</si>
  <si>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</si>
  <si>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</si>
  <si>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</si>
  <si>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</si>
  <si>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</si>
  <si>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</si>
  <si>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</si>
  <si>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</si>
  <si>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</si>
  <si>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</si>
  <si>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</si>
  <si>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</si>
  <si>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</si>
  <si>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</si>
  <si>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</si>
  <si>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</si>
  <si>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</si>
  <si>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</si>
  <si>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</si>
  <si>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</si>
  <si>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</si>
  <si>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</si>
  <si>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</si>
  <si>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</si>
  <si>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</si>
  <si>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</si>
  <si>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</si>
  <si>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</si>
  <si>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</si>
  <si>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</si>
  <si>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</si>
  <si>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</si>
  <si>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</si>
  <si>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</si>
  <si>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</si>
  <si>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</si>
  <si>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</si>
  <si>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</si>
  <si>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</si>
  <si>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</si>
  <si>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</si>
  <si>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</si>
  <si>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</si>
  <si>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</si>
  <si>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</si>
  <si>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</si>
  <si>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</si>
  <si>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</si>
  <si>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</si>
  <si>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</si>
  <si>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</si>
  <si>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</si>
  <si>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</si>
  <si>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</si>
  <si>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</si>
  <si>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</si>
  <si>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</si>
  <si>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</si>
  <si>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</si>
  <si>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</si>
  <si>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</si>
  <si>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</si>
  <si>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</si>
  <si>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</si>
  <si>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</si>
  <si>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</si>
  <si>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</si>
  <si>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</si>
  <si>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</si>
  <si>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</si>
  <si>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</si>
  <si>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</si>
  <si>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</si>
  <si>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</si>
  <si>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</si>
  <si>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</si>
  <si>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</si>
  <si>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</si>
  <si>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</si>
  <si>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</si>
  <si>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</si>
  <si>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</si>
  <si>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</si>
  <si>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</si>
  <si>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</si>
  <si>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</si>
  <si>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</si>
  <si>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</si>
  <si>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</si>
  <si>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</si>
  <si>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</si>
  <si>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</si>
  <si>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</si>
  <si>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</si>
  <si>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</si>
  <si>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</si>
  <si>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</si>
  <si>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</si>
  <si>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</si>
  <si>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</si>
  <si>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</si>
  <si>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</si>
  <si>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</si>
  <si>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</si>
  <si>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</si>
  <si>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</si>
  <si>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</si>
  <si>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</si>
  <si>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</si>
  <si>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</si>
  <si>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</si>
  <si>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</si>
  <si>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</si>
  <si>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</si>
  <si>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</si>
  <si>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</si>
  <si>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</si>
  <si>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</si>
  <si>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</si>
  <si>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</si>
  <si>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</si>
  <si>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</si>
  <si>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</si>
  <si>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</si>
  <si>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</si>
  <si>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</si>
  <si>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</si>
  <si>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</si>
  <si>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</si>
  <si>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</si>
  <si>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</si>
  <si>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</si>
  <si>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</si>
  <si>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</si>
  <si>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</si>
  <si>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</si>
  <si>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</si>
  <si>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</si>
  <si>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</si>
  <si>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</si>
  <si>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</si>
  <si>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</si>
  <si>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</si>
  <si>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</si>
  <si>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</si>
  <si>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</si>
  <si>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</si>
  <si>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</si>
  <si>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</si>
  <si>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</si>
  <si>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</si>
  <si>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</si>
  <si>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</si>
  <si>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</si>
  <si>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</si>
  <si>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</si>
  <si>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</si>
  <si>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</si>
  <si>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</si>
  <si>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</si>
  <si>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</si>
  <si>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</si>
  <si>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</si>
  <si>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</si>
  <si>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</si>
  <si>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</si>
  <si>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</si>
  <si>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</si>
  <si>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</si>
  <si>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</si>
  <si>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</si>
  <si>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</si>
  <si>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</si>
  <si>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</si>
  <si>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</si>
  <si>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</si>
  <si>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</si>
  <si>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</si>
  <si>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</si>
  <si>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</si>
  <si>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</si>
  <si>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</si>
  <si>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</si>
  <si>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</si>
  <si>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</si>
  <si>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</si>
  <si>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</si>
  <si>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</si>
  <si>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</si>
  <si>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</si>
  <si>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</si>
  <si>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</si>
  <si>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</si>
  <si>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</si>
  <si>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</si>
  <si>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</si>
  <si>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</si>
  <si>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</si>
  <si>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</si>
  <si>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</si>
  <si>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</si>
  <si>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</si>
  <si>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</si>
  <si>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</si>
  <si>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</si>
  <si>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</si>
  <si>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</si>
  <si>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</si>
  <si>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</si>
  <si>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</si>
  <si>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</si>
  <si>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</si>
  <si>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</si>
  <si>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</si>
  <si>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</si>
  <si>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</si>
  <si>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</si>
  <si>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</si>
  <si>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</si>
  <si>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</si>
  <si>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</si>
  <si>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</si>
  <si>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</si>
  <si>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</si>
  <si>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</si>
  <si>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</si>
  <si>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</si>
  <si>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</si>
  <si>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</si>
  <si>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</si>
  <si>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</si>
  <si>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</si>
  <si>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</si>
  <si>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</si>
  <si>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</si>
  <si>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</si>
  <si>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</si>
  <si>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</si>
  <si>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</si>
  <si>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</si>
  <si>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</si>
  <si>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</si>
  <si>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</si>
  <si>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</si>
  <si>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</si>
  <si>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</si>
  <si>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</si>
  <si>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</si>
  <si>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</si>
  <si>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</si>
  <si>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</si>
  <si>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</si>
  <si>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</si>
  <si>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</si>
  <si>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</si>
  <si>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</si>
  <si>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</si>
  <si>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</si>
  <si>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</si>
  <si>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</si>
  <si>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</si>
  <si>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</si>
  <si>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</si>
  <si>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</si>
  <si>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</si>
  <si>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</si>
  <si>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</si>
  <si>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</si>
  <si>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</si>
  <si>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</si>
  <si>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</si>
  <si>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</si>
  <si>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</si>
  <si>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</si>
  <si>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</si>
  <si>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</si>
  <si>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</si>
  <si>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</si>
  <si>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</si>
  <si>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</si>
  <si>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</si>
  <si>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</si>
  <si>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</si>
  <si>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</si>
  <si>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</si>
  <si>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</si>
  <si>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</si>
  <si>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</si>
  <si>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</si>
  <si>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</si>
  <si>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</si>
  <si>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</si>
  <si>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</si>
  <si>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</si>
  <si>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</si>
  <si>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</si>
  <si>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</si>
  <si>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</si>
  <si>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</si>
  <si>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</si>
  <si>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</si>
  <si>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</si>
  <si>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</si>
  <si>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</si>
  <si>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</si>
  <si>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</si>
  <si>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</si>
  <si>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</si>
  <si>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</si>
  <si>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</si>
  <si>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</si>
  <si>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</si>
  <si>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</si>
  <si>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</si>
  <si>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</si>
  <si>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</si>
  <si>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</si>
  <si>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</si>
  <si>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</si>
  <si>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</si>
  <si>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</si>
  <si>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</si>
  <si>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</si>
  <si>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</si>
  <si>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</si>
  <si>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</si>
  <si>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</si>
  <si>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</si>
  <si>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</si>
  <si>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</si>
  <si>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</si>
  <si>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</si>
  <si>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</si>
  <si>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</si>
  <si>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</si>
  <si>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</si>
  <si>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</si>
  <si>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</si>
  <si>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</si>
  <si>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</si>
  <si>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</si>
  <si>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</si>
  <si>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</si>
  <si>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</si>
  <si>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</si>
  <si>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</si>
  <si>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</si>
  <si>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</si>
  <si>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</si>
  <si>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</si>
  <si>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</si>
  <si>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</si>
  <si>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</si>
  <si>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</si>
  <si>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</si>
  <si>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</si>
  <si>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</si>
  <si>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</si>
  <si>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</si>
  <si>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</si>
  <si>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</si>
  <si>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</si>
  <si>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</si>
  <si>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</si>
  <si>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</si>
  <si>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</si>
  <si>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</si>
  <si>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</si>
  <si>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</si>
  <si>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</si>
  <si>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</si>
  <si>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</si>
  <si>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</si>
  <si>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</si>
  <si>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</si>
  <si>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</si>
  <si>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</si>
  <si>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</si>
  <si>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</si>
  <si>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</si>
  <si>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</si>
  <si>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</si>
  <si>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</si>
  <si>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</si>
  <si>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</si>
  <si>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</si>
  <si>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</si>
  <si>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</si>
  <si>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</si>
  <si>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</si>
  <si>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</si>
  <si>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</si>
  <si>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</si>
  <si>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</si>
  <si>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</si>
  <si>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</si>
  <si>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</si>
  <si>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</si>
  <si>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</si>
  <si>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</si>
  <si>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</si>
  <si>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</si>
  <si>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</si>
  <si>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</si>
  <si>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</si>
  <si>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</si>
  <si>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</si>
  <si>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</si>
  <si>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</si>
  <si>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</si>
  <si>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</si>
  <si>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</si>
  <si>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</si>
  <si>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</si>
  <si>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</si>
  <si>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</si>
  <si>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</si>
  <si>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</si>
  <si>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</si>
  <si>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</si>
  <si>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</si>
  <si>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</si>
  <si>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</si>
  <si>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</si>
  <si>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</si>
  <si>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</si>
  <si>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</si>
  <si>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</si>
  <si>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</si>
  <si>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</si>
  <si>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</si>
  <si>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</si>
  <si>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</si>
  <si>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</si>
  <si>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</si>
  <si>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</si>
  <si>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</si>
  <si>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</si>
  <si>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</si>
  <si>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</si>
  <si>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</si>
  <si>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</si>
  <si>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</si>
  <si>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</si>
  <si>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</si>
  <si>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</si>
  <si>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</si>
  <si>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</si>
  <si>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</si>
  <si>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</si>
  <si>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</si>
  <si>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</si>
  <si>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</si>
  <si>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</si>
  <si>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</si>
  <si>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</si>
  <si>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</si>
  <si>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</si>
  <si>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</si>
  <si>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</si>
  <si>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</si>
  <si>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</si>
  <si>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</si>
  <si>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</si>
  <si>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</si>
  <si>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</si>
  <si>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</si>
  <si>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</si>
  <si>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</si>
  <si>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</si>
  <si>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</si>
  <si>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</si>
  <si>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</si>
  <si>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</si>
  <si>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</si>
  <si>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</si>
  <si>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</si>
  <si>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</si>
  <si>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</si>
  <si>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</si>
  <si>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</si>
  <si>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</si>
  <si>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</si>
  <si>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</si>
  <si>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</si>
  <si>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</si>
  <si>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</si>
  <si>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</si>
  <si>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</si>
  <si>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</si>
  <si>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</si>
  <si>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</si>
  <si>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</si>
  <si>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</si>
  <si>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</si>
  <si>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</si>
  <si>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</si>
  <si>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</si>
  <si>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</si>
  <si>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</si>
  <si>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</si>
  <si>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</si>
  <si>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</si>
  <si>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</si>
  <si>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</si>
  <si>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</si>
  <si>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</si>
  <si>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</si>
  <si>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</si>
  <si>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</si>
  <si>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</si>
  <si>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</si>
  <si>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</si>
  <si>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</si>
  <si>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</si>
  <si>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</si>
  <si>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</si>
  <si>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</si>
  <si>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</si>
  <si>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</si>
  <si>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</si>
  <si>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</si>
  <si>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</si>
  <si>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</si>
  <si>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</si>
  <si>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</si>
  <si>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</si>
  <si>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</si>
  <si>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</si>
  <si>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</si>
  <si>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</si>
  <si>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</si>
  <si>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</si>
  <si>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</si>
  <si>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</si>
  <si>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</si>
  <si>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</si>
  <si>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</si>
  <si>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</si>
  <si>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</si>
  <si>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</si>
  <si>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</si>
  <si>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</si>
  <si>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</si>
  <si>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</si>
  <si>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</si>
  <si>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</si>
  <si>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</si>
  <si>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</si>
  <si>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</si>
  <si>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</si>
  <si>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</si>
  <si>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</si>
  <si>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</si>
  <si>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</si>
  <si>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</si>
  <si>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</si>
  <si>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</si>
  <si>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</si>
  <si>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</si>
  <si>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</si>
  <si>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</si>
  <si>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</si>
  <si>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</si>
  <si>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</si>
  <si>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</si>
  <si>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</si>
  <si>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</si>
  <si>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</si>
  <si>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</si>
  <si>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</si>
  <si>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</si>
  <si>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</si>
  <si>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</si>
  <si>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</si>
  <si>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</si>
  <si>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</si>
  <si>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</si>
  <si>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</si>
  <si>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</si>
  <si>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</si>
  <si>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</si>
  <si>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</si>
  <si>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</si>
  <si>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</si>
  <si>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</si>
  <si>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</si>
  <si>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</si>
  <si>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</si>
  <si>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</si>
  <si>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</si>
  <si>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</si>
  <si>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</si>
  <si>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</si>
  <si>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</si>
  <si>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</si>
  <si>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</si>
  <si>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</si>
  <si>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</si>
  <si>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</si>
  <si>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</si>
  <si>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</si>
  <si>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</si>
  <si>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</si>
  <si>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</si>
  <si>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</si>
  <si>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</si>
  <si>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</si>
  <si>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</si>
  <si>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</si>
  <si>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</si>
  <si>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</si>
  <si>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</si>
  <si>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</si>
  <si>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</si>
  <si>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</si>
  <si>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</si>
  <si>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</si>
  <si>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</si>
  <si>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</si>
  <si>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</si>
  <si>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</si>
  <si>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</si>
  <si>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</si>
  <si>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</si>
  <si>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</si>
  <si>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</si>
  <si>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</si>
  <si>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</si>
  <si>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</si>
  <si>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</si>
  <si>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</si>
  <si>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</si>
  <si>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</si>
  <si>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</si>
  <si>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</si>
  <si>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</si>
  <si>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</si>
  <si>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</si>
  <si>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</si>
  <si>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</si>
  <si>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</si>
  <si>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</si>
  <si>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</si>
  <si>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</si>
  <si>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</si>
  <si>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</si>
  <si>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</si>
  <si>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</si>
  <si>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</si>
  <si>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</si>
  <si>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</si>
  <si>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</si>
  <si>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</si>
  <si>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</si>
  <si>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</si>
  <si>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</si>
  <si>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</si>
  <si>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</si>
  <si>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</si>
  <si>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</si>
  <si>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</si>
  <si>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</si>
  <si>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</si>
  <si>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</si>
  <si>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</si>
  <si>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</si>
  <si>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</si>
  <si>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</si>
  <si>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</si>
  <si>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</si>
  <si>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</si>
  <si>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</si>
  <si>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</si>
  <si>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</si>
  <si>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</si>
  <si>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</si>
  <si>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</si>
  <si>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</si>
  <si>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</si>
  <si>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</si>
  <si>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</si>
  <si>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</si>
  <si>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</si>
  <si>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</si>
  <si>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</si>
  <si>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</si>
  <si>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</si>
  <si>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</si>
  <si>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</si>
  <si>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</si>
  <si>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</si>
  <si>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</si>
  <si>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</si>
  <si>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</si>
  <si>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</si>
  <si>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</si>
  <si>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</si>
  <si>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</si>
  <si>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</si>
  <si>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</si>
  <si>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</si>
  <si>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</si>
  <si>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</si>
  <si>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</si>
  <si>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</si>
  <si>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</si>
  <si>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</si>
  <si>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</si>
  <si>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</si>
  <si>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</si>
  <si>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</si>
  <si>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</si>
  <si>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</si>
  <si>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</si>
  <si>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</si>
  <si>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</si>
  <si>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</si>
  <si>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</si>
  <si>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</si>
  <si>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</si>
  <si>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</si>
  <si>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</si>
  <si>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</si>
  <si>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</si>
  <si>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</si>
  <si>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</si>
  <si>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</si>
  <si>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</si>
  <si>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</si>
  <si>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</si>
  <si>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</si>
  <si>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</si>
  <si>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</si>
  <si>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</si>
  <si>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</si>
  <si>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</si>
  <si>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</si>
  <si>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</si>
  <si>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</si>
  <si>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</si>
  <si>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</si>
  <si>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</si>
  <si>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</si>
  <si>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</si>
  <si>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</si>
  <si>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</si>
  <si>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</si>
  <si>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</si>
  <si>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</si>
  <si>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</si>
  <si>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</si>
  <si>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</si>
  <si>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</si>
  <si>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</si>
  <si>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</si>
  <si>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</si>
  <si>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</si>
  <si>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</si>
  <si>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</si>
  <si>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</si>
  <si>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</si>
  <si>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</si>
  <si>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</si>
  <si>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</si>
  <si>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</si>
  <si>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</si>
  <si>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</si>
  <si>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</si>
  <si>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</si>
  <si>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</si>
  <si>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</si>
  <si>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</si>
  <si>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</si>
  <si>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</si>
  <si>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</si>
  <si>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</si>
  <si>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</si>
  <si>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</si>
  <si>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</si>
  <si>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</si>
  <si>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</si>
  <si>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</si>
  <si>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</si>
  <si>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</si>
  <si>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</si>
  <si>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</si>
  <si>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</si>
  <si>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</si>
  <si>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</si>
  <si>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</si>
  <si>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</si>
  <si>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</si>
  <si>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</si>
  <si>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</si>
  <si>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</si>
  <si>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</si>
  <si>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</si>
  <si>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</si>
  <si>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</si>
  <si>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</si>
  <si>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</si>
  <si>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</si>
  <si>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</si>
  <si>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</si>
  <si>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</si>
  <si>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</si>
  <si>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</si>
  <si>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</si>
  <si>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</si>
  <si>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</si>
  <si>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</si>
  <si>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</si>
  <si>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</si>
  <si>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</si>
  <si>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</si>
  <si>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</si>
  <si>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</si>
  <si>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</si>
  <si>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</si>
  <si>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</si>
  <si>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</si>
  <si>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</si>
  <si>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</si>
  <si>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</si>
  <si>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</si>
  <si>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</si>
  <si>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</si>
  <si>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</si>
  <si>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</si>
  <si>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</si>
  <si>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</si>
  <si>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</si>
  <si>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</si>
  <si>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</si>
  <si>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</si>
  <si>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</si>
  <si>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</si>
  <si>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</si>
  <si>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</si>
  <si>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</si>
  <si>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</si>
  <si>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</si>
  <si>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</si>
  <si>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</si>
  <si>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</si>
  <si>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</si>
  <si>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</si>
  <si>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</si>
  <si>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</si>
  <si>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</si>
  <si>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</si>
  <si>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</si>
  <si>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</si>
  <si>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</si>
  <si>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</si>
  <si>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</si>
  <si>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</si>
  <si>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</si>
  <si>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</si>
  <si>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</si>
  <si>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</si>
  <si>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</si>
  <si>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</si>
  <si>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</si>
  <si>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</si>
  <si>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</si>
  <si>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</si>
  <si>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</si>
  <si>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</si>
  <si>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</si>
  <si>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</si>
  <si>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</si>
  <si>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</si>
  <si>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</si>
  <si>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</si>
  <si>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</si>
  <si>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</si>
  <si>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</si>
  <si>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</si>
  <si>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</si>
  <si>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</si>
  <si>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</si>
  <si>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</si>
  <si>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</si>
  <si>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</si>
  <si>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</si>
  <si>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</si>
  <si>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</si>
  <si>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</si>
  <si>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</si>
  <si>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</si>
  <si>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</si>
  <si>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</si>
  <si>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</si>
  <si>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</si>
  <si>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</si>
  <si>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</si>
  <si>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</si>
  <si>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</si>
  <si>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</si>
  <si>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</si>
  <si>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</si>
  <si>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</si>
  <si>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</si>
  <si>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</si>
  <si>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</si>
  <si>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</si>
  <si>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</si>
  <si>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</si>
  <si>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</si>
  <si>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</si>
  <si>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</si>
  <si>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</si>
  <si>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</si>
  <si>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</si>
  <si>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</si>
  <si>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</si>
  <si>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</si>
  <si>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</si>
  <si>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</si>
  <si>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</si>
  <si>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</si>
  <si>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</si>
  <si>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</si>
  <si>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</si>
  <si>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</si>
  <si>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</si>
  <si>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</si>
  <si>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</si>
  <si>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</si>
  <si>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</si>
  <si>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</si>
  <si>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</si>
  <si>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</si>
  <si>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</si>
  <si>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</si>
  <si>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</si>
  <si>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</si>
  <si>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</si>
  <si>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</si>
  <si>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</si>
  <si>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</si>
  <si>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</si>
  <si>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</si>
  <si>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</si>
  <si>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</si>
  <si>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</si>
  <si>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</si>
  <si>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</si>
  <si>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</si>
  <si>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</si>
  <si>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</si>
  <si>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</si>
  <si>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</si>
  <si>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</si>
  <si>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</si>
  <si>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</si>
  <si>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</si>
  <si>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</si>
  <si>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</si>
  <si>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</si>
  <si>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</si>
  <si>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</si>
  <si>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</si>
  <si>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</si>
  <si>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</si>
  <si>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</si>
  <si>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</si>
  <si>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</si>
  <si>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</si>
  <si>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</si>
  <si>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</si>
  <si>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</si>
  <si>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</si>
  <si>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</si>
  <si>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</si>
  <si>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</si>
  <si>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</si>
  <si>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</si>
  <si>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</si>
  <si>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</si>
  <si>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</si>
  <si>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</si>
  <si>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</si>
  <si>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</si>
  <si>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</si>
  <si>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</si>
  <si>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</si>
  <si>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</si>
  <si>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</si>
  <si>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</si>
  <si>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</si>
  <si>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</si>
  <si>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</si>
  <si>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</si>
  <si>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</si>
  <si>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</si>
  <si>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</si>
  <si>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</si>
  <si>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</si>
  <si>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</si>
  <si>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</si>
  <si>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</si>
  <si>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</si>
  <si>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</si>
  <si>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</si>
  <si>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</si>
  <si>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</si>
  <si>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</si>
  <si>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</si>
  <si>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</si>
  <si>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</si>
  <si>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</si>
  <si>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</si>
  <si>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</si>
  <si>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</si>
  <si>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</si>
  <si>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</si>
  <si>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</si>
  <si>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</si>
  <si>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</si>
  <si>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</si>
  <si>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</si>
  <si>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</si>
  <si>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</si>
  <si>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</si>
  <si>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</si>
  <si>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</si>
  <si>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</si>
  <si>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</si>
  <si>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</si>
  <si>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</si>
  <si>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</si>
  <si>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</si>
  <si>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</si>
  <si>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</si>
  <si>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</si>
  <si>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</si>
  <si>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</si>
  <si>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</si>
  <si>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</si>
  <si>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</si>
  <si>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</si>
  <si>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</si>
  <si>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</si>
  <si>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</si>
  <si>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</si>
  <si>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</si>
  <si>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</si>
  <si>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</si>
  <si>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</si>
  <si>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</si>
  <si>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</si>
  <si>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</si>
  <si>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</si>
  <si>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</si>
  <si>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</si>
  <si>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</si>
  <si>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</si>
  <si>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</si>
  <si>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</si>
  <si>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</si>
  <si>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</si>
  <si>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</si>
  <si>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</si>
  <si>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</si>
  <si>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</si>
  <si>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</si>
  <si>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</si>
  <si>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</si>
  <si>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</si>
  <si>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</si>
  <si>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</si>
  <si>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</si>
  <si>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</si>
  <si>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</si>
  <si>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</si>
  <si>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</si>
  <si>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</si>
  <si>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</si>
  <si>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</si>
  <si>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</si>
  <si>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</si>
  <si>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</si>
  <si>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</si>
  <si>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</si>
  <si>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</si>
  <si>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</si>
  <si>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</si>
  <si>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</si>
  <si>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</si>
  <si>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</si>
  <si>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</si>
  <si>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</si>
  <si>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</si>
  <si>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</si>
  <si>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</si>
  <si>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</si>
  <si>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</si>
  <si>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</si>
  <si>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</si>
  <si>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</si>
  <si>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</si>
  <si>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</si>
  <si>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</si>
  <si>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</si>
  <si>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</si>
  <si>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</si>
  <si>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</si>
  <si>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</si>
  <si>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</si>
  <si>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</si>
  <si>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</si>
  <si>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</si>
  <si>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</si>
  <si>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</si>
  <si>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</si>
  <si>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</si>
  <si>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</si>
  <si>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</si>
  <si>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</si>
  <si>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</si>
  <si>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</si>
  <si>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</si>
  <si>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</si>
  <si>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</si>
  <si>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</si>
  <si>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</si>
  <si>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</si>
  <si>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</si>
  <si>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</si>
  <si>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</si>
  <si>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</si>
  <si>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</si>
  <si>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</si>
  <si>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</si>
  <si>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</si>
  <si>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</si>
  <si>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</si>
  <si>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</si>
  <si>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</si>
  <si>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</si>
  <si>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</si>
  <si>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</si>
  <si>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</si>
  <si>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</si>
  <si>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</si>
  <si>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</si>
  <si>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</si>
  <si>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</si>
  <si>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</si>
  <si>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</si>
  <si>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</si>
  <si>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</si>
  <si>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</si>
  <si>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</si>
  <si>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</si>
  <si>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</si>
  <si>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</si>
  <si>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</si>
  <si>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</si>
  <si>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</si>
  <si>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</si>
  <si>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</si>
  <si>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</si>
  <si>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</si>
  <si>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</si>
  <si>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</si>
  <si>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</si>
  <si>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</si>
  <si>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</si>
  <si>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</si>
  <si>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</si>
  <si>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</si>
  <si>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</si>
  <si>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</si>
  <si>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</si>
  <si>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</si>
  <si>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</si>
  <si>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</si>
  <si>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</si>
  <si>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</si>
  <si>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</si>
  <si>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</si>
  <si>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</si>
  <si>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</si>
  <si>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</si>
  <si>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</si>
  <si>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</si>
  <si>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</si>
  <si>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</si>
  <si>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</si>
  <si>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</si>
  <si>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</si>
  <si>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</si>
  <si>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</si>
  <si>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</si>
  <si>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</si>
  <si>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</si>
  <si>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</si>
  <si>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</si>
  <si>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</si>
  <si>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</si>
  <si>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</si>
  <si>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</si>
  <si>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</si>
  <si>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</si>
  <si>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</si>
  <si>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</si>
  <si>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</si>
  <si>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</si>
  <si>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</si>
  <si>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</si>
  <si>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</si>
  <si>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</si>
  <si>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</si>
  <si>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</si>
  <si>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</si>
  <si>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</si>
  <si>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</si>
  <si>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</si>
  <si>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</si>
  <si>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</si>
  <si>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</si>
  <si>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</si>
  <si>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</si>
  <si>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</si>
  <si>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</si>
  <si>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</si>
  <si>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</si>
  <si>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</si>
  <si>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</si>
  <si>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</si>
  <si>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</si>
  <si>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</si>
  <si>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</si>
  <si>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</si>
  <si>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</si>
  <si>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</si>
  <si>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</si>
  <si>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</si>
  <si>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</si>
  <si>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</si>
  <si>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</si>
  <si>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</si>
  <si>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</si>
  <si>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</si>
  <si>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</si>
  <si>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</si>
  <si>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</si>
  <si>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</si>
  <si>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</si>
  <si>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</si>
  <si>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</si>
  <si>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</si>
  <si>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</si>
  <si>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</si>
  <si>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</si>
  <si>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</si>
  <si>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</si>
  <si>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</si>
  <si>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</si>
  <si>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</si>
  <si>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</si>
  <si>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</si>
  <si>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</si>
  <si>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</si>
  <si>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</si>
  <si>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</si>
  <si>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</si>
  <si>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</si>
  <si>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</si>
  <si>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</si>
  <si>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</si>
  <si>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</si>
  <si>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</si>
  <si>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</si>
  <si>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</si>
  <si>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</si>
  <si>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</si>
  <si>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</si>
  <si>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</si>
  <si>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</si>
  <si>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</si>
  <si>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</si>
  <si>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</si>
  <si>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</si>
  <si>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</si>
  <si>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</si>
  <si>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</si>
  <si>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</si>
  <si>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</si>
  <si>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</si>
  <si>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</si>
  <si>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</si>
  <si>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</si>
  <si>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</si>
  <si>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</si>
  <si>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</si>
  <si>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</si>
  <si>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</si>
  <si>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</si>
  <si>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</si>
  <si>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</si>
  <si>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</si>
  <si>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</si>
  <si>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</si>
  <si>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</si>
  <si>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</si>
  <si>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</si>
  <si>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</si>
  <si>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</si>
  <si>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</si>
  <si>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</si>
  <si>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</si>
  <si>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</si>
  <si>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</si>
  <si>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</si>
  <si>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</si>
  <si>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</si>
  <si>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</si>
  <si>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</si>
  <si>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</si>
  <si>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</si>
  <si>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</si>
  <si>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</si>
  <si>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</si>
  <si>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</si>
  <si>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</si>
  <si>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</si>
  <si>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</si>
  <si>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</si>
  <si>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</si>
  <si>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</si>
  <si>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</si>
  <si>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</si>
  <si>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</si>
  <si>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</si>
  <si>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</si>
  <si>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</si>
  <si>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</si>
  <si>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</si>
  <si>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</si>
  <si>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</si>
  <si>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</si>
  <si>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</si>
  <si>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</si>
  <si>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</si>
  <si>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</si>
  <si>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</si>
  <si>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</si>
  <si>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</si>
  <si>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</si>
  <si>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</si>
  <si>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</si>
  <si>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</si>
  <si>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</si>
  <si>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</si>
  <si>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</si>
  <si>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</si>
  <si>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</si>
  <si>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</si>
  <si>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</si>
  <si>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</si>
  <si>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</si>
  <si>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</si>
  <si>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</si>
  <si>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</si>
  <si>
    <t>工业项目</t>
  </si>
  <si>
    <t>抵押</t>
  </si>
  <si>
    <t>房地产抵押价值</t>
  </si>
  <si>
    <t>工业</t>
    <phoneticPr fontId="7" type="noConversion"/>
  </si>
  <si>
    <t>钢混</t>
    <phoneticPr fontId="31" type="noConversion"/>
  </si>
  <si>
    <t>科实大厦</t>
    <phoneticPr fontId="3" type="noConversion"/>
  </si>
  <si>
    <t>上地国际创业园</t>
    <phoneticPr fontId="3" type="noConversion"/>
  </si>
  <si>
    <t>盈创动力</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</si>
</sst>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7" fillId="16" borderId="61"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27</xdr:row>
      <xdr:rowOff>75612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019048" cy="4704762"/>
        </a:xfrm>
        <a:prstGeom prst="rect">
          <a:avLst/>
        </a:prstGeom>
      </xdr:spPr>
    </xdr:pic>
    <xdr:clientData/>
  </xdr:twoCellAnchor>
  <xdr:twoCellAnchor editAs="oneCell">
    <xdr:from>
      <xdr:col>0</xdr:col>
      <xdr:colOff>0</xdr:colOff>
      <xdr:row>28</xdr:row>
      <xdr:rowOff>0</xdr:rowOff>
    </xdr:from>
    <xdr:to>
      <xdr:col>5</xdr:col>
      <xdr:colOff>294809</xdr:colOff>
      <xdr:row>55</xdr:row>
      <xdr:rowOff>47040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800600"/>
          <a:ext cx="3723809" cy="4676190"/>
        </a:xfrm>
        <a:prstGeom prst="rect">
          <a:avLst/>
        </a:prstGeom>
      </xdr:spPr>
    </xdr:pic>
    <xdr:clientData/>
  </xdr:twoCellAnchor>
  <xdr:twoCellAnchor editAs="oneCell">
    <xdr:from>
      <xdr:col>6</xdr:col>
      <xdr:colOff>0</xdr:colOff>
      <xdr:row>1</xdr:row>
      <xdr:rowOff>0</xdr:rowOff>
    </xdr:from>
    <xdr:to>
      <xdr:col>11</xdr:col>
      <xdr:colOff>75762</xdr:colOff>
      <xdr:row>7</xdr:row>
      <xdr:rowOff>104633</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171450"/>
          <a:ext cx="3504762" cy="1133333"/>
        </a:xfrm>
        <a:prstGeom prst="rect">
          <a:avLst/>
        </a:prstGeom>
      </xdr:spPr>
    </xdr:pic>
    <xdr:clientData/>
  </xdr:twoCellAnchor>
  <xdr:twoCellAnchor editAs="oneCell">
    <xdr:from>
      <xdr:col>6</xdr:col>
      <xdr:colOff>0</xdr:colOff>
      <xdr:row>8</xdr:row>
      <xdr:rowOff>0</xdr:rowOff>
    </xdr:from>
    <xdr:to>
      <xdr:col>11</xdr:col>
      <xdr:colOff>466238</xdr:colOff>
      <xdr:row>27</xdr:row>
      <xdr:rowOff>123402</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1371600"/>
          <a:ext cx="3895238" cy="3380952"/>
        </a:xfrm>
        <a:prstGeom prst="rect">
          <a:avLst/>
        </a:prstGeom>
      </xdr:spPr>
    </xdr:pic>
    <xdr:clientData/>
  </xdr:twoCellAnchor>
  <xdr:twoCellAnchor editAs="oneCell">
    <xdr:from>
      <xdr:col>6</xdr:col>
      <xdr:colOff>0</xdr:colOff>
      <xdr:row>29</xdr:row>
      <xdr:rowOff>0</xdr:rowOff>
    </xdr:from>
    <xdr:to>
      <xdr:col>17</xdr:col>
      <xdr:colOff>399057</xdr:colOff>
      <xdr:row>57</xdr:row>
      <xdr:rowOff>151781</xdr:rowOff>
    </xdr:to>
    <xdr:pic>
      <xdr:nvPicPr>
        <xdr:cNvPr id="2" name="图片 1"/>
        <xdr:cNvPicPr>
          <a:picLocks noChangeAspect="1"/>
        </xdr:cNvPicPr>
      </xdr:nvPicPr>
      <xdr:blipFill>
        <a:blip xmlns:r="http://schemas.openxmlformats.org/officeDocument/2006/relationships" r:embed="rId5"/>
        <a:stretch>
          <a:fillRect/>
        </a:stretch>
      </xdr:blipFill>
      <xdr:spPr>
        <a:xfrm>
          <a:off x="4114800" y="4972050"/>
          <a:ext cx="7942857"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估价对象为北京市房地产，为所有。根据《国有土地使用证》[]，估价对象（分摊）出让国有建设用地使用权面积为212.2平方米，建筑面积为421.62平方米。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估价对象为北京市房地产,属开发建设的工业项目，该项目尚在开发建设中。根据《国有土地使用证》[]，估价对象（分摊）出让国有建设用地使用权面积为212.2平方米，规划建筑面积为421.62平方米。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2024年7月23日（评估专业人员实地查勘之日）</v>
      </c>
    </row>
    <row r="13" spans="1:2" s="1200" customFormat="1">
      <c r="A13" s="1198" t="s">
        <v>529</v>
      </c>
      <c r="B13" s="1199" t="str">
        <f>'预评函-1'!A18</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947</v>
      </c>
    </row>
    <row r="21" spans="1:2" s="1200" customFormat="1">
      <c r="A21" s="1198" t="s">
        <v>537</v>
      </c>
      <c r="B21" s="1199">
        <f ca="1">'预评函-2'!D7</f>
        <v>22453</v>
      </c>
    </row>
    <row r="22" spans="1:2" s="1200" customFormat="1">
      <c r="A22" s="1198" t="s">
        <v>538</v>
      </c>
      <c r="B22" s="1199" t="str">
        <f ca="1">'预评函-2'!D6</f>
        <v>玖佰肆拾柒万元整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947</v>
      </c>
    </row>
    <row r="31" spans="1:2" s="1200" customFormat="1">
      <c r="A31" s="1198" t="s">
        <v>576</v>
      </c>
      <c r="B31" s="1199">
        <f ca="1">'预评函-2'!D15</f>
        <v>22453</v>
      </c>
    </row>
    <row r="32" spans="1:2" s="1200" customFormat="1">
      <c r="A32" s="1198" t="s">
        <v>543</v>
      </c>
      <c r="B32" s="1199" t="str">
        <f ca="1">'预评函-2'!D14</f>
        <v>玖佰肆拾柒万元整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421.62</v>
      </c>
    </row>
    <row r="44" spans="1:2" s="1200" customFormat="1">
      <c r="A44" s="1198" t="s">
        <v>575</v>
      </c>
      <c r="B44" s="1199" t="str">
        <f>'预评函-3'!C2</f>
        <v>(分摊)土地面积</v>
      </c>
    </row>
    <row r="45" spans="1:2" s="1200" customFormat="1">
      <c r="A45" s="1198" t="s">
        <v>547</v>
      </c>
      <c r="B45" s="1199">
        <f>'预评函-3'!C4</f>
        <v>212.2</v>
      </c>
    </row>
    <row r="46" spans="1:2" s="1200" customFormat="1">
      <c r="A46" s="1198" t="s">
        <v>573</v>
      </c>
      <c r="B46" s="1199" t="str">
        <f>'预评函-3'!D2</f>
        <v>出让国有建设用地使用权价值</v>
      </c>
    </row>
    <row r="47" spans="1:2" s="1200" customFormat="1">
      <c r="A47" s="1198" t="s">
        <v>548</v>
      </c>
      <c r="B47" s="1199">
        <f ca="1">'预评函-3'!D4</f>
        <v>694</v>
      </c>
    </row>
    <row r="48" spans="1:2" s="1200" customFormat="1">
      <c r="A48" s="1198" t="s">
        <v>549</v>
      </c>
      <c r="B48" s="1199">
        <f ca="1">'预评函-3'!E4</f>
        <v>16458</v>
      </c>
    </row>
    <row r="49" spans="1:2" s="1200" customFormat="1">
      <c r="A49" s="1198" t="s">
        <v>550</v>
      </c>
      <c r="B49" s="1199" t="str">
        <f ca="1">'预评函-3'!D5</f>
        <v>陆佰玖拾肆万元整</v>
      </c>
    </row>
    <row r="50" spans="1:2" s="1200" customFormat="1">
      <c r="A50" s="1198" t="s">
        <v>574</v>
      </c>
      <c r="B50" s="1199" t="str">
        <f>'预评函-3'!F2</f>
        <v>在建建筑物价值</v>
      </c>
    </row>
    <row r="51" spans="1:2" s="1200" customFormat="1">
      <c r="A51" s="1198" t="s">
        <v>551</v>
      </c>
      <c r="B51" s="1199">
        <f ca="1">'预评函-3'!F4</f>
        <v>253</v>
      </c>
    </row>
    <row r="52" spans="1:2" s="1200" customFormat="1">
      <c r="A52" s="1198" t="s">
        <v>552</v>
      </c>
      <c r="B52" s="1199">
        <f ca="1">'预评函-3'!G4</f>
        <v>5995</v>
      </c>
    </row>
    <row r="53" spans="1:2" s="1200" customFormat="1">
      <c r="A53" s="1198" t="s">
        <v>580</v>
      </c>
      <c r="B53" s="1199" t="str">
        <f ca="1">'预评函-3'!F5</f>
        <v>贰佰伍拾叁万元整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1" t="s">
        <v>385</v>
      </c>
      <c r="C54" s="1548" t="s">
        <v>583</v>
      </c>
    </row>
    <row r="55" spans="1:4">
      <c r="A55" s="3499"/>
      <c r="B55" s="1551" t="s">
        <v>386</v>
      </c>
      <c r="C55" s="1548" t="s">
        <v>584</v>
      </c>
    </row>
    <row r="56" spans="1:4">
      <c r="A56" s="3499"/>
      <c r="B56" s="1551" t="s">
        <v>387</v>
      </c>
      <c r="C56" s="1548" t="s">
        <v>588</v>
      </c>
    </row>
    <row r="57" spans="1:4">
      <c r="A57" s="349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00" t="s">
        <v>2583</v>
      </c>
      <c r="J2" s="3500"/>
      <c r="K2" s="3500"/>
      <c r="L2" s="3500"/>
      <c r="M2" s="3500"/>
      <c r="N2" s="3500"/>
      <c r="O2" s="3500"/>
      <c r="P2" s="3500"/>
      <c r="Q2" s="3500"/>
      <c r="R2" s="3500"/>
    </row>
    <row r="3" spans="1:18">
      <c r="A3" s="3017" t="s">
        <v>2504</v>
      </c>
      <c r="B3" s="3018">
        <f>项目基本情况!D3</f>
        <v>45496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2.4</v>
      </c>
      <c r="D5" s="3022">
        <f>IF(ISERROR(ROUND(POWER(1+E5,A5-C5)*(POWER(1+E5,C5)-1)/(POWER(1+E5,A5)-1),3)),0,ROUND(POWER(1+E5,A5-C5)*(POWER(1+E5,C5)-1)/(POWER(1+E5,A5)-1),4))</f>
        <v>0.1135</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12.41</v>
      </c>
      <c r="D6" s="3022">
        <f>IF(ISERROR(ROUND(POWER(1+E6,A6-C6)*(POWER(1+E6,C6)-1)/(POWER(1+E6,A6)-1),3)),0,ROUND(POWER(1+E6,A6-C6)*(POWER(1+E6,C6)-1)/(POWER(1+E6,A6)-1),4))</f>
        <v>0.44850000000000001</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32.43</v>
      </c>
      <c r="D7" s="3022">
        <f>IF(ISERROR(ROUND(POWER(1+E7,A7-C7)*(POWER(1+E7,C7)-1)/(POWER(1+E7,A7)-1),3)),0,ROUND(POWER(1+E7,A7-C7)*(POWER(1+E7,C7)-1)/(POWER(1+E7,A7)-1),4))</f>
        <v>0.76910000000000001</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7" sqref="F2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45496</v>
      </c>
      <c r="C3" s="2371" t="s">
        <v>2170</v>
      </c>
      <c r="D3" s="2370">
        <f>B3</f>
        <v>45496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3434</v>
      </c>
      <c r="C8" s="2387"/>
      <c r="D8" s="3504" t="s">
        <v>2176</v>
      </c>
      <c r="E8" s="2388" t="s">
        <v>3435</v>
      </c>
      <c r="F8" s="2389"/>
      <c r="G8" s="2660"/>
      <c r="H8" s="2660"/>
      <c r="I8" s="2660"/>
      <c r="J8" s="2436"/>
      <c r="K8" s="2611"/>
      <c r="L8" s="2610"/>
      <c r="M8" s="2610"/>
      <c r="N8" s="2436"/>
      <c r="O8" s="2447"/>
      <c r="P8" s="2436"/>
      <c r="Q8" s="2436"/>
      <c r="R8" s="2436"/>
    </row>
    <row r="9" spans="1:30" ht="13.5" thickBot="1">
      <c r="A9" s="2390" t="s">
        <v>2177</v>
      </c>
      <c r="B9" s="2391" t="s">
        <v>3435</v>
      </c>
      <c r="C9" s="2392"/>
      <c r="D9" s="3505"/>
      <c r="E9" s="2391"/>
      <c r="F9" s="2393"/>
      <c r="G9" s="2662"/>
      <c r="H9" s="2662"/>
      <c r="I9" s="2662"/>
      <c r="J9" s="2436"/>
      <c r="K9" s="2613"/>
      <c r="L9" s="2610"/>
      <c r="M9" s="2610"/>
      <c r="N9" s="2436"/>
      <c r="O9" s="2447"/>
      <c r="P9" s="2436"/>
      <c r="Q9" s="2436"/>
      <c r="R9" s="2436"/>
    </row>
    <row r="10" spans="1:30" ht="13.5" thickTop="1">
      <c r="A10" s="2394" t="s">
        <v>2178</v>
      </c>
      <c r="B10" s="2395" t="s">
        <v>3383</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3384</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3335</v>
      </c>
      <c r="B13" s="2404" t="s">
        <v>2189</v>
      </c>
      <c r="C13" s="854"/>
      <c r="D13" s="854"/>
      <c r="E13" s="854"/>
      <c r="F13" s="854"/>
      <c r="G13" s="854"/>
      <c r="H13" s="854">
        <v>52384</v>
      </c>
      <c r="I13" s="854"/>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18.87</v>
      </c>
      <c r="I15" s="2407" t="str">
        <f>IF(A13="出让",IF(I13="","",ROUNDDOWN(MIN((I13-$D$3)/365,I14),2)),I14)</f>
        <v/>
      </c>
      <c r="J15" s="3061"/>
      <c r="K15" s="2448"/>
      <c r="L15" s="2448"/>
      <c r="M15" s="2506"/>
      <c r="N15" s="2448"/>
      <c r="O15" s="2506"/>
      <c r="P15" s="2436"/>
      <c r="Q15" s="2436"/>
      <c r="AD15" s="1742"/>
    </row>
    <row r="16" spans="1:30">
      <c r="A16" s="2397" t="s">
        <v>2192</v>
      </c>
      <c r="B16" s="3511"/>
      <c r="C16" s="3512"/>
      <c r="D16" s="3513"/>
      <c r="E16" s="2410" t="s">
        <v>2193</v>
      </c>
      <c r="F16" s="3514"/>
      <c r="G16" s="3515"/>
      <c r="H16" s="3515"/>
      <c r="I16" s="3516"/>
      <c r="J16" s="2436"/>
      <c r="K16" s="2614"/>
      <c r="L16" s="2448"/>
      <c r="M16" s="2448"/>
      <c r="N16" s="2506"/>
      <c r="O16" s="2448"/>
      <c r="P16" s="2506"/>
      <c r="Q16" s="2436"/>
      <c r="R16" s="2436"/>
    </row>
    <row r="17" spans="1:28">
      <c r="A17" s="313" t="s">
        <v>2194</v>
      </c>
      <c r="B17" s="302" t="s">
        <v>2195</v>
      </c>
      <c r="C17" s="8">
        <f>'数据-汇总表'!E3</f>
        <v>421.62</v>
      </c>
      <c r="D17" s="2319" t="s">
        <v>2196</v>
      </c>
      <c r="E17" s="3517" t="s">
        <v>2197</v>
      </c>
      <c r="F17" s="3518"/>
      <c r="G17" s="3518"/>
      <c r="H17" s="3518"/>
      <c r="I17" s="3519"/>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212.2</v>
      </c>
      <c r="D18" s="1089" t="s">
        <v>2200</v>
      </c>
      <c r="E18" s="3520" t="s">
        <v>2201</v>
      </c>
      <c r="F18" s="3521"/>
      <c r="G18" s="3521"/>
      <c r="H18" s="3521"/>
      <c r="I18" s="3522"/>
      <c r="J18" s="2436"/>
      <c r="K18" s="2615"/>
      <c r="L18" s="2448"/>
      <c r="M18" s="2448"/>
      <c r="N18" s="2506"/>
      <c r="O18" s="2448"/>
      <c r="P18" s="2506"/>
      <c r="Q18" s="2436"/>
      <c r="R18" s="2436"/>
      <c r="S18" s="2436"/>
      <c r="T18" s="2436"/>
      <c r="U18" s="2436"/>
      <c r="V18" s="2436"/>
    </row>
    <row r="19" spans="1:28" ht="37.5" thickTop="1" thickBot="1">
      <c r="A19" s="327" t="s">
        <v>1055</v>
      </c>
      <c r="B19" s="307"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07" t="s">
        <v>2205</v>
      </c>
      <c r="C20" s="3508"/>
      <c r="D20" s="3509" t="s">
        <v>2206</v>
      </c>
      <c r="E20" s="3510"/>
      <c r="F20" s="2644" t="s">
        <v>1056</v>
      </c>
      <c r="G20" s="2661"/>
      <c r="H20" s="2661"/>
      <c r="I20" s="2661"/>
      <c r="J20" s="2436"/>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4" t="s">
        <v>2213</v>
      </c>
      <c r="B27" s="320" t="s">
        <v>2214</v>
      </c>
      <c r="C27" s="2413" t="s">
        <v>3433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4"/>
      <c r="B28" s="302"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4"/>
      <c r="B29" s="302"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5"/>
      <c r="B30" s="302" t="s">
        <v>2217</v>
      </c>
      <c r="C30" s="3526"/>
      <c r="D30" s="3527"/>
      <c r="E30" s="2661"/>
      <c r="F30" s="2661"/>
      <c r="G30" s="2661"/>
      <c r="H30" s="2661"/>
      <c r="I30" s="2661"/>
      <c r="J30" s="2436"/>
      <c r="K30" s="2613"/>
      <c r="L30" s="2610"/>
      <c r="M30" s="2610"/>
      <c r="N30" s="2436"/>
      <c r="O30" s="2447"/>
      <c r="P30" s="2436"/>
      <c r="Q30" s="2436"/>
      <c r="R30" s="2436"/>
      <c r="S30" s="2436"/>
      <c r="T30" s="2436"/>
      <c r="U30" s="2436"/>
      <c r="V30" s="2436"/>
    </row>
    <row r="31" spans="1:28">
      <c r="A31" s="3528"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9"/>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9"/>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c r="C34" s="2023"/>
      <c r="D34" s="2023"/>
      <c r="E34" s="2023"/>
      <c r="F34" s="2023"/>
      <c r="G34" s="2023"/>
      <c r="H34" s="2023"/>
      <c r="I34" s="2661"/>
      <c r="J34" s="2436"/>
      <c r="K34" s="2424">
        <f>COUNTIF(B34:H34,"——")</f>
        <v>0</v>
      </c>
      <c r="L34" s="323" t="s">
        <v>2220</v>
      </c>
      <c r="M34" s="323" t="s">
        <v>2221</v>
      </c>
      <c r="N34" s="323" t="s">
        <v>2222</v>
      </c>
      <c r="O34" s="323" t="s">
        <v>2223</v>
      </c>
      <c r="P34" s="323" t="s">
        <v>2224</v>
      </c>
      <c r="Q34" s="323" t="s">
        <v>2225</v>
      </c>
      <c r="R34" s="323" t="s">
        <v>2226</v>
      </c>
      <c r="S34" s="3523" t="s">
        <v>2227</v>
      </c>
      <c r="T34" s="2425" t="str">
        <f>NUMBERSTRING(7-K34,1)&amp;"通"</f>
        <v>七通</v>
      </c>
      <c r="U34" s="2436"/>
      <c r="V34" s="2436"/>
    </row>
    <row r="35" spans="1:30">
      <c r="A35" s="2426"/>
      <c r="B35" s="3530" t="s">
        <v>2228</v>
      </c>
      <c r="C35" s="3530"/>
      <c r="D35" s="3530"/>
      <c r="E35" s="3530"/>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6"/>
      <c r="V35" s="2436"/>
    </row>
    <row r="36" spans="1:30">
      <c r="A36" s="2427"/>
      <c r="B36" s="662" t="s">
        <v>2184</v>
      </c>
      <c r="C36" s="662" t="s">
        <v>2185</v>
      </c>
      <c r="D36" s="662" t="s">
        <v>2183</v>
      </c>
      <c r="E36" s="662"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212.2</v>
      </c>
      <c r="B3" s="11">
        <f>IF(C3="否",G5-AT5,G5)</f>
        <v>421.62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421.62</v>
      </c>
      <c r="H5" s="13">
        <f t="shared" ref="H5:AT5" si="0">SUM(H13:H656)</f>
        <v>421.62</v>
      </c>
      <c r="I5" s="13">
        <f t="shared" si="0"/>
        <v>421.62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421.62</v>
      </c>
      <c r="BA5" s="15">
        <f t="shared" si="1"/>
        <v>421.62</v>
      </c>
      <c r="BB5" s="15">
        <f t="shared" si="1"/>
        <v>421.62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212.2</v>
      </c>
      <c r="F6" s="13" t="s">
        <v>0</v>
      </c>
      <c r="G6" s="13" t="s">
        <v>1</v>
      </c>
      <c r="H6" s="17">
        <f>SUMIF(I$12:AB$12,"总值",I6:AB6)</f>
        <v>212.2</v>
      </c>
      <c r="I6" s="13">
        <f t="shared" ref="I6:AB6" si="2">ROUND($A$3*I5/$B$3,2)</f>
        <v>212.2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212.2</v>
      </c>
      <c r="AZ6" s="13" t="s">
        <v>2</v>
      </c>
      <c r="BA6" s="13">
        <f>ROUND($AY$6*BA5/$AZ$5,2)</f>
        <v>212.2</v>
      </c>
      <c r="BB6" s="13">
        <f>ROUND($AY$6*BB5/$AZ$5,2)</f>
        <v>212.2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3389</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3</v>
      </c>
      <c r="J10" s="807"/>
      <c r="K10" s="1606"/>
      <c r="L10" s="807"/>
      <c r="M10" s="1606"/>
      <c r="N10" s="807"/>
      <c r="O10" s="1606"/>
      <c r="P10" s="807"/>
      <c r="Q10" s="1606"/>
      <c r="R10" s="807"/>
      <c r="S10" s="1606"/>
      <c r="T10" s="807"/>
      <c r="U10" s="1606"/>
      <c r="V10" s="807"/>
      <c r="W10" s="1606"/>
      <c r="X10" s="807"/>
      <c r="Y10" s="1606"/>
      <c r="Z10" s="807"/>
      <c r="AA10" s="1606"/>
      <c r="AB10" s="807"/>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3388</v>
      </c>
      <c r="E13" s="13">
        <f>IF($C$3="是",ROUND($A$3*G13/$B$3,2),ROUND($A$3*(G13-AT13)/$B$3,2))</f>
        <v>212.2</v>
      </c>
      <c r="F13" s="29"/>
      <c r="G13" s="30">
        <f>H13+AC13+AT13</f>
        <v>421.62</v>
      </c>
      <c r="H13" s="17">
        <f>SUMIF(I$12:AB$12,"总值",I13:AB13)</f>
        <v>421.62</v>
      </c>
      <c r="I13" s="1623">
        <v>421.62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212.2</v>
      </c>
      <c r="AZ13" s="13">
        <f>BA13+BL13</f>
        <v>421.62</v>
      </c>
      <c r="BA13" s="13">
        <f>SUM(BB13:BK13)</f>
        <v>421.62</v>
      </c>
      <c r="BB13" s="13">
        <f>IF($D13="是",I13-J13,0)</f>
        <v>421.62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0" t="s">
        <v>1131</v>
      </c>
      <c r="B2" s="3540"/>
      <c r="C2" s="3540"/>
      <c r="D2" s="794" t="s">
        <v>1107</v>
      </c>
      <c r="E2" s="1636" t="s">
        <v>1108</v>
      </c>
      <c r="F2" s="2656"/>
      <c r="G2" s="2647"/>
      <c r="H2" s="2648"/>
      <c r="I2" s="2322" t="s">
        <v>1132</v>
      </c>
      <c r="J2" s="2656"/>
      <c r="K2" s="2656"/>
      <c r="L2" s="2656"/>
      <c r="M2" s="2656"/>
      <c r="N2" s="2658"/>
      <c r="O2" s="2656"/>
      <c r="P2" s="2656"/>
    </row>
    <row r="3" spans="1:16" ht="15.75" thickBot="1">
      <c r="A3" s="3541" t="s">
        <v>1105</v>
      </c>
      <c r="B3" s="3541"/>
      <c r="C3" s="3541"/>
      <c r="D3" s="43">
        <f>'数据-基础表'!AY6</f>
        <v>212.2</v>
      </c>
      <c r="E3" s="43">
        <f>'数据-基础表'!AZ5</f>
        <v>421.62</v>
      </c>
      <c r="F3" s="2656"/>
      <c r="G3" s="1142"/>
      <c r="H3" s="1024" t="s">
        <v>1106</v>
      </c>
      <c r="I3" s="853">
        <f>ROUND('数据-基础表'!B3/'数据-基础表'!A3,2)</f>
        <v>1.99</v>
      </c>
      <c r="J3" s="2656"/>
      <c r="K3" s="2656"/>
      <c r="L3" s="2656"/>
      <c r="M3" s="2656"/>
      <c r="N3" s="2658"/>
      <c r="O3" s="2656"/>
      <c r="P3" s="2656"/>
    </row>
    <row r="4" spans="1:16" ht="15">
      <c r="A4" s="3542"/>
      <c r="B4" s="3543"/>
      <c r="C4" s="3544"/>
      <c r="D4" s="1638" t="s">
        <v>1107</v>
      </c>
      <c r="E4" s="1639" t="s">
        <v>1108</v>
      </c>
      <c r="F4" s="2656"/>
      <c r="G4" s="2649" t="s">
        <v>1133</v>
      </c>
      <c r="H4" s="1024" t="s">
        <v>1113</v>
      </c>
      <c r="I4" s="853">
        <f>ROUND(SUMIF('数据-基础表'!I9:AS9,"地上",'数据-基础表'!I5:AS5)/'数据-基础表'!A3,2)</f>
        <v>1.99</v>
      </c>
      <c r="J4" s="2656"/>
      <c r="K4" s="2656"/>
      <c r="L4" s="2656"/>
      <c r="M4" s="2656"/>
      <c r="N4" s="2658"/>
      <c r="O4" s="2656"/>
      <c r="P4" s="2656"/>
    </row>
    <row r="5" spans="1:16">
      <c r="A5" s="44" t="s">
        <v>1109</v>
      </c>
      <c r="B5" s="3545" t="s">
        <v>1110</v>
      </c>
      <c r="C5" s="3545"/>
      <c r="D5" s="45">
        <f>ROUND($D$3*E5/$E$3,2)</f>
        <v>0</v>
      </c>
      <c r="E5" s="46">
        <f>SUMIF('数据-基础表'!$11:$11,"住宅",'数据-基础表'!$5:$5)</f>
        <v>0</v>
      </c>
      <c r="F5" s="2656"/>
      <c r="G5" s="1142"/>
      <c r="H5" s="1024" t="s">
        <v>1106</v>
      </c>
      <c r="I5" s="853">
        <f>ROUND(E31/D31,2)</f>
        <v>1.99</v>
      </c>
      <c r="J5" s="2656"/>
      <c r="K5" s="2656"/>
      <c r="L5" s="2656"/>
      <c r="M5" s="2656"/>
      <c r="N5" s="2656"/>
      <c r="O5" s="2656"/>
      <c r="P5" s="2656"/>
    </row>
    <row r="6" spans="1:16" ht="15" thickBot="1">
      <c r="A6" s="1641"/>
      <c r="B6" s="3545" t="s">
        <v>1111</v>
      </c>
      <c r="C6" s="3545"/>
      <c r="D6" s="45">
        <f>ROUND($D$3*E6/$E$3,2)</f>
        <v>212.2</v>
      </c>
      <c r="E6" s="46">
        <f>E3-E5</f>
        <v>421.62</v>
      </c>
      <c r="F6" s="2656"/>
      <c r="G6" s="2650" t="s">
        <v>1112</v>
      </c>
      <c r="H6" s="1143" t="s">
        <v>1113</v>
      </c>
      <c r="I6" s="2651">
        <f>ROUND(F31/D31,2)</f>
        <v>1.99</v>
      </c>
      <c r="J6" s="2656"/>
      <c r="K6" s="2656"/>
      <c r="L6" s="2656"/>
      <c r="M6" s="2656"/>
      <c r="N6" s="2656"/>
      <c r="O6" s="2656"/>
      <c r="P6" s="2656"/>
    </row>
    <row r="7" spans="1:16" ht="15.75" thickBot="1">
      <c r="A7" s="3537"/>
      <c r="B7" s="3538"/>
      <c r="C7" s="3539"/>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212.2</v>
      </c>
      <c r="E8" s="48">
        <f>SUMIF('数据-基础表'!BB10:BK10,"地上",'数据-基础表'!BB5:BK5)</f>
        <v>421.62</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212.2</v>
      </c>
      <c r="E16" s="50">
        <f>SUM(E8:E15)</f>
        <v>421.62</v>
      </c>
      <c r="F16" s="2656"/>
      <c r="G16" s="2657"/>
      <c r="H16" s="1645" t="s">
        <v>1135</v>
      </c>
      <c r="I16" s="1646"/>
      <c r="J16" s="1136"/>
      <c r="K16" s="3534" t="s">
        <v>1135</v>
      </c>
      <c r="L16" s="3535"/>
      <c r="M16" s="3535"/>
      <c r="N16" s="3535"/>
      <c r="O16" s="3535"/>
      <c r="P16" s="3536"/>
    </row>
    <row r="17" spans="1:19" ht="15">
      <c r="A17" s="1647" t="s">
        <v>1136</v>
      </c>
      <c r="B17" s="1648" t="s">
        <v>1137</v>
      </c>
      <c r="C17" s="1649" t="s">
        <v>1138</v>
      </c>
      <c r="D17" s="1650" t="s">
        <v>1126</v>
      </c>
      <c r="E17" s="1651" t="s">
        <v>1127</v>
      </c>
      <c r="F17" s="1652"/>
      <c r="G17" s="1653"/>
      <c r="H17" s="1654" t="s">
        <v>1139</v>
      </c>
      <c r="I17" s="1655" t="s">
        <v>1124</v>
      </c>
      <c r="J17" s="1136"/>
      <c r="K17" s="3531" t="s">
        <v>1140</v>
      </c>
      <c r="L17" s="3532"/>
      <c r="M17" s="3533"/>
      <c r="N17" s="3531" t="s">
        <v>1141</v>
      </c>
      <c r="O17" s="3532"/>
      <c r="P17" s="3533"/>
      <c r="R17" s="1637" t="s">
        <v>1142</v>
      </c>
      <c r="S17" s="56"/>
    </row>
    <row r="18" spans="1:19" ht="15">
      <c r="A18" s="1643"/>
      <c r="B18" s="1656"/>
      <c r="C18" s="1657"/>
      <c r="D18" s="1658"/>
      <c r="E18" s="1659" t="s">
        <v>1143</v>
      </c>
      <c r="F18" s="1660" t="s">
        <v>1144</v>
      </c>
      <c r="G18" s="1661" t="s">
        <v>1145</v>
      </c>
      <c r="H18" s="1039" t="s">
        <v>1146</v>
      </c>
      <c r="I18" s="1662" t="s">
        <v>1147</v>
      </c>
      <c r="J18" s="1136"/>
      <c r="K18" s="1039" t="s">
        <v>1148</v>
      </c>
      <c r="L18" s="1663" t="s">
        <v>1149</v>
      </c>
      <c r="M18" s="853" t="s">
        <v>1150</v>
      </c>
      <c r="N18" s="1039" t="s">
        <v>1148</v>
      </c>
      <c r="O18" s="1663" t="s">
        <v>1149</v>
      </c>
      <c r="P18" s="853" t="s">
        <v>1150</v>
      </c>
      <c r="R18" s="1024" t="s">
        <v>1151</v>
      </c>
      <c r="S18" s="1024" t="s">
        <v>1152</v>
      </c>
    </row>
    <row r="19" spans="1:19">
      <c r="A19" s="1664"/>
      <c r="B19" s="47" t="s">
        <v>1125</v>
      </c>
      <c r="C19" s="3414" t="s">
        <v>3436</v>
      </c>
      <c r="D19" s="45">
        <f>ROUND($D$3*E19/$E$3,2)</f>
        <v>212.2</v>
      </c>
      <c r="E19" s="53">
        <f t="shared" ref="E19:E26" si="1">SUM(F19:G19)</f>
        <v>421.62</v>
      </c>
      <c r="F19" s="2792">
        <f>'数据-基础表'!I13</f>
        <v>421.62</v>
      </c>
      <c r="G19" s="2793"/>
      <c r="H19" s="668">
        <f>ROUND($D$3*I19/$E$3,2)</f>
        <v>0</v>
      </c>
      <c r="I19" s="48">
        <f t="shared" ref="I19:I26" si="2">IF($I$17="自定义",P19,M19)</f>
        <v>0</v>
      </c>
      <c r="J19" s="1136"/>
      <c r="K19" s="1135">
        <f t="shared" ref="K19:K26" si="3">ROUND(E$28*E19/E$27,2)</f>
        <v>0</v>
      </c>
      <c r="L19" s="1024">
        <f t="shared" ref="L19:L26" si="4">ROUND(IF(COUNTIF(C19,"*住宅*")&gt;0,E$29*E19/E$32,0),2)</f>
        <v>0</v>
      </c>
      <c r="M19" s="1147">
        <f>K19+L19</f>
        <v>0</v>
      </c>
      <c r="N19" s="1665"/>
      <c r="O19" s="1666"/>
      <c r="P19" s="1147">
        <f>N19+O19</f>
        <v>0</v>
      </c>
      <c r="R19" s="1024">
        <f t="shared" ref="R19:S26" si="5">D19+H19</f>
        <v>212.2</v>
      </c>
      <c r="S19" s="1025">
        <f t="shared" si="5"/>
        <v>421.62</v>
      </c>
    </row>
    <row r="20" spans="1:19">
      <c r="A20" s="1667"/>
      <c r="B20" s="47" t="s">
        <v>1153</v>
      </c>
      <c r="C20" s="3414"/>
      <c r="D20" s="45">
        <f t="shared" ref="D20:D26" si="6">ROUND($D$3*E20/$E$3,2)</f>
        <v>0</v>
      </c>
      <c r="E20" s="53">
        <f t="shared" si="1"/>
        <v>0</v>
      </c>
      <c r="F20" s="2792"/>
      <c r="G20" s="2793"/>
      <c r="H20" s="668">
        <f t="shared" ref="H20:H26" si="7">ROUND($D$3*I20/$E$3,2)</f>
        <v>0</v>
      </c>
      <c r="I20" s="48">
        <f t="shared" si="2"/>
        <v>0</v>
      </c>
      <c r="J20" s="1136"/>
      <c r="K20" s="1135">
        <f t="shared" si="3"/>
        <v>0</v>
      </c>
      <c r="L20" s="1024">
        <f t="shared" si="4"/>
        <v>0</v>
      </c>
      <c r="M20" s="1147">
        <f t="shared" ref="M20:M26" si="8">K20+L20</f>
        <v>0</v>
      </c>
      <c r="N20" s="1665"/>
      <c r="O20" s="1666"/>
      <c r="P20" s="1147">
        <f t="shared" ref="P20:P26" si="9">N20+O20</f>
        <v>0</v>
      </c>
      <c r="R20" s="1024">
        <f t="shared" si="5"/>
        <v>0</v>
      </c>
      <c r="S20" s="1025">
        <f t="shared" si="5"/>
        <v>0</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4">
        <f t="shared" si="4"/>
        <v>0</v>
      </c>
      <c r="M21" s="1147">
        <f t="shared" si="8"/>
        <v>0</v>
      </c>
      <c r="N21" s="1665"/>
      <c r="O21" s="1666"/>
      <c r="P21" s="1147">
        <f t="shared" si="9"/>
        <v>0</v>
      </c>
      <c r="R21" s="1024">
        <f t="shared" si="5"/>
        <v>0</v>
      </c>
      <c r="S21" s="1025">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4">
        <f t="shared" si="4"/>
        <v>0</v>
      </c>
      <c r="M22" s="1147">
        <f t="shared" si="8"/>
        <v>0</v>
      </c>
      <c r="N22" s="1665"/>
      <c r="O22" s="1666"/>
      <c r="P22" s="1147">
        <f t="shared" si="9"/>
        <v>0</v>
      </c>
      <c r="R22" s="1024">
        <f t="shared" si="5"/>
        <v>0</v>
      </c>
      <c r="S22" s="1025">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4">
        <f t="shared" si="4"/>
        <v>0</v>
      </c>
      <c r="M23" s="1147">
        <f t="shared" si="8"/>
        <v>0</v>
      </c>
      <c r="N23" s="1665"/>
      <c r="O23" s="1666"/>
      <c r="P23" s="1147">
        <f t="shared" si="9"/>
        <v>0</v>
      </c>
      <c r="R23" s="1024">
        <f t="shared" si="5"/>
        <v>0</v>
      </c>
      <c r="S23" s="1025">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4">
        <f t="shared" si="4"/>
        <v>0</v>
      </c>
      <c r="M24" s="1147">
        <f t="shared" si="8"/>
        <v>0</v>
      </c>
      <c r="N24" s="1665"/>
      <c r="O24" s="1666"/>
      <c r="P24" s="1147">
        <f t="shared" si="9"/>
        <v>0</v>
      </c>
      <c r="R24" s="1024">
        <f t="shared" si="5"/>
        <v>0</v>
      </c>
      <c r="S24" s="1025">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4">
        <f t="shared" si="4"/>
        <v>0</v>
      </c>
      <c r="M25" s="1147">
        <f t="shared" si="8"/>
        <v>0</v>
      </c>
      <c r="N25" s="1665"/>
      <c r="O25" s="1666"/>
      <c r="P25" s="1147">
        <f t="shared" si="9"/>
        <v>0</v>
      </c>
      <c r="R25" s="1024">
        <f t="shared" si="5"/>
        <v>0</v>
      </c>
      <c r="S25" s="1025">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4">
        <f t="shared" si="5"/>
        <v>0</v>
      </c>
      <c r="S26" s="1025">
        <f t="shared" si="5"/>
        <v>0</v>
      </c>
    </row>
    <row r="27" spans="1:19" ht="15.75" thickBot="1">
      <c r="A27" s="1667"/>
      <c r="B27" s="45"/>
      <c r="C27" s="1670" t="s">
        <v>1154</v>
      </c>
      <c r="D27" s="1137">
        <f>SUM(D19:D26)</f>
        <v>212.2</v>
      </c>
      <c r="E27" s="1138">
        <f>IF(SUM(E19:E26)='数据-基础表'!BA5,SUM(E19:E26),IF(F27="地上面积有误","面积有误","地下面积有误"))</f>
        <v>421.62</v>
      </c>
      <c r="F27" s="1137">
        <f>IF(SUM(F19:F26)=E8,SUM(F19:F26),"地上面积有误")</f>
        <v>421.62</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6">
        <f>IF(SUM(R19:R26)=$D$3,SUM(R19:R26),SUM(R19:R26)&amp;"误差"&amp;ROUND(SUM(R19:R26)-$D$3,2))</f>
        <v>212.2</v>
      </c>
      <c r="S27" s="1024">
        <f>IF(SUM(S19:S26)=$E$3,SUM(S19:S26),SUM(S19:S26)&amp;"误差"&amp;ROUND(SUM(S19:S26)-E3,2))</f>
        <v>421.62</v>
      </c>
    </row>
    <row r="28" spans="1:19">
      <c r="A28" s="1667"/>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212.2</v>
      </c>
      <c r="E31" s="674">
        <f>E27+E30</f>
        <v>421.62</v>
      </c>
      <c r="F31" s="675">
        <f>F27+F30</f>
        <v>421.62</v>
      </c>
      <c r="G31" s="676">
        <f>G27+G30</f>
        <v>0</v>
      </c>
      <c r="H31" s="2656"/>
      <c r="I31" s="2656"/>
      <c r="J31" s="2656"/>
      <c r="K31" s="2656"/>
      <c r="L31" s="2656"/>
      <c r="M31" s="2656"/>
      <c r="N31" s="2656"/>
      <c r="O31" s="2656"/>
      <c r="P31" s="2656"/>
    </row>
    <row r="32" spans="1:19">
      <c r="A32" s="1640"/>
      <c r="B32" s="1640" t="s">
        <v>1159</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3">
        <f>项目基本情况!D3</f>
        <v>45496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3390</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52384</v>
      </c>
      <c r="F6" s="64">
        <f>SUMIF(项目基本情况!C$12:I$12,C6,项目基本情况!C$15:I$15)</f>
        <v>18.87</v>
      </c>
      <c r="G6" s="65">
        <f>IF(ISERROR(ROUND(POWER(1+H6,D6-F6)*(POWER(1+H6,F6)-1)/(POWER(1+H6,D6)-1),3)),0,ROUND(POWER(1+H6,D6-F6)*(POWER(1+H6,F6)-1)/(POWER(1+H6,D6)-1),3))</f>
        <v>0.65900000000000003</v>
      </c>
      <c r="H6" s="730">
        <v>0.05</v>
      </c>
      <c r="I6" s="730">
        <v>5.5E-2</v>
      </c>
      <c r="J6" s="66">
        <v>7.0000000000000007E-2</v>
      </c>
      <c r="K6" s="1028">
        <f>SUMIF('数据-汇总表'!C$19:C$33,A6,'数据-汇总表'!E$19:E$33)</f>
        <v>421.62</v>
      </c>
      <c r="L6" s="731">
        <v>4000</v>
      </c>
      <c r="M6" s="67">
        <f t="shared" ref="M6:M14" si="0">ROUND(K6*L6/10000,0)</f>
        <v>169</v>
      </c>
      <c r="N6" s="729">
        <f>N20</f>
        <v>0.75</v>
      </c>
      <c r="O6" s="67" t="str">
        <f>IF($N$5="成新度","——",ROUND(M6*N6,0))</f>
        <v>——</v>
      </c>
      <c r="P6" s="68" t="str">
        <f>IF($N$5="成新度","——",M6-O6)</f>
        <v>——</v>
      </c>
      <c r="Q6" s="732">
        <v>0.15</v>
      </c>
      <c r="R6" s="69">
        <f ca="1">SUMIF('数据-汇总表'!C$19:C$33,A6,'数据-汇总表'!R$19:R$27)</f>
        <v>212.2</v>
      </c>
      <c r="S6" s="51">
        <f>IF('数据-汇总表'!$I$17="按面积比例",SUMIF('数据-汇总表'!C$19:C$33,A6,'数据-汇总表'!K$19:K$33),SUMIF('数据-汇总表'!C$19:C$33,A6,'数据-汇总表'!N$19:N$33))</f>
        <v>0</v>
      </c>
      <c r="T6" s="1169">
        <f>ROUND($L$14*S6/10000,0)</f>
        <v>0</v>
      </c>
      <c r="U6" s="3425">
        <f>'比较法-办公 (2)'!C49</f>
        <v>4.3</v>
      </c>
      <c r="V6" s="70">
        <v>0.02</v>
      </c>
      <c r="W6" s="70">
        <v>0.1</v>
      </c>
      <c r="X6" s="1038"/>
      <c r="Y6" s="71">
        <f>N6</f>
        <v>0.75</v>
      </c>
      <c r="Z6" s="72"/>
      <c r="AA6" s="66"/>
      <c r="AB6" s="66"/>
      <c r="AC6" s="1038"/>
      <c r="AD6" s="73"/>
      <c r="AE6" s="1039">
        <f ca="1">IF(AN6="",0,SUMIF(INDIRECT("'"&amp;AN6&amp;"'"&amp;"!E:E"),$AE$5,INDIRECT("'"&amp;AN6&amp;"'"&amp;"!F:F")))</f>
        <v>18.87</v>
      </c>
      <c r="AF6" s="1345"/>
      <c r="AG6" s="138">
        <f>IF(AF6="",0,AE6-AF6)</f>
        <v>0</v>
      </c>
      <c r="AH6" s="74"/>
      <c r="AI6" s="76">
        <v>365</v>
      </c>
      <c r="AJ6" s="77"/>
      <c r="AK6" s="78">
        <v>5.0000000000000001E-3</v>
      </c>
      <c r="AL6" s="79">
        <v>1E-3</v>
      </c>
      <c r="AM6" s="80">
        <v>5.0000000000000001E-3</v>
      </c>
      <c r="AN6" s="1712" t="s">
        <v>3391</v>
      </c>
      <c r="AO6" s="52">
        <f ca="1">SUMIF(INDIRECT("'"&amp;AN6&amp;"'"&amp;"!A:A"),"总价",INDIRECT("'"&amp;AN6&amp;"'"&amp;"!B:B"))</f>
        <v>666.60199999999998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8"/>
      <c r="Y8" s="71"/>
      <c r="Z8" s="72"/>
      <c r="AA8" s="66"/>
      <c r="AB8" s="66"/>
      <c r="AC8" s="1038"/>
      <c r="AD8" s="73"/>
      <c r="AE8" s="1039">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69"/>
      <c r="U14" s="668"/>
      <c r="V14" s="1033"/>
      <c r="W14" s="1033"/>
      <c r="X14" s="1034"/>
      <c r="Y14" s="1035"/>
      <c r="Z14" s="1036"/>
      <c r="AA14" s="1037"/>
      <c r="AB14" s="1037"/>
      <c r="AC14" s="1038"/>
      <c r="AD14" s="1034"/>
      <c r="AE14" s="1039"/>
      <c r="AF14" s="52"/>
      <c r="AG14" s="138"/>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7"/>
      <c r="I15" s="1027"/>
      <c r="J15" s="1027"/>
      <c r="K15" s="1028">
        <f>SUMIF('数据-汇总表'!C$19:C$33,A15,'数据-汇总表'!E$19:E$33)</f>
        <v>0</v>
      </c>
      <c r="L15" s="1029"/>
      <c r="M15" s="67"/>
      <c r="N15" s="1030"/>
      <c r="O15" s="67"/>
      <c r="P15" s="68"/>
      <c r="Q15" s="1031"/>
      <c r="R15" s="69"/>
      <c r="S15" s="51"/>
      <c r="T15" s="1169"/>
      <c r="U15" s="668"/>
      <c r="V15" s="1033"/>
      <c r="W15" s="1033"/>
      <c r="X15" s="1034"/>
      <c r="Y15" s="1035"/>
      <c r="Z15" s="1036"/>
      <c r="AA15" s="1037"/>
      <c r="AB15" s="1037"/>
      <c r="AC15" s="1038"/>
      <c r="AD15" s="1034"/>
      <c r="AE15" s="1039"/>
      <c r="AF15" s="52"/>
      <c r="AG15" s="138"/>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0.65900000000000003</v>
      </c>
      <c r="H16" s="90">
        <f>ROUND(SUMPRODUCT(H6:H13,K6:K13)/SUMPRODUCT((H6:H13&gt;0)*(K6:K13)),3)</f>
        <v>0.05</v>
      </c>
      <c r="I16" s="91"/>
      <c r="J16" s="91"/>
      <c r="K16" s="92">
        <f>SUM(K6:K15)</f>
        <v>421.62</v>
      </c>
      <c r="L16" s="93">
        <f>ROUND(M16*10000/SUM(K6:K14),0)</f>
        <v>4008</v>
      </c>
      <c r="M16" s="93">
        <f>SUM(M6:M14)</f>
        <v>169</v>
      </c>
      <c r="N16" s="94">
        <f>ROUND(SUMPRODUCT(M6:M14,N6:N14)/M16,3)</f>
        <v>0.75</v>
      </c>
      <c r="O16" s="93">
        <f>SUM(O6:O14)</f>
        <v>0</v>
      </c>
      <c r="P16" s="93">
        <f>SUM(P6:P14)</f>
        <v>0</v>
      </c>
      <c r="Q16" s="95">
        <f>ROUND(SUMPRODUCT(Q6:Q13,K6:K13)/SUMPRODUCT((Q6:Q13&gt;0)*(K6:K13)),2)</f>
        <v>0.15</v>
      </c>
      <c r="R16" s="1032">
        <f ca="1">SUM(R6:R13)</f>
        <v>212.2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1994</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0.5</v>
      </c>
      <c r="O18" s="2668">
        <v>0.3</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2668"/>
      <c r="N19" s="2668">
        <v>0.85</v>
      </c>
      <c r="O19" s="2668">
        <f>1-O18</f>
        <v>0.7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2668"/>
      <c r="N20" s="2668">
        <f>ROUND(N18*O18+N19*O19,2)</f>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f>ROUND(B28*K16,0)</f>
        <v>84324</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0.02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3800">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110</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46" t="s">
        <v>2285</v>
      </c>
      <c r="B1" s="3547"/>
      <c r="C1" s="3547"/>
      <c r="D1" s="3547"/>
      <c r="E1" s="3547"/>
      <c r="F1" s="3547"/>
      <c r="G1" s="354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3" t="s">
        <v>2253</v>
      </c>
      <c r="C4" s="2465" t="s">
        <v>2254</v>
      </c>
      <c r="D4" s="2462"/>
      <c r="E4" s="2466"/>
      <c r="F4" s="1370" t="s">
        <v>2255</v>
      </c>
      <c r="G4" s="2467" t="s">
        <v>2256</v>
      </c>
      <c r="H4" s="797"/>
      <c r="I4" s="797"/>
      <c r="J4" s="797"/>
      <c r="K4" s="797"/>
      <c r="L4" s="797"/>
      <c r="M4" s="797"/>
      <c r="N4" s="797"/>
      <c r="O4" s="797"/>
      <c r="P4" s="797"/>
      <c r="Q4" s="797"/>
      <c r="R4" s="797"/>
    </row>
    <row r="5" spans="1:29" ht="36.75">
      <c r="A5" s="2439"/>
      <c r="B5" s="323" t="s">
        <v>2257</v>
      </c>
      <c r="C5" s="2465" t="s">
        <v>2258</v>
      </c>
      <c r="D5" s="2462"/>
      <c r="E5" s="2466"/>
      <c r="F5" s="323" t="s">
        <v>2259</v>
      </c>
      <c r="G5" s="2467" t="s">
        <v>2260</v>
      </c>
      <c r="H5" s="797"/>
      <c r="I5" s="797"/>
      <c r="J5" s="797"/>
      <c r="K5" s="797"/>
      <c r="L5" s="797"/>
      <c r="M5" s="797"/>
      <c r="N5" s="797"/>
      <c r="O5" s="797"/>
      <c r="P5" s="797"/>
      <c r="Q5" s="797"/>
      <c r="R5" s="797"/>
    </row>
    <row r="6" spans="1:29" ht="36">
      <c r="A6" s="2439"/>
      <c r="B6" s="323" t="s">
        <v>2261</v>
      </c>
      <c r="C6" s="2467" t="s">
        <v>2256</v>
      </c>
      <c r="D6" s="2462"/>
      <c r="E6" s="2466"/>
      <c r="F6" s="323" t="s">
        <v>2262</v>
      </c>
      <c r="G6" s="2467" t="s">
        <v>2263</v>
      </c>
      <c r="H6" s="797"/>
      <c r="I6" s="797"/>
      <c r="J6" s="797"/>
      <c r="K6" s="797"/>
      <c r="L6" s="797"/>
      <c r="M6" s="797"/>
      <c r="N6" s="797"/>
      <c r="O6" s="797"/>
      <c r="P6" s="797"/>
      <c r="Q6" s="797"/>
      <c r="R6" s="797"/>
    </row>
    <row r="7" spans="1:29" ht="24.75"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421.62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45496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947</v>
      </c>
      <c r="C5" s="2509">
        <f ca="1">IF(B5=D14,结果表!H102,ROUND(B5*10000/$B$1,0))</f>
        <v>22453</v>
      </c>
      <c r="D5" s="2509" t="e">
        <f ca="1">ROUND(B5*10000/$B$2,0)</f>
        <v>#DIV/0!</v>
      </c>
      <c r="E5" s="2683"/>
      <c r="F5" s="2684"/>
      <c r="G5" s="2684"/>
      <c r="H5" s="2685"/>
      <c r="I5" s="2685"/>
      <c r="J5" s="2685"/>
      <c r="K5" s="2685"/>
    </row>
    <row r="6" spans="1:11" ht="16.5">
      <c r="A6" s="2509" t="s">
        <v>656</v>
      </c>
      <c r="B6" s="2509">
        <f ca="1">SUM(G14:G23)</f>
        <v>947</v>
      </c>
      <c r="C6" s="2509">
        <f ca="1">IF(B6=G14,结果表!H108,ROUND(B6*10000/$B$1,0))</f>
        <v>22453</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421.62</v>
      </c>
      <c r="C14" s="2515"/>
      <c r="D14" s="2515">
        <f ca="1">结果表!H118</f>
        <v>947</v>
      </c>
      <c r="E14" s="2515">
        <f ca="1">ROUND(D14*10000/B14,0)</f>
        <v>22461</v>
      </c>
      <c r="F14" s="2515" t="e">
        <f ca="1">ROUND(D14*10000/C14,0)</f>
        <v>#DIV/0!</v>
      </c>
      <c r="G14" s="2515">
        <f ca="1">D14</f>
        <v>947</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1" t="s">
        <v>1265</v>
      </c>
      <c r="B4" s="1752" t="s">
        <v>1266</v>
      </c>
      <c r="C4" s="1753" t="s">
        <v>3429</v>
      </c>
      <c r="D4" s="1753" t="s">
        <v>3391</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4"/>
      <c r="G5" s="1754"/>
      <c r="H5" s="1754"/>
      <c r="I5" s="1370"/>
    </row>
    <row r="6" spans="1:12" ht="12.75">
      <c r="A6" s="3563"/>
      <c r="B6" s="3618"/>
      <c r="C6" s="3623"/>
      <c r="D6" s="3609"/>
      <c r="E6" s="131" t="s">
        <v>1270</v>
      </c>
      <c r="F6" s="1754"/>
      <c r="G6" s="1754"/>
      <c r="H6" s="1754"/>
      <c r="I6" s="1370"/>
    </row>
    <row r="7" spans="1:12" ht="12.75">
      <c r="A7" s="3563"/>
      <c r="B7" s="3618"/>
      <c r="C7" s="3622"/>
      <c r="D7" s="3609"/>
      <c r="E7" s="131" t="s">
        <v>1271</v>
      </c>
      <c r="F7" s="1754"/>
      <c r="G7" s="1754"/>
      <c r="H7" s="1754"/>
      <c r="I7" s="1370"/>
    </row>
    <row r="8" spans="1:12" ht="12.75">
      <c r="A8" s="3563" t="s">
        <v>1272</v>
      </c>
      <c r="B8" s="3618">
        <v>15</v>
      </c>
      <c r="C8" s="3621"/>
      <c r="D8" s="3609"/>
      <c r="E8" s="131" t="s">
        <v>1273</v>
      </c>
      <c r="F8" s="1754"/>
      <c r="G8" s="1754"/>
      <c r="H8" s="1754"/>
      <c r="I8" s="1370"/>
    </row>
    <row r="9" spans="1:12" ht="12.75">
      <c r="A9" s="3563"/>
      <c r="B9" s="3618"/>
      <c r="C9" s="3622"/>
      <c r="D9" s="3609"/>
      <c r="E9" s="131" t="s">
        <v>1274</v>
      </c>
      <c r="F9" s="1754"/>
      <c r="G9" s="1754"/>
      <c r="H9" s="1754"/>
      <c r="I9" s="1370"/>
    </row>
    <row r="10" spans="1:12" ht="12.75">
      <c r="A10" s="3563" t="s">
        <v>1275</v>
      </c>
      <c r="B10" s="3618">
        <v>15</v>
      </c>
      <c r="C10" s="3621"/>
      <c r="D10" s="3609"/>
      <c r="E10" s="131" t="s">
        <v>1276</v>
      </c>
      <c r="F10" s="1754"/>
      <c r="G10" s="1754"/>
      <c r="H10" s="1754"/>
      <c r="I10" s="1370"/>
    </row>
    <row r="11" spans="1:12" ht="12.75">
      <c r="A11" s="3563"/>
      <c r="B11" s="3618"/>
      <c r="C11" s="3622"/>
      <c r="D11" s="3609"/>
      <c r="E11" s="131" t="s">
        <v>1277</v>
      </c>
      <c r="F11" s="1754"/>
      <c r="G11" s="1754"/>
      <c r="H11" s="1754"/>
      <c r="I11" s="1370"/>
    </row>
    <row r="12" spans="1:12" ht="12.75">
      <c r="A12" s="3563" t="s">
        <v>1278</v>
      </c>
      <c r="B12" s="3618">
        <v>15</v>
      </c>
      <c r="C12" s="3621"/>
      <c r="D12" s="3609"/>
      <c r="E12" s="131" t="s">
        <v>1279</v>
      </c>
      <c r="F12" s="1754"/>
      <c r="G12" s="1754"/>
      <c r="H12" s="1754"/>
      <c r="I12" s="1370"/>
    </row>
    <row r="13" spans="1:12" ht="12.75">
      <c r="A13" s="3563"/>
      <c r="B13" s="3618"/>
      <c r="C13" s="3622"/>
      <c r="D13" s="3609"/>
      <c r="E13" s="131" t="s">
        <v>1280</v>
      </c>
      <c r="F13" s="1754"/>
      <c r="G13" s="1754"/>
      <c r="H13" s="1754"/>
      <c r="I13" s="1370"/>
    </row>
    <row r="14" spans="1:12" ht="12.75">
      <c r="A14" s="3563" t="s">
        <v>1281</v>
      </c>
      <c r="B14" s="3618">
        <v>30</v>
      </c>
      <c r="C14" s="3621">
        <v>7</v>
      </c>
      <c r="D14" s="3609">
        <v>3</v>
      </c>
      <c r="E14" s="131" t="s">
        <v>1282</v>
      </c>
      <c r="F14" s="1754"/>
      <c r="G14" s="1754"/>
      <c r="H14" s="1754"/>
      <c r="I14" s="1370"/>
    </row>
    <row r="15" spans="1:12" ht="12.75">
      <c r="A15" s="3563"/>
      <c r="B15" s="3618"/>
      <c r="C15" s="3623"/>
      <c r="D15" s="3609"/>
      <c r="E15" s="131" t="s">
        <v>1283</v>
      </c>
      <c r="F15" s="1754"/>
      <c r="G15" s="1754"/>
      <c r="H15" s="1754"/>
      <c r="I15" s="1370"/>
    </row>
    <row r="16" spans="1:12" ht="12.75">
      <c r="A16" s="3563"/>
      <c r="B16" s="3618"/>
      <c r="C16" s="3622"/>
      <c r="D16" s="3609"/>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640" t="s">
        <v>2130</v>
      </c>
      <c r="F18" s="3641"/>
      <c r="G18" s="3641"/>
      <c r="H18" s="3641"/>
      <c r="I18" s="3641"/>
      <c r="K18" s="302" t="s">
        <v>1289</v>
      </c>
      <c r="L18" s="302">
        <f>IF(C1="",'数据-汇总表'!E3,SUMIF(项目类型,C1,'数据-汇总表'!E17:E26)+SUMIF(项目类型,C1,'数据-汇总表'!I17:I26))</f>
        <v>421.62</v>
      </c>
      <c r="M18" s="302">
        <f>IF(C1="",'数据-汇总表'!E3,SUMIF(项目类型,C1,'数据-汇总表'!E17:E26))</f>
        <v>421.62</v>
      </c>
    </row>
    <row r="19" spans="1:36" ht="15">
      <c r="A19" s="1758" t="s">
        <v>1290</v>
      </c>
      <c r="B19" s="1759" t="s">
        <v>1291</v>
      </c>
      <c r="C19" s="134">
        <f ca="1">SUMIF(INDIRECT("'"&amp;C4&amp;"'"&amp;"!A:A"),结果表!B19,INDIRECT("'"&amp;C4&amp;"'"&amp;"!B:B"))</f>
        <v>1066.6985999999999</v>
      </c>
      <c r="D19" s="135">
        <f ca="1">SUMIF(INDIRECT("'"&amp;D4&amp;"'"&amp;"!A:A"),结果表!B19,INDIRECT("'"&amp;D4&amp;"'"&amp;"!B:B"))</f>
        <v>666.60199999999998</v>
      </c>
      <c r="E19" s="1758" t="s">
        <v>1292</v>
      </c>
      <c r="F19" s="1759" t="s">
        <v>1291</v>
      </c>
      <c r="G19" s="136">
        <f ca="1">ROUND(C19*$C$18+D19*$D$18,0)</f>
        <v>947</v>
      </c>
      <c r="H19" s="1760" t="s">
        <v>1293</v>
      </c>
      <c r="I19" s="129"/>
      <c r="K19" s="302" t="s">
        <v>1294</v>
      </c>
      <c r="L19" s="302">
        <f>IF(C1="",'数据-汇总表'!D3,SUMIF(项目类型,C1,'数据-汇总表'!D17:D26)+SUMIF(项目类型,C1,'数据-汇总表'!H17:H27))</f>
        <v>212.2</v>
      </c>
      <c r="M19" s="302">
        <f>IF(C1="",'数据-汇总表'!D3,SUMIF(项目类型,C1,'数据-汇总表'!D17:D26))</f>
        <v>212.2</v>
      </c>
    </row>
    <row r="20" spans="1:36" ht="15">
      <c r="A20" s="1761"/>
      <c r="B20" s="1024" t="s">
        <v>1295</v>
      </c>
      <c r="C20" s="137">
        <f ca="1">SUMIF(INDIRECT("'"&amp;C4&amp;"'"&amp;"!A:A"),结果表!B20,INDIRECT("'"&amp;C4&amp;"'"&amp;"!B:B"))</f>
        <v>25300</v>
      </c>
      <c r="D20" s="138">
        <f ca="1">SUMIF(INDIRECT("'"&amp;D4&amp;"'"&amp;"!A:A"),结果表!B20,INDIRECT("'"&amp;D4&amp;"'"&amp;"!B:B"))</f>
        <v>15810</v>
      </c>
      <c r="E20" s="1761"/>
      <c r="F20" s="1024" t="s">
        <v>1295</v>
      </c>
      <c r="G20" s="139">
        <f ca="1">ROUND(C20*$C$18+D20*$D$18,0)</f>
        <v>22453</v>
      </c>
      <c r="H20" s="806" t="s">
        <v>1296</v>
      </c>
      <c r="I20" s="129"/>
    </row>
    <row r="21" spans="1:36" ht="15" customHeight="1" thickBot="1">
      <c r="A21" s="826"/>
      <c r="B21" s="1762" t="s">
        <v>1297</v>
      </c>
      <c r="C21" s="717">
        <f ca="1">ROUND(C19*10000/L19,0)</f>
        <v>50269</v>
      </c>
      <c r="D21" s="718">
        <f ca="1">ROUND(D19*10000/L19,0)</f>
        <v>31414</v>
      </c>
      <c r="E21" s="826"/>
      <c r="F21" s="1762" t="s">
        <v>1297</v>
      </c>
      <c r="G21" s="140">
        <f ca="1">ROUND(G19*10000/L19,0)</f>
        <v>44628</v>
      </c>
      <c r="H21" s="1763" t="s">
        <v>1296</v>
      </c>
      <c r="I21" s="129"/>
    </row>
    <row r="22" spans="1:36" ht="15" thickBot="1">
      <c r="A22" s="1685" t="s">
        <v>1298</v>
      </c>
      <c r="B22" s="1764"/>
      <c r="C22" s="1765"/>
      <c r="D22" s="719">
        <f ca="1">IF(C19&lt;D19,D19/C19-1,C19/D19-1)</f>
        <v>0.6002031197026112</v>
      </c>
      <c r="E22" s="129"/>
      <c r="F22" s="129"/>
      <c r="G22" s="129"/>
      <c r="H22" s="129"/>
      <c r="I22" s="129"/>
    </row>
    <row r="23" spans="1:36" ht="13.5" thickBot="1">
      <c r="A23" s="1744"/>
      <c r="B23" s="1744"/>
      <c r="C23" s="1744"/>
      <c r="D23" s="1744"/>
      <c r="E23" s="129"/>
      <c r="F23" s="129"/>
      <c r="G23" s="129"/>
      <c r="H23" s="129"/>
      <c r="I23" s="129"/>
    </row>
    <row r="24" spans="1:36" ht="14.25">
      <c r="A24" s="3633" t="s">
        <v>1299</v>
      </c>
      <c r="B24" s="1759" t="s">
        <v>1291</v>
      </c>
      <c r="C24" s="136">
        <f>IF(B30=0,0,D30)</f>
        <v>0</v>
      </c>
      <c r="D24" s="1766"/>
      <c r="E24" s="129"/>
      <c r="F24" s="129"/>
      <c r="G24" s="129"/>
      <c r="H24" s="129"/>
      <c r="I24" s="129"/>
    </row>
    <row r="25" spans="1:36" ht="14.25">
      <c r="A25" s="3634"/>
      <c r="B25" s="1024"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22453</v>
      </c>
      <c r="D32" s="1772" t="s">
        <v>3430</v>
      </c>
      <c r="E32" s="129"/>
      <c r="F32" s="129"/>
      <c r="G32" s="129"/>
      <c r="H32" s="129"/>
      <c r="I32" s="129"/>
    </row>
    <row r="33" spans="1:15" ht="15">
      <c r="A33" s="784" t="s">
        <v>1306</v>
      </c>
      <c r="B33" s="1773"/>
      <c r="C33" s="1774" t="s">
        <v>3431</v>
      </c>
      <c r="D33" s="1775" t="s">
        <v>3391</v>
      </c>
      <c r="E33" s="1776" t="s">
        <v>1307</v>
      </c>
      <c r="F33" s="1777" t="str">
        <f>IF(D32="楼面单价","取值（单价）","取值（总价）")</f>
        <v>取值（单价）</v>
      </c>
      <c r="G33" s="129"/>
      <c r="H33" s="129"/>
      <c r="I33" s="129"/>
    </row>
    <row r="34" spans="1:15" ht="15">
      <c r="A34" s="1778"/>
      <c r="B34" s="1779" t="s">
        <v>1308</v>
      </c>
      <c r="C34" s="148">
        <f ca="1">IF(C33="自定义",F34,C32-C35)</f>
        <v>16458</v>
      </c>
      <c r="D34" s="859">
        <f ca="1">IF(C33="自定义",ROUND(C34/C32,3),IF(C33="收益比率",SUMIF(INDIRECT("'"&amp;D33&amp;"'"&amp;"!b:b"),"土地收益比率",INDIRECT("'"&amp;D33&amp;"'"&amp;"!c:c")),SUMIF(INDIRECT("'"&amp;D33&amp;"'"&amp;"!b:b"),"土地成本比率",INDIRECT("'"&amp;D33&amp;"'"&amp;"!c:c"))))</f>
        <v>0.73299999999999998</v>
      </c>
      <c r="E34" s="1780" t="s">
        <v>1309</v>
      </c>
      <c r="F34" s="1327"/>
      <c r="G34" s="129"/>
      <c r="H34" s="129"/>
      <c r="I34" s="129"/>
    </row>
    <row r="35" spans="1:15" ht="15.75" thickBot="1">
      <c r="A35" s="1781"/>
      <c r="B35" s="1782" t="s">
        <v>1310</v>
      </c>
      <c r="C35" s="1167">
        <f ca="1">IF(C33="自定义",F35,ROUND(C32*D35,0))</f>
        <v>5995</v>
      </c>
      <c r="D35" s="1168">
        <f ca="1">IF(C33="自定义",ROUND(C35/C32,3),IF(C33="收益比率",SUMIF(INDIRECT("'"&amp;D33&amp;"'"&amp;"!b:b"),"建筑物收益比率",INDIRECT("'"&amp;D33&amp;"'"&amp;"!c:c")),SUMIF(INDIRECT("'"&amp;D33&amp;"'"&amp;"!b:b"),"建筑物成本比率",INDIRECT("'"&amp;D33&amp;"'"&amp;"!c:c"))))</f>
        <v>0.26700000000000002</v>
      </c>
      <c r="E35" s="1783" t="s">
        <v>1311</v>
      </c>
      <c r="F35" s="154"/>
      <c r="G35" s="129"/>
      <c r="H35" s="129"/>
      <c r="I35" s="129"/>
    </row>
    <row r="36" spans="1:15" ht="15.75" thickBot="1">
      <c r="A36" s="3610" t="s">
        <v>1312</v>
      </c>
      <c r="B36" s="1784" t="s">
        <v>1313</v>
      </c>
      <c r="C36" s="145"/>
      <c r="D36" s="1785"/>
      <c r="E36" s="1786"/>
      <c r="F36" s="1787"/>
      <c r="G36" s="129"/>
      <c r="H36" s="129"/>
      <c r="I36" s="129"/>
    </row>
    <row r="37" spans="1:15" ht="15.75" thickBot="1">
      <c r="A37" s="3611"/>
      <c r="B37" s="1671" t="s">
        <v>1314</v>
      </c>
      <c r="C37" s="147"/>
      <c r="D37" s="1136"/>
      <c r="E37" s="1136"/>
      <c r="F37" s="1787"/>
      <c r="G37" s="129"/>
      <c r="H37" s="129"/>
      <c r="I37" s="129"/>
    </row>
    <row r="38" spans="1:15" ht="15.75" thickBot="1">
      <c r="A38" s="3612"/>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30" t="s">
        <v>1326</v>
      </c>
      <c r="B45" s="3631"/>
      <c r="C45" s="3632"/>
      <c r="D45" s="155">
        <f ca="1">ROUND(H101*F45,0)</f>
        <v>947</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3"/>
      <c r="I46" s="159"/>
      <c r="J46" s="2520">
        <v>1</v>
      </c>
      <c r="K46" s="3551" t="s">
        <v>1331</v>
      </c>
      <c r="L46" s="3551"/>
      <c r="M46" s="3552"/>
      <c r="N46" s="3552"/>
      <c r="O46" s="3552"/>
    </row>
    <row r="47" spans="1:15" ht="12" customHeight="1">
      <c r="A47" s="160" t="s">
        <v>1332</v>
      </c>
      <c r="B47" s="161"/>
      <c r="C47" s="162"/>
      <c r="D47" s="1084" t="s">
        <v>1333</v>
      </c>
      <c r="E47" s="302" t="s">
        <v>1334</v>
      </c>
      <c r="F47" s="163" t="s">
        <v>1335</v>
      </c>
      <c r="G47" s="2543" t="s">
        <v>1336</v>
      </c>
      <c r="H47" s="2544"/>
      <c r="I47" s="159"/>
      <c r="J47" s="2520">
        <v>2</v>
      </c>
      <c r="K47" s="3551" t="s">
        <v>1337</v>
      </c>
      <c r="L47" s="3551"/>
      <c r="M47" s="3553">
        <f>'数据-取费表'!B2</f>
        <v>45496</v>
      </c>
      <c r="N47" s="3553"/>
      <c r="O47" s="3553"/>
    </row>
    <row r="48" spans="1:15" ht="25.5">
      <c r="A48" s="3613" t="s">
        <v>1338</v>
      </c>
      <c r="B48" s="3614"/>
      <c r="C48" s="3614"/>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551" t="s">
        <v>1340</v>
      </c>
      <c r="L48" s="3551"/>
      <c r="M48" s="3554">
        <f ca="1">H101</f>
        <v>947</v>
      </c>
      <c r="N48" s="3554"/>
      <c r="O48" s="3554"/>
    </row>
    <row r="49" spans="1:35" ht="25.5" customHeight="1">
      <c r="A49" s="2330" t="s">
        <v>1341</v>
      </c>
      <c r="B49" s="3599" t="s">
        <v>1342</v>
      </c>
      <c r="C49" s="3599"/>
      <c r="D49" s="1587">
        <v>0</v>
      </c>
      <c r="E49" s="324" t="s">
        <v>1343</v>
      </c>
      <c r="F49" s="2421" t="s">
        <v>28</v>
      </c>
      <c r="G49" s="3582"/>
      <c r="H49" s="2307" t="s">
        <v>2133</v>
      </c>
      <c r="I49" s="2308"/>
      <c r="J49" s="2520">
        <v>4</v>
      </c>
      <c r="K49" s="3551" t="str">
        <f>IF(项目基本情况!E8="房地产抵押价值","房地产抵押价值","抵押担保权已注销时的房地产抵押价值")</f>
        <v>房地产抵押价值</v>
      </c>
      <c r="L49" s="3551"/>
      <c r="M49" s="3554">
        <f ca="1">IF(项目基本情况!E8="房地产抵押价值",H107,H109)</f>
        <v>947</v>
      </c>
      <c r="N49" s="3554"/>
      <c r="O49" s="3554"/>
    </row>
    <row r="50" spans="1:35" ht="25.5" customHeight="1">
      <c r="A50" s="2548"/>
      <c r="B50" s="3599" t="s">
        <v>1344</v>
      </c>
      <c r="C50" s="3599"/>
      <c r="D50" s="2549"/>
      <c r="E50" s="332"/>
      <c r="F50" s="2421"/>
      <c r="G50" s="3583"/>
      <c r="H50" s="2309" t="s">
        <v>2134</v>
      </c>
      <c r="I50" s="2308"/>
      <c r="J50" s="3550" t="s">
        <v>1345</v>
      </c>
      <c r="K50" s="3550"/>
      <c r="L50" s="3550"/>
      <c r="M50" s="3550"/>
      <c r="N50" s="3550"/>
      <c r="O50" s="3550"/>
    </row>
    <row r="51" spans="1:35" ht="20.45" customHeight="1">
      <c r="A51" s="2550"/>
      <c r="B51" s="3599" t="s">
        <v>1346</v>
      </c>
      <c r="C51" s="3599"/>
      <c r="D51" s="1084"/>
      <c r="E51" s="327"/>
      <c r="F51" s="2421"/>
      <c r="G51" s="3584"/>
      <c r="H51" s="2309" t="s">
        <v>2135</v>
      </c>
      <c r="I51" s="2308"/>
      <c r="J51" s="2521" t="s">
        <v>1347</v>
      </c>
      <c r="K51" s="3551" t="s">
        <v>1348</v>
      </c>
      <c r="L51" s="3551"/>
      <c r="M51" s="2521" t="s">
        <v>1349</v>
      </c>
      <c r="N51" s="2521" t="s">
        <v>1350</v>
      </c>
      <c r="O51" s="2521" t="s">
        <v>1351</v>
      </c>
    </row>
    <row r="52" spans="1:35" ht="24" customHeight="1">
      <c r="A52" s="2332" t="s">
        <v>1352</v>
      </c>
      <c r="B52" s="3599" t="s">
        <v>1353</v>
      </c>
      <c r="C52" s="3599"/>
      <c r="D52" s="1084">
        <f ca="1">ROUND(D45*'数据-取费表'!B41/(1+'数据-取费表'!C42),0)</f>
        <v>51</v>
      </c>
      <c r="E52" s="2331" t="s">
        <v>1354</v>
      </c>
      <c r="F52" s="2551">
        <f>'数据-取费表'!B41</f>
        <v>5.6000000000000001E-2</v>
      </c>
      <c r="G52" s="2552"/>
      <c r="H52" s="2541"/>
      <c r="I52" s="1804"/>
      <c r="J52" s="2520">
        <v>1</v>
      </c>
      <c r="K52" s="3576" t="s">
        <v>1355</v>
      </c>
      <c r="L52" s="3576"/>
      <c r="M52" s="2522" t="b">
        <f>D48</f>
        <v>0</v>
      </c>
      <c r="N52" s="2520" t="str">
        <f>E48</f>
        <v>销售额×税（费）率</v>
      </c>
      <c r="O52" s="2523">
        <f>F48</f>
        <v>5.6000000000000001E-2</v>
      </c>
    </row>
    <row r="53" spans="1:35" ht="12" customHeight="1">
      <c r="A53" s="2332" t="s">
        <v>1356</v>
      </c>
      <c r="B53" s="3600" t="s">
        <v>2290</v>
      </c>
      <c r="C53" s="3601"/>
      <c r="D53" s="1084">
        <f ca="1">ROUND(D45*'数据-取费表'!B41/(1+'数据-取费表'!C42),0)</f>
        <v>51</v>
      </c>
      <c r="E53" s="2331" t="s">
        <v>1354</v>
      </c>
      <c r="F53" s="2551">
        <f>'数据-取费表'!B41</f>
        <v>5.6000000000000001E-2</v>
      </c>
      <c r="G53" s="2552"/>
      <c r="H53" s="2541"/>
      <c r="I53" s="1804"/>
      <c r="J53" s="2520">
        <v>2</v>
      </c>
      <c r="K53" s="3576" t="s">
        <v>1357</v>
      </c>
      <c r="L53" s="3576"/>
      <c r="M53" s="2522">
        <f t="shared" ref="M53:O54" ca="1" si="0">D55</f>
        <v>0</v>
      </c>
      <c r="N53" s="2520" t="str">
        <f t="shared" si="0"/>
        <v>销售额×税（费）率</v>
      </c>
      <c r="O53" s="2523" t="str">
        <f t="shared" si="0"/>
        <v>免征</v>
      </c>
    </row>
    <row r="54" spans="1:35" ht="12" customHeight="1">
      <c r="A54" s="2332" t="s">
        <v>1358</v>
      </c>
      <c r="B54" s="3600" t="s">
        <v>2291</v>
      </c>
      <c r="C54" s="3601"/>
      <c r="D54" s="1084">
        <f ca="1">C68</f>
        <v>51</v>
      </c>
      <c r="E54" s="327" t="s">
        <v>1359</v>
      </c>
      <c r="F54" s="2551">
        <f>'数据-取费表'!B41</f>
        <v>5.6000000000000001E-2</v>
      </c>
      <c r="G54" s="2552"/>
      <c r="H54" s="2553"/>
      <c r="I54" s="1804"/>
      <c r="J54" s="2520">
        <v>3</v>
      </c>
      <c r="K54" s="3576" t="s">
        <v>1360</v>
      </c>
      <c r="L54" s="3576"/>
      <c r="M54" s="2522">
        <f t="shared" ca="1" si="0"/>
        <v>536</v>
      </c>
      <c r="N54" s="2520" t="str">
        <f t="shared" si="0"/>
        <v>增值额×税（费）率</v>
      </c>
      <c r="O54" s="2524" t="str">
        <f t="shared" si="0"/>
        <v>免征</v>
      </c>
    </row>
    <row r="55" spans="1:35" ht="24" customHeight="1">
      <c r="A55" s="3636" t="s">
        <v>1361</v>
      </c>
      <c r="B55" s="3614"/>
      <c r="C55" s="3614"/>
      <c r="D55" s="2321">
        <f ca="1">IF(H55="个人住宅",0,ROUND(D45*I55,0))</f>
        <v>0</v>
      </c>
      <c r="E55" s="2331" t="s">
        <v>1362</v>
      </c>
      <c r="F55" s="2551" t="str">
        <f>IF(H55="正常",I55,"免征")</f>
        <v>免征</v>
      </c>
      <c r="G55" s="2552"/>
      <c r="H55" s="2547"/>
      <c r="I55" s="165">
        <f>'数据-取费表'!B49</f>
        <v>5.0000000000000001E-4</v>
      </c>
      <c r="J55" s="2520">
        <f>IF(H59="非个人房产","",4)</f>
        <v>4</v>
      </c>
      <c r="K55" s="3576" t="str">
        <f>IF(H59="非个人房产","——","个人所得税")</f>
        <v>个人所得税</v>
      </c>
      <c r="L55" s="3576"/>
      <c r="M55" s="2525">
        <f ca="1">D59</f>
        <v>9</v>
      </c>
      <c r="N55" s="2037" t="str">
        <f>E59</f>
        <v>差额计税</v>
      </c>
      <c r="O55" s="2526">
        <f>F59</f>
        <v>0.01</v>
      </c>
    </row>
    <row r="56" spans="1:35" ht="24.75">
      <c r="A56" s="3636" t="s">
        <v>1363</v>
      </c>
      <c r="B56" s="3614"/>
      <c r="C56" s="3614"/>
      <c r="D56" s="2321">
        <f ca="1">IF(H56="个人住宅",D57,D58)</f>
        <v>536</v>
      </c>
      <c r="E56" s="2331" t="s">
        <v>1364</v>
      </c>
      <c r="F56" s="2551" t="str">
        <f>IF(H56="正常",F58,"免征")</f>
        <v>免征</v>
      </c>
      <c r="G56" s="2554" t="s">
        <v>1365</v>
      </c>
      <c r="H56" s="2555"/>
      <c r="I56" s="1805"/>
      <c r="J56" s="2520" t="str">
        <f>IF(项目基本情况!K6="上海银行",IF(J55="",4,J55+1),"")</f>
        <v/>
      </c>
      <c r="K56" s="3557" t="str">
        <f>IF(项目基本情况!K6="上海银行","其他处置费用","")</f>
        <v/>
      </c>
      <c r="L56" s="3558"/>
      <c r="M56" s="2522" t="str">
        <f>IF(项目基本情况!K6="上海银行",M69,"")</f>
        <v/>
      </c>
      <c r="N56" s="3557" t="str">
        <f>IF(项目基本情况!K6="上海银行","包含处置中涉及的律师、诉讼、拍卖、评估等费用","")</f>
        <v/>
      </c>
      <c r="O56" s="3560"/>
    </row>
    <row r="57" spans="1:35" ht="12.75">
      <c r="A57" s="2332" t="s">
        <v>1341</v>
      </c>
      <c r="B57" s="3600" t="s">
        <v>1366</v>
      </c>
      <c r="C57" s="3601"/>
      <c r="D57" s="1587">
        <v>0</v>
      </c>
      <c r="E57" s="324" t="s">
        <v>1343</v>
      </c>
      <c r="F57" s="302"/>
      <c r="G57" s="2552"/>
      <c r="H57" s="2556"/>
      <c r="I57" s="1805"/>
      <c r="J57" s="3576">
        <f>IF(AND(J55="",J56=""),4,IF(项目基本情况!K6="上海银行",结果表!J56+1,结果表!J55+1))</f>
        <v>5</v>
      </c>
      <c r="K57" s="3576" t="s">
        <v>1367</v>
      </c>
      <c r="L57" s="2527" t="s">
        <v>1368</v>
      </c>
      <c r="M57" s="2528"/>
      <c r="N57" s="2529">
        <f ca="1">SUMIF(M52:M56,"&lt;9e307")</f>
        <v>545</v>
      </c>
      <c r="O57" s="2530"/>
      <c r="P57" s="2687">
        <f ca="1">N57/M49</f>
        <v>0.57550158394931361</v>
      </c>
    </row>
    <row r="58" spans="1:35" ht="24.75">
      <c r="A58" s="2332" t="s">
        <v>1352</v>
      </c>
      <c r="B58" s="3600" t="s">
        <v>1369</v>
      </c>
      <c r="C58" s="3599"/>
      <c r="D58" s="2321">
        <f ca="1">IF(H58="转让取得",C81,C97)</f>
        <v>536</v>
      </c>
      <c r="E58" s="2331" t="s">
        <v>1364</v>
      </c>
      <c r="F58" s="302" t="s">
        <v>28</v>
      </c>
      <c r="G58" s="2552"/>
      <c r="H58" s="2555"/>
      <c r="I58" s="1805"/>
      <c r="J58" s="3576"/>
      <c r="K58" s="3576"/>
      <c r="L58" s="2527" t="s">
        <v>1370</v>
      </c>
      <c r="M58" s="2531"/>
      <c r="N58" s="2532" t="str">
        <f ca="1">NUMBERSTRING(INT(N57*10000),2)&amp;"元整"</f>
        <v>伍佰肆拾伍万元整</v>
      </c>
      <c r="O58" s="2533"/>
    </row>
    <row r="59" spans="1:35" ht="24.75" thickBot="1">
      <c r="A59" s="3580" t="s">
        <v>1371</v>
      </c>
      <c r="B59" s="3581"/>
      <c r="C59" s="3581"/>
      <c r="D59" s="2557">
        <f ca="1">IF(H59="非个人房产","——",IF(H59="个人住宅（满五唯一有凭证）",0,IF(H59="个人其他（无凭证）",ROUND(D45*F59,0),ROUND(C67*F59,0))))</f>
        <v>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78">
        <f>J57+1</f>
        <v>6</v>
      </c>
      <c r="K59" s="3576" t="s">
        <v>1372</v>
      </c>
      <c r="L59" s="2520" t="s">
        <v>1368</v>
      </c>
      <c r="M59" s="2534"/>
      <c r="N59" s="2535">
        <f ca="1">M49-N57</f>
        <v>402</v>
      </c>
      <c r="O59" s="2536"/>
    </row>
    <row r="60" spans="1:35" ht="12" customHeight="1">
      <c r="A60" s="1806"/>
      <c r="B60" s="1744"/>
      <c r="C60" s="1744"/>
      <c r="D60" s="1744"/>
      <c r="E60" s="1575"/>
      <c r="F60" s="1805"/>
      <c r="G60" s="1805"/>
      <c r="H60" s="1807"/>
      <c r="I60" s="129"/>
      <c r="J60" s="3579"/>
      <c r="K60" s="3576"/>
      <c r="L60" s="2527" t="s">
        <v>1370</v>
      </c>
      <c r="M60" s="2531"/>
      <c r="N60" s="2532" t="str">
        <f ca="1">NUMBERSTRING(INT(N59*10000),2)&amp;"元整"</f>
        <v>肆佰零贰万元整</v>
      </c>
      <c r="O60" s="2533"/>
    </row>
    <row r="61" spans="1:35" ht="13.5" thickBot="1">
      <c r="A61" s="3635" t="s">
        <v>1373</v>
      </c>
      <c r="B61" s="3635"/>
      <c r="C61" s="3635"/>
      <c r="D61" s="3635"/>
      <c r="E61" s="3635"/>
      <c r="F61" s="1805"/>
      <c r="G61" s="1805"/>
      <c r="H61" s="1807"/>
      <c r="I61" s="129"/>
      <c r="J61" s="2520">
        <f>J59+1</f>
        <v>7</v>
      </c>
      <c r="K61" s="3576" t="s">
        <v>1374</v>
      </c>
      <c r="L61" s="3576"/>
      <c r="M61" s="2537"/>
      <c r="N61" s="2538">
        <f ca="1">ROUND(N59*10000/'数据-汇总表'!E3,0)</f>
        <v>9535</v>
      </c>
      <c r="O61" s="2539"/>
    </row>
    <row r="62" spans="1:35" ht="12.75">
      <c r="A62" s="3595" t="s">
        <v>1375</v>
      </c>
      <c r="B62" s="3596"/>
      <c r="C62" s="2018"/>
      <c r="D62" s="2018" t="s">
        <v>1376</v>
      </c>
      <c r="E62" s="166" t="s">
        <v>1377</v>
      </c>
      <c r="F62" s="1805"/>
      <c r="G62" s="1805"/>
      <c r="H62" s="1807"/>
      <c r="I62" s="129"/>
    </row>
    <row r="63" spans="1:35" ht="12.75">
      <c r="A63" s="173" t="s">
        <v>330</v>
      </c>
      <c r="B63" s="167" t="s">
        <v>1378</v>
      </c>
      <c r="C63" s="2561">
        <f ca="1">ROUND((C64+C65)/(1+'数据-取费表'!C42),0)</f>
        <v>902</v>
      </c>
      <c r="D63" s="167"/>
      <c r="E63" s="168"/>
      <c r="F63" s="1805"/>
      <c r="G63" s="1805"/>
      <c r="H63" s="1807"/>
      <c r="I63" s="129"/>
      <c r="J63" s="3559" t="s">
        <v>1379</v>
      </c>
      <c r="K63" s="1329" t="s">
        <v>1380</v>
      </c>
      <c r="L63" s="1329">
        <f ca="1">IF(M49&gt;10000,M49*0.5%,IF(AND(M49&gt;1000,M49&lt;=10000),M49*1%,IF(AND(M49&gt;100,M49&lt;=1000),M49*3%,IF(AND(M49&gt;10,M49&lt;=100),M49*5%,M49*8%))))</f>
        <v>28.41</v>
      </c>
      <c r="M63" s="302">
        <f ca="1">ROUND(L63,1)</f>
        <v>28.4</v>
      </c>
      <c r="N63" s="2540"/>
      <c r="Z63" s="1749"/>
      <c r="AI63" s="1750"/>
    </row>
    <row r="64" spans="1:35" ht="14.25" customHeight="1">
      <c r="A64" s="169" t="s">
        <v>325</v>
      </c>
      <c r="B64" s="170" t="s">
        <v>1381</v>
      </c>
      <c r="C64" s="2562">
        <f ca="1">D45</f>
        <v>947</v>
      </c>
      <c r="D64" s="170" t="s">
        <v>26</v>
      </c>
      <c r="E64" s="172"/>
      <c r="F64" s="1805"/>
      <c r="G64" s="1805"/>
      <c r="H64" s="1807"/>
      <c r="I64" s="129"/>
      <c r="J64" s="3559"/>
      <c r="K64" s="1329" t="s">
        <v>1382</v>
      </c>
      <c r="L64" s="1329">
        <f ca="1">IF(M49&gt;2000,M49*0.5%,IF(AND(M49&gt;1000,M49&lt;=2000),M49*0.6%,IF(AND(M49&gt;500,M49&lt;=1000),M49*0.7%,IF(AND(M49&gt;200,M49&lt;=500),M49*0.8%,IF(AND(M49&gt;100,M49&lt;=200),M49*0.9%,IF(AND(M49&gt;50,M49&lt;=100),M49*1%,IF(AND(M49&gt;20,M49&lt;=50),M49*1.5%,IF(AND(M49&gt;10,M49&lt;=20),M49*2%,IF(AND(M49&gt;1,M49&lt;=10),M49*2.5%)))))))))</f>
        <v>6.6289999999999996</v>
      </c>
      <c r="M64" s="302">
        <f t="shared" ref="M64:M65" ca="1" si="1">ROUND(L64,1)</f>
        <v>6.6</v>
      </c>
      <c r="N64" s="2541" t="s">
        <v>1383</v>
      </c>
      <c r="Z64" s="1749"/>
      <c r="AI64" s="1750"/>
    </row>
    <row r="65" spans="1:35" ht="14.25" customHeight="1">
      <c r="A65" s="169" t="s">
        <v>326</v>
      </c>
      <c r="B65" s="170" t="s">
        <v>1384</v>
      </c>
      <c r="C65" s="2563"/>
      <c r="D65" s="170"/>
      <c r="E65" s="172"/>
      <c r="F65" s="1805"/>
      <c r="G65" s="1805"/>
      <c r="H65" s="1807"/>
      <c r="I65" s="129"/>
      <c r="J65" s="3559"/>
      <c r="K65" s="1329" t="s">
        <v>1385</v>
      </c>
      <c r="L65" s="1329">
        <f ca="1">IF(M49&gt;1000,M49*0.1%,IF(AND(M49&gt;500,M49&lt;=1000),M49*0.5%,IF(AND(M49&gt;50,M49&lt;=500),M49*1%,IF(AND(M49&gt;1,M49&lt;=50),M49*1.5%))))</f>
        <v>4.7350000000000003</v>
      </c>
      <c r="M65" s="302">
        <f t="shared" ca="1" si="1"/>
        <v>4.7</v>
      </c>
      <c r="N65" s="2541" t="s">
        <v>1383</v>
      </c>
      <c r="Z65" s="1749"/>
      <c r="AI65" s="1750"/>
    </row>
    <row r="66" spans="1:35" ht="14.25" customHeight="1">
      <c r="A66" s="173" t="s">
        <v>327</v>
      </c>
      <c r="B66" s="174" t="s">
        <v>1386</v>
      </c>
      <c r="C66" s="2564"/>
      <c r="D66" s="174" t="s">
        <v>26</v>
      </c>
      <c r="E66" s="1335" t="s">
        <v>671</v>
      </c>
      <c r="F66" s="1805"/>
      <c r="G66" s="1805"/>
      <c r="H66" s="1807"/>
      <c r="I66" s="129"/>
      <c r="J66" s="3559"/>
      <c r="K66" s="1329" t="s">
        <v>1387</v>
      </c>
      <c r="L66" s="1329">
        <f ca="1">M49*0.5%</f>
        <v>4.7350000000000003</v>
      </c>
      <c r="M66" s="302">
        <f ca="1">IF(L66&gt;0.5,0.5,ROUND(L66,0))</f>
        <v>0.5</v>
      </c>
      <c r="N66" s="2541" t="s">
        <v>1388</v>
      </c>
      <c r="Z66" s="1749"/>
      <c r="AI66" s="1750"/>
    </row>
    <row r="67" spans="1:35" ht="14.25" customHeight="1">
      <c r="A67" s="173" t="s">
        <v>328</v>
      </c>
      <c r="B67" s="174" t="s">
        <v>1389</v>
      </c>
      <c r="C67" s="2565">
        <f ca="1">C63-C66</f>
        <v>902</v>
      </c>
      <c r="D67" s="170" t="s">
        <v>26</v>
      </c>
      <c r="E67" s="172"/>
      <c r="F67" s="1805"/>
      <c r="G67" s="1805"/>
      <c r="H67" s="1807"/>
      <c r="I67" s="129"/>
      <c r="J67" s="3559"/>
      <c r="K67" s="1329" t="s">
        <v>1390</v>
      </c>
      <c r="L67" s="1329">
        <f ca="1">IF(M49&gt;=10000,(8.25+(M49-10000)*0.01%),IF(AND(M49&gt;=8000,M49&lt;10000),(7.85+(M49-8000)*0.02%),IF(AND(M49&gt;=5000,M49&lt;8000),(6.65+(M49-5000)*0.04%),IF(AND(M49&gt;=2000,M49&lt;5000),(4.25+(PM49-2000)*0.08%),IF(AND(M49&gt;=1000,M49&lt;2000),(2.75+(M49-1000)*0.15%),IF(AND(M49&gt;=100,M49&lt;1000),(0.5+(M49-100)*0.25%),IF(AND(M49&gt;0,M49&lt;100),M49*0.5%)))))))</f>
        <v>2.6175000000000002</v>
      </c>
      <c r="M67" s="302">
        <f ca="1">ROUND(L67*0.9,1)</f>
        <v>2.4</v>
      </c>
      <c r="N67" s="2540"/>
      <c r="Z67" s="1749"/>
      <c r="AI67" s="1750"/>
    </row>
    <row r="68" spans="1:35" ht="14.25" customHeight="1" thickBot="1">
      <c r="A68" s="176" t="s">
        <v>329</v>
      </c>
      <c r="B68" s="177" t="s">
        <v>1391</v>
      </c>
      <c r="C68" s="2566">
        <f ca="1">IF(C67&lt;=0,0,ROUND(C67*D68,0))</f>
        <v>51</v>
      </c>
      <c r="D68" s="2567">
        <f>'数据-取费表'!B41</f>
        <v>5.6000000000000001E-2</v>
      </c>
      <c r="E68" s="178"/>
      <c r="F68" s="1805"/>
      <c r="G68" s="1805"/>
      <c r="H68" s="1807"/>
      <c r="I68" s="129"/>
      <c r="J68" s="3559"/>
      <c r="K68" s="1329" t="s">
        <v>1392</v>
      </c>
      <c r="L68" s="1329">
        <f ca="1">IF(M49&gt;10000,M49*0.5%,IF(AND(M49&gt;5000,M49&lt;=10000),M49*1%,IF(AND(M49&gt;1000,M49&lt;=5000),M49*2%,IF(AND(M49&gt;200,M49&lt;=1000),M49*3%,M49*5%))))</f>
        <v>28.41</v>
      </c>
      <c r="M68" s="302">
        <f ca="1">ROUND(L68,1)</f>
        <v>28.4</v>
      </c>
      <c r="N68" s="2540"/>
      <c r="Z68" s="1749"/>
      <c r="AI68" s="1750"/>
    </row>
    <row r="69" spans="1:35" s="1769" customFormat="1" ht="16.5" customHeight="1">
      <c r="A69" s="1808"/>
      <c r="B69" s="1809"/>
      <c r="C69" s="1810"/>
      <c r="D69" s="1811"/>
      <c r="E69" s="1812"/>
      <c r="F69" s="1575"/>
      <c r="G69" s="1575"/>
      <c r="H69" s="1574"/>
      <c r="I69" s="1744"/>
      <c r="J69" s="3559"/>
      <c r="K69" s="1329" t="s">
        <v>1393</v>
      </c>
      <c r="L69" s="1329"/>
      <c r="M69" s="302">
        <f ca="1">ROUND(SUM(M63:M68),0)</f>
        <v>71</v>
      </c>
      <c r="N69" s="2542">
        <f ca="1">M69/M49</f>
        <v>7.4973600844772961E-2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03" t="s">
        <v>1394</v>
      </c>
      <c r="B70" s="3604"/>
      <c r="C70" s="3604"/>
      <c r="D70" s="3604"/>
      <c r="E70" s="3604"/>
      <c r="F70" s="3604"/>
      <c r="G70" s="3604"/>
      <c r="H70" s="3604"/>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5" t="s">
        <v>1375</v>
      </c>
      <c r="B71" s="3596"/>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902</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600" t="s">
        <v>1402</v>
      </c>
      <c r="F76" s="3599"/>
      <c r="G76" s="3599"/>
      <c r="H76" s="360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5</v>
      </c>
      <c r="D78" s="2574">
        <f>'数据-取费表'!B43</f>
        <v>6.000000000000001E-3</v>
      </c>
      <c r="E78" s="3592" t="s">
        <v>1406</v>
      </c>
      <c r="F78" s="3593"/>
      <c r="G78" s="3593"/>
      <c r="H78" s="359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897</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179.4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536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3" t="s">
        <v>1410</v>
      </c>
      <c r="B83" s="3604"/>
      <c r="C83" s="3604"/>
      <c r="D83" s="3604"/>
      <c r="E83" s="3604"/>
      <c r="F83" s="3604"/>
      <c r="G83" s="3604"/>
      <c r="H83" s="360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5" t="s">
        <v>1375</v>
      </c>
      <c r="B84" s="359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902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61" t="s">
        <v>2128</v>
      </c>
      <c r="H90" s="3562"/>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92" t="s">
        <v>1419</v>
      </c>
      <c r="F91" s="3593"/>
      <c r="G91" s="359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92" t="s">
        <v>1422</v>
      </c>
      <c r="F92" s="3593"/>
      <c r="G92" s="3593"/>
      <c r="H92" s="3594"/>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5</v>
      </c>
      <c r="D93" s="2574">
        <f>'数据-取费表'!B43</f>
        <v>6.000000000000001E-3</v>
      </c>
      <c r="E93" s="3592" t="s">
        <v>1406</v>
      </c>
      <c r="F93" s="3593"/>
      <c r="G93" s="3593"/>
      <c r="H93" s="359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37" t="s">
        <v>1426</v>
      </c>
      <c r="F94" s="3638"/>
      <c r="G94" s="3638"/>
      <c r="H94" s="363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897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179.4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536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2" t="str">
        <f>C4</f>
        <v>比较法-办公</v>
      </c>
      <c r="D101" s="2583" t="str">
        <f>D4</f>
        <v>收益法 (元)</v>
      </c>
      <c r="E101" s="3555" t="s">
        <v>1431</v>
      </c>
      <c r="F101" s="3556"/>
      <c r="G101" s="1824" t="s">
        <v>1432</v>
      </c>
      <c r="H101" s="2592">
        <f ca="1">H118</f>
        <v>947</v>
      </c>
      <c r="I101" s="129"/>
    </row>
    <row r="102" spans="1:35" ht="18.75" customHeight="1">
      <c r="A102" s="3587" t="s">
        <v>1433</v>
      </c>
      <c r="B102" s="2581" t="s">
        <v>1432</v>
      </c>
      <c r="C102" s="2582">
        <f ca="1">IF(D32="楼面单价",ROUND(C19,0),C19)</f>
        <v>1067</v>
      </c>
      <c r="D102" s="2583">
        <f ca="1">IF(D32="楼面单价",ROUND(D19,0),D19)</f>
        <v>667</v>
      </c>
      <c r="E102" s="3555"/>
      <c r="F102" s="3556"/>
      <c r="G102" s="1824" t="s">
        <v>1434</v>
      </c>
      <c r="H102" s="2552">
        <f ca="1">I118</f>
        <v>22453</v>
      </c>
      <c r="I102" s="129"/>
    </row>
    <row r="103" spans="1:35" ht="42.75" customHeight="1">
      <c r="A103" s="3587"/>
      <c r="B103" s="2581" t="s">
        <v>1434</v>
      </c>
      <c r="C103" s="2584">
        <f ca="1">C20</f>
        <v>25300</v>
      </c>
      <c r="D103" s="2585">
        <f ca="1">D20</f>
        <v>15810</v>
      </c>
      <c r="E103" s="3548" t="s">
        <v>1435</v>
      </c>
      <c r="F103" s="3549"/>
      <c r="G103" s="1825" t="s">
        <v>1436</v>
      </c>
      <c r="H103" s="2592">
        <f>IF(D36="正常操作",H104+H105+H106,H105+H106)</f>
        <v>0</v>
      </c>
      <c r="I103" s="129"/>
    </row>
    <row r="104" spans="1:35" ht="18.75" customHeight="1">
      <c r="A104" s="3587" t="s">
        <v>1437</v>
      </c>
      <c r="B104" s="2586" t="s">
        <v>1432</v>
      </c>
      <c r="C104" s="2587">
        <f ca="1">H118</f>
        <v>947</v>
      </c>
      <c r="D104" s="2588"/>
      <c r="E104" s="1671" t="s">
        <v>1438</v>
      </c>
      <c r="F104" s="1663"/>
      <c r="G104" s="1825" t="s">
        <v>1436</v>
      </c>
      <c r="H104" s="2593">
        <f>IF(D36="同一抵押权人同一抵押物续贷",C36&amp;"（续贷，未扣减，详见特别提示）",C36)</f>
        <v>0</v>
      </c>
      <c r="I104" s="129"/>
    </row>
    <row r="105" spans="1:35" ht="18.75" customHeight="1" thickBot="1">
      <c r="A105" s="3597"/>
      <c r="B105" s="2589" t="s">
        <v>1434</v>
      </c>
      <c r="C105" s="2590">
        <f ca="1">I118</f>
        <v>22453</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88" t="str">
        <f>IF(项目基本情况!E8="已注销","——","3.房地产抵押价值")</f>
        <v>3.房地产抵押价值</v>
      </c>
      <c r="F107" s="3556"/>
      <c r="G107" s="1824" t="s">
        <v>1432</v>
      </c>
      <c r="H107" s="2592">
        <f ca="1">IF(E107="——","——",H101-H103)</f>
        <v>947</v>
      </c>
      <c r="I107" s="129"/>
    </row>
    <row r="108" spans="1:35" ht="18.75" customHeight="1">
      <c r="A108" s="129"/>
      <c r="B108" s="129"/>
      <c r="C108" s="129"/>
      <c r="D108" s="129"/>
      <c r="E108" s="3588"/>
      <c r="F108" s="3556"/>
      <c r="G108" s="1824" t="s">
        <v>1434</v>
      </c>
      <c r="H108" s="2552">
        <f ca="1">IF(H107=H101,H102,ROUND(H107*10000/'数据-汇总表'!E3,0))</f>
        <v>22453</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4" t="s">
        <v>1432</v>
      </c>
      <c r="H109" s="2595" t="str">
        <f>IF(E109="——","——",H101-H105-H106)</f>
        <v>——</v>
      </c>
      <c r="I109" s="129"/>
    </row>
    <row r="110" spans="1:35" ht="18.75" customHeight="1">
      <c r="A110" s="129"/>
      <c r="B110" s="129"/>
      <c r="C110" s="129"/>
      <c r="D110" s="129"/>
      <c r="E110" s="3588"/>
      <c r="F110" s="3556"/>
      <c r="G110" s="1824" t="s">
        <v>1434</v>
      </c>
      <c r="H110" s="2552"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4" t="s">
        <v>1432</v>
      </c>
      <c r="H111" s="2592" t="str">
        <f>IF(E111="——","——",N59)</f>
        <v>——</v>
      </c>
      <c r="I111" s="129"/>
    </row>
    <row r="112" spans="1:35" ht="18.75" customHeight="1" thickBot="1">
      <c r="A112" s="129"/>
      <c r="B112" s="129"/>
      <c r="C112" s="129"/>
      <c r="D112" s="129"/>
      <c r="E112" s="3590"/>
      <c r="F112" s="3591"/>
      <c r="G112" s="1827"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4"/>
      <c r="B114" s="1744"/>
      <c r="C114" s="1744"/>
      <c r="D114" s="1744"/>
      <c r="E114" s="1806"/>
      <c r="F114" s="1806"/>
      <c r="G114" s="1806"/>
      <c r="H114" s="1806"/>
      <c r="I114" s="1744"/>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421.62</v>
      </c>
      <c r="C118" s="2326">
        <f>M19</f>
        <v>212.2</v>
      </c>
      <c r="D118" s="2326">
        <f ca="1">ROUND(IF(D32="总价",C34,E118*B118/10000),0)</f>
        <v>694</v>
      </c>
      <c r="E118" s="2326">
        <f ca="1">ROUND(IF(C33="自定义",IF(D32="楼面单价",C34,D118*10000/B118),I118-G118),0)</f>
        <v>16458</v>
      </c>
      <c r="F118" s="2326">
        <f ca="1">ROUND(IF(D32="总价",C35,G118*B118/10000),0)</f>
        <v>253</v>
      </c>
      <c r="G118" s="2326">
        <f ca="1">ROUND(IF(D32="楼面单价",C35,F118*10000/B118),0)</f>
        <v>5995</v>
      </c>
      <c r="H118" s="2326">
        <f ca="1">ROUND(IF(D32="总价",C32,I118*B118/10000),0)</f>
        <v>947</v>
      </c>
      <c r="I118" s="2326">
        <f ca="1">ROUND(IF(D32="楼面单价",C32,H118*10000/B118),0)</f>
        <v>22453</v>
      </c>
    </row>
    <row r="119" spans="1:27" ht="18.75" customHeight="1">
      <c r="A119" s="3563" t="s">
        <v>1452</v>
      </c>
      <c r="B119" s="3563"/>
      <c r="C119" s="3563"/>
      <c r="D119" s="3569" t="str">
        <f ca="1">NUMBERSTRING(INT(D118*10000),2)&amp;"元整"</f>
        <v>陆佰玖拾肆万元整</v>
      </c>
      <c r="E119" s="3570"/>
      <c r="F119" s="3569" t="str">
        <f ca="1">NUMBERSTRING(INT(F118*10000),2)&amp;"元整"</f>
        <v>贰佰伍拾叁万元整</v>
      </c>
      <c r="G119" s="3570"/>
      <c r="H119" s="3569" t="str">
        <f ca="1">NUMBERSTRING(INT(H118*10000),2)&amp;"元整"</f>
        <v>玖佰肆拾柒万元整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房地产抵押价值</v>
      </c>
      <c r="B122" s="3575"/>
      <c r="C122" s="3575"/>
      <c r="D122" s="3564">
        <f ca="1">H107</f>
        <v>947</v>
      </c>
      <c r="E122" s="3565"/>
      <c r="F122" s="3565"/>
      <c r="G122" s="3565"/>
      <c r="H122" s="3565"/>
      <c r="I122" s="3566"/>
      <c r="AA122" s="723"/>
    </row>
    <row r="123" spans="1:27" ht="18.75" customHeight="1">
      <c r="A123" s="3563" t="s">
        <v>1452</v>
      </c>
      <c r="B123" s="3563"/>
      <c r="C123" s="3563"/>
      <c r="D123" s="3569" t="str">
        <f ca="1">NUMBERSTRING(INT(D122*10000),2)&amp;"元整"</f>
        <v>玖佰肆拾柒万元整</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113642</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2695365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84324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84324</v>
      </c>
      <c r="D8" s="222"/>
      <c r="E8" s="220"/>
      <c r="F8" s="221"/>
      <c r="G8" s="1853"/>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4"/>
      <c r="H9" s="1134"/>
      <c r="I9" s="1855" t="s">
        <v>1479</v>
      </c>
    </row>
    <row r="10" spans="1:9" s="214" customFormat="1" ht="13.5" customHeight="1">
      <c r="A10" s="777" t="s">
        <v>356</v>
      </c>
      <c r="B10" s="224" t="s">
        <v>1480</v>
      </c>
      <c r="C10" s="225">
        <f ca="1">ROUND(D10*E10/10000,0)</f>
        <v>8</v>
      </c>
      <c r="D10" s="843">
        <f ca="1">IF(B1="",'数据-汇总表'!E6,IF(INDIRECT("'数据-取费表'!c"&amp;$G$1)="住宅",INDIRECT("'数据-取费表'!s"&amp;$G$1),INDIRECT("'数据-取费表'!k"&amp;$G$1)+INDIRECT("'数据-取费表'!s"&amp;$G$1)))</f>
        <v>421.62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8</v>
      </c>
      <c r="D19" s="847">
        <f ca="1">D9+D10</f>
        <v>421.62</v>
      </c>
      <c r="E19" s="211">
        <f>'数据-取费表'!B31</f>
        <v>200</v>
      </c>
      <c r="F19" s="231"/>
      <c r="G19" s="1853"/>
    </row>
    <row r="20" spans="1:7" s="214" customFormat="1" ht="13.5" customHeight="1">
      <c r="A20" s="255" t="s">
        <v>1493</v>
      </c>
      <c r="B20" s="210" t="s">
        <v>1494</v>
      </c>
      <c r="C20" s="232">
        <f ca="1">ROUND((C5+C19)*F20,0)</f>
        <v>1687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5802</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8" t="s">
        <v>1502</v>
      </c>
      <c r="B23" s="215" t="s">
        <v>1503</v>
      </c>
      <c r="C23" s="1102">
        <f>ROUND(IF('数据-取费表'!B22&lt;=1,C5*F22*'数据-取费表'!B23,C5*(POWER((1+F22),'数据-取费表'!B23)-1)),0)</f>
        <v>5744</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2">
        <f ca="1">ROUND(IF('数据-取费表'!B22&lt;=1,C20*F22*'数据-取费表'!B23/2,C20*(POWER((1+F22),'数据-取费表'!B23/2)-1)),0)</f>
        <v>57</v>
      </c>
      <c r="D25" s="238"/>
      <c r="E25" s="241"/>
      <c r="F25" s="239"/>
      <c r="G25" s="242" t="s">
        <v>1510</v>
      </c>
    </row>
    <row r="26" spans="1:7" s="214" customFormat="1">
      <c r="A26" s="778"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12903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12903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113460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169</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8</v>
      </c>
      <c r="D37" s="217">
        <f ca="1">D19</f>
        <v>421.62</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v>
      </c>
      <c r="D41" s="235">
        <f>C44</f>
        <v>6.9999999999999999E-4</v>
      </c>
      <c r="E41" s="236" t="s">
        <v>1539</v>
      </c>
      <c r="F41" s="237">
        <f>F22</f>
        <v>3.3500000000000002E-2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182</v>
      </c>
      <c r="D51" s="232"/>
      <c r="E51" s="232"/>
      <c r="F51" s="264"/>
      <c r="G51" s="234" t="s">
        <v>1560</v>
      </c>
    </row>
    <row r="52" spans="1:7" s="208" customFormat="1" ht="16.5" thickBot="1">
      <c r="A52" s="265" t="s">
        <v>1561</v>
      </c>
      <c r="B52" s="266"/>
      <c r="C52" s="267">
        <f ca="1">C31+C51</f>
        <v>113642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北京市房地产抵押价值预评估</v>
      </c>
      <c r="C37" s="3459"/>
      <c r="D37" s="3459"/>
      <c r="E37" s="3459"/>
      <c r="F37" s="3459"/>
      <c r="G37" s="3459"/>
      <c r="H37" s="3459"/>
      <c r="I37" s="3459"/>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9" t="str">
        <f>IF(ISERROR(FIND("住宅",B1)),"非住宅","住宅")</f>
        <v>非住宅</v>
      </c>
    </row>
    <row r="2" spans="1:8" s="200" customFormat="1" ht="18" customHeight="1">
      <c r="A2" s="201" t="s">
        <v>1462</v>
      </c>
      <c r="B2" s="3421">
        <f ca="1">ROUND(IF(D2="——",C52/10000,C52/10000-E2),4)</f>
        <v>204.66059999999999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4854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84324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84324</v>
      </c>
      <c r="D8" s="222"/>
      <c r="E8" s="220"/>
      <c r="F8" s="221"/>
      <c r="G8" s="1853"/>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84324</v>
      </c>
      <c r="D10" s="843">
        <f ca="1">IF(B1="",'数据-汇总表'!E6,IF(INDIRECT("'数据-取费表'!c"&amp;$G$1)="住宅",INDIRECT("'数据-取费表'!s"&amp;$G$1),INDIRECT("'数据-取费表'!k"&amp;$G$1)+INDIRECT("'数据-取费表'!s"&amp;$G$1)))</f>
        <v>421.62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84324</v>
      </c>
      <c r="D19" s="847">
        <f ca="1">D9+D10</f>
        <v>421.62</v>
      </c>
      <c r="E19" s="211">
        <f>'数据-取费表'!B31</f>
        <v>200</v>
      </c>
      <c r="F19" s="231"/>
      <c r="G19" s="1853"/>
    </row>
    <row r="20" spans="1:7" s="214" customFormat="1" ht="13.5" customHeight="1">
      <c r="A20" s="255" t="s">
        <v>1574</v>
      </c>
      <c r="B20" s="210" t="s">
        <v>1575</v>
      </c>
      <c r="C20" s="232">
        <f ca="1">ROUND((C5+C19)*F20,0)</f>
        <v>3373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11601</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5744</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5744</v>
      </c>
      <c r="D24" s="238"/>
      <c r="E24" s="238"/>
      <c r="F24" s="239"/>
      <c r="G24" s="240" t="s">
        <v>1586</v>
      </c>
    </row>
    <row r="25" spans="1:7" s="214" customFormat="1" ht="24">
      <c r="A25" s="778" t="s">
        <v>1476</v>
      </c>
      <c r="B25" s="215" t="s">
        <v>1587</v>
      </c>
      <c r="C25" s="1125">
        <f ca="1">ROUND(IF('数据-取费表'!B22&lt;=1,C20*F22*'数据-取费表'!B22/2,C20*(POWER((1+F22),'数据-取费表'!B22/2)-1)),0)</f>
        <v>113</v>
      </c>
      <c r="D25" s="238"/>
      <c r="E25" s="241"/>
      <c r="F25" s="239"/>
      <c r="G25" s="242" t="s">
        <v>1588</v>
      </c>
    </row>
    <row r="26" spans="1:7" s="214" customFormat="1">
      <c r="A26" s="778"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25803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25803</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226896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1855128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1686480</v>
      </c>
      <c r="D34" s="217"/>
      <c r="E34" s="220"/>
      <c r="F34" s="257"/>
      <c r="G34" s="219"/>
    </row>
    <row r="35" spans="1:7" ht="13.5" customHeight="1">
      <c r="A35" s="778" t="s">
        <v>351</v>
      </c>
      <c r="B35" s="215" t="s">
        <v>1527</v>
      </c>
      <c r="C35" s="220">
        <f ca="1">ROUND(C34*F35,0)</f>
        <v>50594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84324</v>
      </c>
      <c r="D37" s="217">
        <f ca="1">D19</f>
        <v>421.62</v>
      </c>
      <c r="E37" s="249">
        <f>'数据-取费表'!B35</f>
        <v>200</v>
      </c>
      <c r="F37" s="259"/>
      <c r="G37" s="261"/>
    </row>
    <row r="38" spans="1:7" ht="13.5" customHeight="1">
      <c r="A38" s="778" t="s">
        <v>354</v>
      </c>
      <c r="B38" s="215" t="s">
        <v>1533</v>
      </c>
      <c r="C38" s="220">
        <f ca="1">ROUND(C34*F38,0)</f>
        <v>33730</v>
      </c>
      <c r="D38" s="220"/>
      <c r="E38" s="220"/>
      <c r="F38" s="259">
        <f>'数据-取费表'!B36</f>
        <v>0.02</v>
      </c>
      <c r="G38" s="219" t="s">
        <v>1528</v>
      </c>
    </row>
    <row r="39" spans="1:7" s="214" customFormat="1" ht="13.5" customHeight="1">
      <c r="A39" s="255" t="s">
        <v>1534</v>
      </c>
      <c r="B39" s="210" t="s">
        <v>1535</v>
      </c>
      <c r="C39" s="232">
        <f ca="1">ROUND(C33*F20,0)</f>
        <v>37103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63390</v>
      </c>
      <c r="D41" s="235">
        <f>C44</f>
        <v>6.9999999999999999E-4</v>
      </c>
      <c r="E41" s="236" t="s">
        <v>1539</v>
      </c>
      <c r="F41" s="237">
        <f>F22</f>
        <v>3.3500000000000002E-2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62147</v>
      </c>
      <c r="D42" s="238"/>
      <c r="E42" s="238"/>
      <c r="F42" s="239"/>
      <c r="G42" s="3642" t="s">
        <v>1591</v>
      </c>
    </row>
    <row r="43" spans="1:7" ht="13.5" customHeight="1">
      <c r="A43" s="778" t="s">
        <v>347</v>
      </c>
      <c r="B43" s="215" t="s">
        <v>1545</v>
      </c>
      <c r="C43" s="238">
        <f ca="1">ROUND(IF('数据-取费表'!B22&lt;=1,C39*F22*'数据-取费表'!B20/2,C39*(POWER((1+F22),'数据-取费表'!B20/2)-1)),0)</f>
        <v>1243</v>
      </c>
      <c r="D43" s="238"/>
      <c r="E43" s="238"/>
      <c r="F43" s="239"/>
      <c r="G43" s="3643"/>
    </row>
    <row r="44" spans="1:7" ht="13.5" customHeight="1">
      <c r="A44" s="778" t="s">
        <v>348</v>
      </c>
      <c r="B44" s="215" t="s">
        <v>1546</v>
      </c>
      <c r="C44" s="238">
        <f>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283835</v>
      </c>
      <c r="D45" s="235">
        <f ca="1">C47</f>
        <v>3.0000000000000001E-3</v>
      </c>
      <c r="E45" s="236" t="s">
        <v>1539</v>
      </c>
      <c r="F45" s="246">
        <f ca="1">F27</f>
        <v>0.15</v>
      </c>
      <c r="G45" s="247" t="s">
        <v>1548</v>
      </c>
    </row>
    <row r="46" spans="1:7" s="214" customFormat="1" ht="13.5" customHeight="1">
      <c r="A46" s="778" t="s">
        <v>346</v>
      </c>
      <c r="B46" s="248" t="s">
        <v>1549</v>
      </c>
      <c r="C46" s="249">
        <f ca="1">ROUND((C33+C39)*F27,0)</f>
        <v>283835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2426280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1819710</v>
      </c>
      <c r="D51" s="232"/>
      <c r="E51" s="232"/>
      <c r="F51" s="264"/>
      <c r="G51" s="234" t="s">
        <v>1560</v>
      </c>
    </row>
    <row r="52" spans="1:7" s="208" customFormat="1" ht="16.5" thickBot="1">
      <c r="A52" s="265" t="s">
        <v>1561</v>
      </c>
      <c r="B52" s="266"/>
      <c r="C52" s="267">
        <f ca="1">C31+C51</f>
        <v>2046606</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96115</v>
      </c>
      <c r="C2" s="276" t="s">
        <v>1595</v>
      </c>
      <c r="D2" s="276"/>
      <c r="E2" s="2803"/>
      <c r="F2" s="2803"/>
      <c r="G2" s="2803"/>
      <c r="H2" s="2803"/>
      <c r="I2" s="2803"/>
      <c r="J2" s="2803"/>
      <c r="K2" s="2803"/>
    </row>
    <row r="3" spans="1:33" ht="18" customHeight="1" thickBot="1">
      <c r="A3" s="203" t="s">
        <v>1464</v>
      </c>
      <c r="B3" s="204">
        <f ca="1">ROUND(B2*10000/IF(C1="",'数据-汇总表'!E3,INDIRECT("'数据-取费表'!K"&amp;$K$1)),0)</f>
        <v>2279659</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421.62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421.62</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-84316</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421.62</v>
      </c>
      <c r="E20" s="21">
        <f>'数据-取费表'!B28</f>
        <v>200</v>
      </c>
      <c r="F20" s="802"/>
      <c r="G20" s="12"/>
      <c r="H20" s="807"/>
      <c r="I20" s="807"/>
      <c r="J20" s="807"/>
      <c r="K20" s="808"/>
    </row>
    <row r="21" spans="1:33" s="801" customFormat="1" ht="13.5" customHeight="1">
      <c r="A21" s="788" t="s">
        <v>357</v>
      </c>
      <c r="B21" s="811" t="s">
        <v>1628</v>
      </c>
      <c r="C21" s="812">
        <f ca="1">C16+C17+C18</f>
        <v>-84316</v>
      </c>
      <c r="D21" s="813"/>
      <c r="E21" s="281"/>
      <c r="F21" s="281"/>
      <c r="G21" s="131" t="s">
        <v>1629</v>
      </c>
      <c r="H21" s="805"/>
      <c r="I21" s="805"/>
      <c r="J21" s="805"/>
      <c r="K21" s="806"/>
    </row>
    <row r="22" spans="1:33" s="801" customFormat="1" ht="13.5" customHeight="1">
      <c r="A22" s="788" t="s">
        <v>1601</v>
      </c>
      <c r="B22" s="811" t="s">
        <v>1630</v>
      </c>
      <c r="C22" s="812">
        <f ca="1">ROUND(C21*F22,0)</f>
        <v>-1686</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-12900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-12900</v>
      </c>
      <c r="D30" s="284"/>
      <c r="E30" s="285"/>
      <c r="F30" s="290"/>
      <c r="G30" s="131"/>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96115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647" t="s">
        <v>694</v>
      </c>
      <c r="C6" s="1072">
        <f ca="1">ROUND(F6*F8*F7*(1-F9)/10000,0)</f>
        <v>0</v>
      </c>
      <c r="D6" s="155" t="s">
        <v>2108</v>
      </c>
      <c r="E6" s="302" t="s">
        <v>696</v>
      </c>
      <c r="F6" s="303">
        <f ca="1">INDIRECT("'数据-取费表'!u"&amp;$G$1)</f>
        <v>0</v>
      </c>
      <c r="G6" s="1381"/>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1"/>
      <c r="H7" s="304"/>
      <c r="I7" s="3648"/>
      <c r="J7" s="306"/>
      <c r="K7" s="307"/>
      <c r="L7" s="302" t="s">
        <v>697</v>
      </c>
      <c r="M7" s="303">
        <f ca="1">F7</f>
        <v>0</v>
      </c>
    </row>
    <row r="8" spans="1:37" ht="18" customHeight="1">
      <c r="A8" s="304"/>
      <c r="B8" s="3648"/>
      <c r="C8" s="306"/>
      <c r="D8" s="307"/>
      <c r="E8" s="302" t="s">
        <v>698</v>
      </c>
      <c r="F8" s="303">
        <f ca="1">INDIRECT("'数据-取费表'!ai"&amp;$G$1)</f>
        <v>0</v>
      </c>
      <c r="G8" s="1381"/>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1"/>
      <c r="H9" s="304"/>
      <c r="I9" s="3649"/>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2116</v>
      </c>
      <c r="E10" s="313" t="s">
        <v>701</v>
      </c>
      <c r="F10" s="1113"/>
      <c r="G10" s="1381"/>
      <c r="H10" s="1067"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6">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70"/>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12</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3339</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12</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3" t="s">
        <v>2109</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45" t="s">
        <v>837</v>
      </c>
      <c r="L53" s="3646"/>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12</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G30" sqref="G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I27" sqref="I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3</v>
      </c>
      <c r="E1" s="3430" t="s">
        <v>3393</v>
      </c>
      <c r="F1" s="1876" t="s">
        <v>3392</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1066.6985999999999</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25300</v>
      </c>
      <c r="C3" s="354" t="s">
        <v>1768</v>
      </c>
      <c r="D3" s="353">
        <f>IF(D1="",'数据-汇总表'!E3,SUMIF('数据-汇总表'!$C19:$C33,D1,'数据-汇总表'!$E19:$E33))</f>
        <v>421.62</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72" t="s">
        <v>1770</v>
      </c>
      <c r="D4" s="3673"/>
      <c r="E4" s="3674" t="s">
        <v>1771</v>
      </c>
      <c r="F4" s="3675"/>
      <c r="G4" s="3672" t="s">
        <v>1772</v>
      </c>
      <c r="H4" s="3673"/>
      <c r="I4" s="3672" t="s">
        <v>1773</v>
      </c>
      <c r="J4" s="3673"/>
      <c r="K4" s="559" t="s">
        <v>1774</v>
      </c>
      <c r="L4" s="2712"/>
      <c r="M4" s="2713"/>
      <c r="N4" s="2713"/>
      <c r="O4" s="2713"/>
      <c r="P4" s="3676" t="s">
        <v>1775</v>
      </c>
      <c r="Q4" s="3677"/>
      <c r="R4" s="3655" t="s">
        <v>1771</v>
      </c>
      <c r="S4" s="3656"/>
      <c r="T4" s="3655" t="s">
        <v>1772</v>
      </c>
      <c r="U4" s="3656"/>
      <c r="V4" s="3684" t="s">
        <v>1773</v>
      </c>
      <c r="W4" s="3684"/>
      <c r="X4" s="1955"/>
      <c r="Y4" s="3655" t="s">
        <v>1775</v>
      </c>
      <c r="Z4" s="3656"/>
      <c r="AA4" s="3650" t="s">
        <v>1771</v>
      </c>
      <c r="AB4" s="3650" t="s">
        <v>1772</v>
      </c>
      <c r="AC4" s="3669" t="s">
        <v>1773</v>
      </c>
    </row>
    <row r="5" spans="1:29" ht="15">
      <c r="A5" s="358"/>
      <c r="B5" s="359"/>
      <c r="C5" s="3661" t="s">
        <v>1673</v>
      </c>
      <c r="D5" s="3662"/>
      <c r="E5" s="3659" t="s">
        <v>3438</v>
      </c>
      <c r="F5" s="3660"/>
      <c r="G5" s="3665" t="s">
        <v>3439</v>
      </c>
      <c r="H5" s="3662"/>
      <c r="I5" s="3665" t="s">
        <v>3440</v>
      </c>
      <c r="J5" s="3662"/>
      <c r="K5" s="559"/>
      <c r="L5" s="2712"/>
      <c r="M5" s="2713"/>
      <c r="N5" s="2713"/>
      <c r="O5" s="2713"/>
      <c r="P5" s="3678"/>
      <c r="Q5" s="3679"/>
      <c r="R5" s="3657"/>
      <c r="S5" s="3658"/>
      <c r="T5" s="3657"/>
      <c r="U5" s="3658"/>
      <c r="V5" s="3685"/>
      <c r="W5" s="3685"/>
      <c r="X5" s="1352"/>
      <c r="Y5" s="3657"/>
      <c r="Z5" s="3658"/>
      <c r="AA5" s="3651"/>
      <c r="AB5" s="3651"/>
      <c r="AC5" s="3670"/>
    </row>
    <row r="6" spans="1:29" ht="15.75" thickBot="1">
      <c r="A6" s="360"/>
      <c r="B6" s="361"/>
      <c r="C6" s="3663" t="s">
        <v>1677</v>
      </c>
      <c r="D6" s="3664"/>
      <c r="E6" s="3666" t="s">
        <v>1677</v>
      </c>
      <c r="F6" s="3667"/>
      <c r="G6" s="3663" t="s">
        <v>1677</v>
      </c>
      <c r="H6" s="3664"/>
      <c r="I6" s="3663" t="s">
        <v>1677</v>
      </c>
      <c r="J6" s="3664"/>
      <c r="K6" s="559" t="s">
        <v>1678</v>
      </c>
      <c r="L6" s="2712"/>
      <c r="M6" s="2713"/>
      <c r="N6" s="2713"/>
      <c r="O6" s="2713"/>
      <c r="P6" s="3680"/>
      <c r="Q6" s="3681"/>
      <c r="R6" s="3657"/>
      <c r="S6" s="3658"/>
      <c r="T6" s="3682"/>
      <c r="U6" s="3683"/>
      <c r="V6" s="3685"/>
      <c r="W6" s="3685"/>
      <c r="X6" s="1352"/>
      <c r="Y6" s="3682"/>
      <c r="Z6" s="3683"/>
      <c r="AA6" s="3652"/>
      <c r="AB6" s="3652"/>
      <c r="AC6" s="3671"/>
    </row>
    <row r="7" spans="1:29" s="108" customFormat="1" ht="15.75" thickBot="1">
      <c r="A7" s="362" t="s">
        <v>1679</v>
      </c>
      <c r="B7" s="363"/>
      <c r="C7" s="364">
        <f>'数据-取费表'!B2</f>
        <v>45496</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86" t="s">
        <v>1680</v>
      </c>
      <c r="Q7" s="3687"/>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6">
        <f>D7/J7</f>
        <v>1</v>
      </c>
    </row>
    <row r="8" spans="1:29" s="108" customFormat="1" ht="15.75" thickBot="1">
      <c r="A8" s="362" t="s">
        <v>1681</v>
      </c>
      <c r="B8" s="363"/>
      <c r="C8" s="368" t="s">
        <v>3394</v>
      </c>
      <c r="D8" s="365">
        <v>100</v>
      </c>
      <c r="E8" s="368" t="s">
        <v>3395</v>
      </c>
      <c r="F8" s="367">
        <f>SUMIF(62:62,E8,63:63)-SUMIF(62:62,C8,63:63)+100</f>
        <v>102</v>
      </c>
      <c r="G8" s="368" t="s">
        <v>3395</v>
      </c>
      <c r="H8" s="365">
        <f>SUMIF(62:62,G8,63:63)-SUMIF(62:62,C8,63:63)+100</f>
        <v>102</v>
      </c>
      <c r="I8" s="368" t="s">
        <v>3395</v>
      </c>
      <c r="J8" s="365">
        <f>SUMIF(62:62,I8,63:63)-SUMIF(62:62,C8,63:63)+100</f>
        <v>102</v>
      </c>
      <c r="K8" s="560"/>
      <c r="L8" s="2714"/>
      <c r="M8" s="2715"/>
      <c r="N8" s="2715"/>
      <c r="O8" s="2715"/>
      <c r="P8" s="3686"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6">
        <f t="shared" ref="AC8:AC47" si="5">D8/J8</f>
        <v>0.98039215686274506</v>
      </c>
    </row>
    <row r="9" spans="1:29" s="108" customFormat="1">
      <c r="A9" s="369" t="s">
        <v>1684</v>
      </c>
      <c r="B9" s="63" t="s">
        <v>1685</v>
      </c>
      <c r="C9" s="3457"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8"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8"/>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8"/>
      <c r="Q11" s="1340"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68"/>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68"/>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68"/>
      <c r="Q14" s="1340">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88" t="s">
        <v>1691</v>
      </c>
      <c r="Q15" s="1349" t="str">
        <f t="shared" si="6"/>
        <v>办公集聚程度</v>
      </c>
      <c r="R15" s="703" t="s">
        <v>14</v>
      </c>
      <c r="S15" s="704">
        <f t="shared" si="0"/>
        <v>100</v>
      </c>
      <c r="T15" s="703" t="s">
        <v>14</v>
      </c>
      <c r="U15" s="704">
        <f t="shared" si="1"/>
        <v>100</v>
      </c>
      <c r="V15" s="703" t="s">
        <v>14</v>
      </c>
      <c r="W15" s="704">
        <f t="shared" si="2"/>
        <v>100</v>
      </c>
      <c r="X15" s="1352"/>
      <c r="Y15" s="3690" t="s">
        <v>1691</v>
      </c>
      <c r="Z15" s="1353" t="str">
        <f t="shared" si="7"/>
        <v>办公集聚程度</v>
      </c>
      <c r="AA15" s="1350">
        <f t="shared" si="3"/>
        <v>1</v>
      </c>
      <c r="AB15" s="1350">
        <f t="shared" si="4"/>
        <v>1</v>
      </c>
      <c r="AC15" s="1959">
        <f t="shared" si="5"/>
        <v>1</v>
      </c>
    </row>
    <row r="16" spans="1:29" ht="15">
      <c r="A16" s="379"/>
      <c r="B16" s="578"/>
      <c r="C16" s="1901" t="s">
        <v>3426</v>
      </c>
      <c r="D16" s="399"/>
      <c r="E16" s="1901" t="s">
        <v>3426</v>
      </c>
      <c r="F16" s="399"/>
      <c r="G16" s="1901" t="s">
        <v>3426</v>
      </c>
      <c r="H16" s="401"/>
      <c r="I16" s="1901" t="s">
        <v>3426</v>
      </c>
      <c r="J16" s="399"/>
      <c r="K16" s="564"/>
      <c r="L16" s="2719"/>
      <c r="M16" s="2713"/>
      <c r="N16" s="2713"/>
      <c r="O16" s="2713"/>
      <c r="P16" s="3689"/>
      <c r="Q16" s="1349"/>
      <c r="R16" s="703"/>
      <c r="S16" s="704"/>
      <c r="T16" s="703"/>
      <c r="U16" s="704"/>
      <c r="V16" s="703"/>
      <c r="W16" s="704"/>
      <c r="X16" s="1352"/>
      <c r="Y16" s="3691"/>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89"/>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959">
        <f t="shared" si="5"/>
        <v>1</v>
      </c>
    </row>
    <row r="18" spans="1:29" ht="15">
      <c r="A18" s="379"/>
      <c r="B18" s="580"/>
      <c r="C18" s="1961" t="s">
        <v>3426</v>
      </c>
      <c r="D18" s="401"/>
      <c r="E18" s="1901" t="s">
        <v>3426</v>
      </c>
      <c r="F18" s="401"/>
      <c r="G18" s="1901" t="s">
        <v>3426</v>
      </c>
      <c r="H18" s="399"/>
      <c r="I18" s="1901" t="s">
        <v>3426</v>
      </c>
      <c r="J18" s="399"/>
      <c r="K18" s="564"/>
      <c r="L18" s="2719"/>
      <c r="M18" s="2713"/>
      <c r="N18" s="2713"/>
      <c r="O18" s="2713"/>
      <c r="P18" s="3689"/>
      <c r="Q18" s="1349"/>
      <c r="R18" s="703"/>
      <c r="S18" s="704"/>
      <c r="T18" s="703"/>
      <c r="U18" s="704"/>
      <c r="V18" s="703"/>
      <c r="W18" s="704"/>
      <c r="X18" s="1352"/>
      <c r="Y18" s="3691"/>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89"/>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959">
        <f t="shared" si="5"/>
        <v>1</v>
      </c>
    </row>
    <row r="20" spans="1:29" ht="15">
      <c r="A20" s="379"/>
      <c r="B20" s="580"/>
      <c r="C20" s="1901" t="s">
        <v>3426</v>
      </c>
      <c r="D20" s="399"/>
      <c r="E20" s="1901" t="s">
        <v>3426</v>
      </c>
      <c r="F20" s="399"/>
      <c r="G20" s="1901" t="s">
        <v>3426</v>
      </c>
      <c r="H20" s="399"/>
      <c r="I20" s="1901" t="s">
        <v>3426</v>
      </c>
      <c r="J20" s="399"/>
      <c r="K20" s="564"/>
      <c r="L20" s="2719"/>
      <c r="M20" s="2713"/>
      <c r="N20" s="2713"/>
      <c r="O20" s="2713"/>
      <c r="P20" s="3689"/>
      <c r="Q20" s="1349"/>
      <c r="R20" s="703"/>
      <c r="S20" s="704"/>
      <c r="T20" s="703"/>
      <c r="U20" s="704"/>
      <c r="V20" s="703"/>
      <c r="W20" s="704"/>
      <c r="X20" s="1352"/>
      <c r="Y20" s="3691"/>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959">
        <f t="shared" ref="AC21" si="10">D21/J21</f>
        <v>1</v>
      </c>
    </row>
    <row r="22" spans="1:29" ht="15">
      <c r="A22" s="379"/>
      <c r="B22" s="581"/>
      <c r="C22" s="1961" t="s">
        <v>3417</v>
      </c>
      <c r="D22" s="399"/>
      <c r="E22" s="1961" t="s">
        <v>3417</v>
      </c>
      <c r="F22" s="399"/>
      <c r="G22" s="1961" t="s">
        <v>3417</v>
      </c>
      <c r="H22" s="399"/>
      <c r="I22" s="1961" t="s">
        <v>3417</v>
      </c>
      <c r="J22" s="399"/>
      <c r="K22" s="1127"/>
      <c r="L22" s="2719"/>
      <c r="M22" s="2713"/>
      <c r="N22" s="2713"/>
      <c r="O22" s="2713"/>
      <c r="P22" s="3689"/>
      <c r="Q22" s="1349"/>
      <c r="R22" s="703"/>
      <c r="S22" s="704"/>
      <c r="T22" s="703"/>
      <c r="U22" s="704"/>
      <c r="V22" s="703"/>
      <c r="W22" s="704"/>
      <c r="X22" s="1352"/>
      <c r="Y22" s="3691"/>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89"/>
      <c r="Q23" s="1349" t="str">
        <f>B23</f>
        <v>环境质量</v>
      </c>
      <c r="R23" s="703" t="s">
        <v>14</v>
      </c>
      <c r="S23" s="704">
        <f>F23</f>
        <v>100</v>
      </c>
      <c r="T23" s="703" t="s">
        <v>14</v>
      </c>
      <c r="U23" s="704">
        <f>H23</f>
        <v>100</v>
      </c>
      <c r="V23" s="703" t="s">
        <v>14</v>
      </c>
      <c r="W23" s="704">
        <f>J23</f>
        <v>100</v>
      </c>
      <c r="X23" s="1352"/>
      <c r="Y23" s="3691"/>
      <c r="Z23" s="1353" t="str">
        <f>Q23</f>
        <v>环境质量</v>
      </c>
      <c r="AA23" s="1350">
        <f t="shared" si="3"/>
        <v>1</v>
      </c>
      <c r="AB23" s="13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89"/>
      <c r="Q24" s="1349"/>
      <c r="R24" s="703"/>
      <c r="S24" s="704"/>
      <c r="T24" s="703"/>
      <c r="U24" s="704"/>
      <c r="V24" s="703"/>
      <c r="W24" s="704"/>
      <c r="X24" s="1352"/>
      <c r="Y24" s="3691"/>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89"/>
      <c r="Q25" s="1349" t="str">
        <f>B25</f>
        <v>毗邻道路的类型与等级</v>
      </c>
      <c r="R25" s="703" t="s">
        <v>14</v>
      </c>
      <c r="S25" s="704">
        <f>F25</f>
        <v>100</v>
      </c>
      <c r="T25" s="703" t="s">
        <v>14</v>
      </c>
      <c r="U25" s="704">
        <f>H25</f>
        <v>100</v>
      </c>
      <c r="V25" s="703" t="s">
        <v>14</v>
      </c>
      <c r="W25" s="704">
        <f>J25</f>
        <v>100</v>
      </c>
      <c r="X25" s="1352"/>
      <c r="Y25" s="3691"/>
      <c r="Z25" s="1353" t="str">
        <f>Q25</f>
        <v>毗邻道路的类型与等级</v>
      </c>
      <c r="AA25" s="1350">
        <f t="shared" si="3"/>
        <v>1</v>
      </c>
      <c r="AB25" s="1350">
        <f t="shared" si="4"/>
        <v>1</v>
      </c>
      <c r="AC25" s="1959">
        <f t="shared" si="5"/>
        <v>1</v>
      </c>
    </row>
    <row r="26" spans="1:29" ht="15">
      <c r="A26" s="358"/>
      <c r="B26" s="580"/>
      <c r="C26" s="582" t="s">
        <v>3397</v>
      </c>
      <c r="D26" s="386"/>
      <c r="E26" s="565" t="s">
        <v>3397</v>
      </c>
      <c r="F26" s="386"/>
      <c r="G26" s="565" t="s">
        <v>3397</v>
      </c>
      <c r="H26" s="386"/>
      <c r="I26" s="565" t="s">
        <v>3397</v>
      </c>
      <c r="J26" s="386"/>
      <c r="K26" s="564"/>
      <c r="L26" s="2719"/>
      <c r="M26" s="2713"/>
      <c r="N26" s="2713"/>
      <c r="O26" s="2713"/>
      <c r="P26" s="3689"/>
      <c r="Q26" s="1349"/>
      <c r="R26" s="703"/>
      <c r="S26" s="704"/>
      <c r="T26" s="703"/>
      <c r="U26" s="704"/>
      <c r="V26" s="703"/>
      <c r="W26" s="704"/>
      <c r="X26" s="1352"/>
      <c r="Y26" s="3691"/>
      <c r="Z26" s="1353"/>
      <c r="AA26" s="1350">
        <v>1</v>
      </c>
      <c r="AB26" s="1350">
        <v>1</v>
      </c>
      <c r="AC26" s="1959">
        <v>1</v>
      </c>
    </row>
    <row r="27" spans="1:29" ht="15">
      <c r="A27" s="379"/>
      <c r="B27" s="580" t="s">
        <v>1783</v>
      </c>
      <c r="C27" s="582" t="s">
        <v>3406</v>
      </c>
      <c r="D27" s="386">
        <v>100</v>
      </c>
      <c r="E27" s="565" t="s">
        <v>3403</v>
      </c>
      <c r="F27" s="386">
        <f>SUMIF(89:89,E27,90:90)-SUMIF(89:89,C27,90:90)+100</f>
        <v>102</v>
      </c>
      <c r="G27" s="565" t="s">
        <v>3406</v>
      </c>
      <c r="H27" s="386">
        <f>SUMIF(89:89,G27,90:90)-SUMIF(89:89,C27,90:90)+100</f>
        <v>100</v>
      </c>
      <c r="I27" s="565" t="s">
        <v>3406</v>
      </c>
      <c r="J27" s="386">
        <f>SUMIF(89:89,I27,90:90)-SUMIF(89:89,C27,90:90)+100</f>
        <v>100</v>
      </c>
      <c r="K27" s="561">
        <v>1</v>
      </c>
      <c r="L27" s="2719"/>
      <c r="M27" s="2713"/>
      <c r="N27" s="2713"/>
      <c r="O27" s="2713"/>
      <c r="P27" s="3689"/>
      <c r="Q27" s="1349" t="str">
        <f t="shared" ref="Q27:Q47" si="11">B27</f>
        <v>楼层</v>
      </c>
      <c r="R27" s="703" t="s">
        <v>14</v>
      </c>
      <c r="S27" s="704">
        <f>F27</f>
        <v>102</v>
      </c>
      <c r="T27" s="703" t="s">
        <v>14</v>
      </c>
      <c r="U27" s="704">
        <f>H27</f>
        <v>100</v>
      </c>
      <c r="V27" s="703" t="s">
        <v>14</v>
      </c>
      <c r="W27" s="704">
        <f>J27</f>
        <v>100</v>
      </c>
      <c r="X27" s="1352"/>
      <c r="Y27" s="3691"/>
      <c r="Z27" s="1353" t="str">
        <f>Q27</f>
        <v>楼层</v>
      </c>
      <c r="AA27" s="1350">
        <f t="shared" si="3"/>
        <v>0.98039215686274506</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9"/>
      <c r="Q28" s="1340" t="str">
        <f t="shared" si="11"/>
        <v>朝向</v>
      </c>
      <c r="R28" s="699" t="s">
        <v>14</v>
      </c>
      <c r="S28" s="700">
        <f>F28</f>
        <v>100</v>
      </c>
      <c r="T28" s="699" t="s">
        <v>14</v>
      </c>
      <c r="U28" s="700">
        <f>H28</f>
        <v>100</v>
      </c>
      <c r="V28" s="699" t="s">
        <v>14</v>
      </c>
      <c r="W28" s="700">
        <f>J28</f>
        <v>100</v>
      </c>
      <c r="X28" s="701"/>
      <c r="Y28" s="369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9"/>
      <c r="Q29" s="1349">
        <f t="shared" si="11"/>
        <v>111</v>
      </c>
      <c r="R29" s="703" t="s">
        <v>14</v>
      </c>
      <c r="S29" s="704">
        <f t="shared" ref="S29:S47" si="12">F29</f>
        <v>100</v>
      </c>
      <c r="T29" s="703" t="s">
        <v>14</v>
      </c>
      <c r="U29" s="704">
        <f t="shared" ref="U29:U47" si="13">H29</f>
        <v>100</v>
      </c>
      <c r="V29" s="703" t="s">
        <v>14</v>
      </c>
      <c r="W29" s="704">
        <f t="shared" ref="W29:W47" si="14">J29</f>
        <v>100</v>
      </c>
      <c r="X29" s="1352"/>
      <c r="Y29" s="369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9"/>
      <c r="Q30" s="1349">
        <f t="shared" si="11"/>
        <v>111</v>
      </c>
      <c r="R30" s="703" t="s">
        <v>14</v>
      </c>
      <c r="S30" s="704">
        <f t="shared" si="12"/>
        <v>100</v>
      </c>
      <c r="T30" s="703" t="s">
        <v>14</v>
      </c>
      <c r="U30" s="704">
        <f t="shared" si="13"/>
        <v>100</v>
      </c>
      <c r="V30" s="703" t="s">
        <v>14</v>
      </c>
      <c r="W30" s="704">
        <f t="shared" si="14"/>
        <v>100</v>
      </c>
      <c r="X30" s="1352"/>
      <c r="Y30" s="369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9"/>
      <c r="Q31" s="1349">
        <f t="shared" si="11"/>
        <v>111</v>
      </c>
      <c r="R31" s="703" t="s">
        <v>14</v>
      </c>
      <c r="S31" s="704">
        <f t="shared" si="12"/>
        <v>100</v>
      </c>
      <c r="T31" s="703" t="s">
        <v>14</v>
      </c>
      <c r="U31" s="704">
        <f t="shared" si="13"/>
        <v>100</v>
      </c>
      <c r="V31" s="703" t="s">
        <v>14</v>
      </c>
      <c r="W31" s="704">
        <f t="shared" si="14"/>
        <v>100</v>
      </c>
      <c r="X31" s="1352"/>
      <c r="Y31" s="3691"/>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9"/>
      <c r="Q32" s="1349">
        <f t="shared" si="11"/>
        <v>111</v>
      </c>
      <c r="R32" s="703" t="s">
        <v>14</v>
      </c>
      <c r="S32" s="704">
        <f t="shared" si="12"/>
        <v>100</v>
      </c>
      <c r="T32" s="703" t="s">
        <v>14</v>
      </c>
      <c r="U32" s="704">
        <f t="shared" si="13"/>
        <v>100</v>
      </c>
      <c r="V32" s="703" t="s">
        <v>14</v>
      </c>
      <c r="W32" s="704">
        <f t="shared" si="14"/>
        <v>100</v>
      </c>
      <c r="X32" s="1352"/>
      <c r="Y32" s="3691"/>
      <c r="Z32" s="1353">
        <f t="shared" si="15"/>
        <v>111</v>
      </c>
      <c r="AA32" s="1350">
        <f t="shared" si="3"/>
        <v>1</v>
      </c>
      <c r="AB32" s="1350">
        <f t="shared" si="4"/>
        <v>1</v>
      </c>
      <c r="AC32" s="1959">
        <f t="shared" si="5"/>
        <v>1</v>
      </c>
    </row>
    <row r="33" spans="1:29" ht="15">
      <c r="A33" s="391" t="s">
        <v>1694</v>
      </c>
      <c r="B33" s="63" t="s">
        <v>1817</v>
      </c>
      <c r="C33" s="1964" t="s">
        <v>3408</v>
      </c>
      <c r="D33" s="418">
        <v>100</v>
      </c>
      <c r="E33" s="1964" t="s">
        <v>3408</v>
      </c>
      <c r="F33" s="412">
        <f>SUMIF(101:101,E33,102:102)-SUMIF(101:101,C33,102:102)+100</f>
        <v>100</v>
      </c>
      <c r="G33" s="1964" t="s">
        <v>3408</v>
      </c>
      <c r="H33" s="386">
        <f>SUMIF(101:101,G33,102:102)-SUMIF(101:101,C33,102:102)+100</f>
        <v>100</v>
      </c>
      <c r="I33" s="1964" t="s">
        <v>3408</v>
      </c>
      <c r="J33" s="418">
        <f>SUMIF(101:101,I33,102:102)-SUMIF(101:101,C33,102:102)+100</f>
        <v>100</v>
      </c>
      <c r="K33" s="561">
        <v>1</v>
      </c>
      <c r="L33" s="2719"/>
      <c r="M33" s="2713"/>
      <c r="N33" s="2713"/>
      <c r="O33" s="2713"/>
      <c r="P33" s="3692" t="s">
        <v>1696</v>
      </c>
      <c r="Q33" s="1349" t="str">
        <f t="shared" si="11"/>
        <v>建筑类型</v>
      </c>
      <c r="R33" s="703" t="s">
        <v>14</v>
      </c>
      <c r="S33" s="704">
        <f t="shared" si="12"/>
        <v>100</v>
      </c>
      <c r="T33" s="703" t="s">
        <v>14</v>
      </c>
      <c r="U33" s="704">
        <f t="shared" si="13"/>
        <v>100</v>
      </c>
      <c r="V33" s="703" t="s">
        <v>14</v>
      </c>
      <c r="W33" s="704">
        <f t="shared" si="14"/>
        <v>100</v>
      </c>
      <c r="X33" s="1352"/>
      <c r="Y33" s="3695" t="s">
        <v>1696</v>
      </c>
      <c r="Z33" s="1353" t="str">
        <f t="shared" si="15"/>
        <v>建筑类型</v>
      </c>
      <c r="AA33" s="1350">
        <f t="shared" si="3"/>
        <v>1</v>
      </c>
      <c r="AB33" s="1350">
        <f t="shared" si="4"/>
        <v>1</v>
      </c>
      <c r="AC33" s="1959">
        <f t="shared" si="5"/>
        <v>1</v>
      </c>
    </row>
    <row r="34" spans="1:29" s="422" customFormat="1" ht="15">
      <c r="A34" s="419"/>
      <c r="B34" s="375" t="s">
        <v>1697</v>
      </c>
      <c r="C34" s="420">
        <v>320.41000000000003</v>
      </c>
      <c r="D34" s="127">
        <v>100</v>
      </c>
      <c r="E34" s="420">
        <v>360</v>
      </c>
      <c r="F34" s="376">
        <f>LOOKUP(E34,104:104,105:105)-LOOKUP(C34,104:104,105:105)+100</f>
        <v>100</v>
      </c>
      <c r="G34" s="420">
        <v>151</v>
      </c>
      <c r="H34" s="127">
        <f>LOOKUP(G34,104:104,105:105)-LOOKUP(C34,104:104,105:105)+100</f>
        <v>98</v>
      </c>
      <c r="I34" s="420">
        <v>564</v>
      </c>
      <c r="J34" s="127">
        <f>LOOKUP(I34,104:104,105:105)-LOOKUP(C34,104:104,105:105)+100</f>
        <v>98</v>
      </c>
      <c r="K34" s="562"/>
      <c r="L34" s="2718"/>
      <c r="M34" s="2720"/>
      <c r="N34" s="2720"/>
      <c r="O34" s="2720"/>
      <c r="P34" s="3693"/>
      <c r="Q34" s="705" t="str">
        <f t="shared" si="11"/>
        <v>项目建筑规模</v>
      </c>
      <c r="R34" s="706" t="s">
        <v>14</v>
      </c>
      <c r="S34" s="707">
        <f t="shared" si="12"/>
        <v>100</v>
      </c>
      <c r="T34" s="706" t="s">
        <v>14</v>
      </c>
      <c r="U34" s="707">
        <f t="shared" si="13"/>
        <v>98</v>
      </c>
      <c r="V34" s="706" t="s">
        <v>14</v>
      </c>
      <c r="W34" s="707">
        <f t="shared" si="14"/>
        <v>98</v>
      </c>
      <c r="X34" s="708"/>
      <c r="Y34" s="3695"/>
      <c r="Z34" s="709" t="str">
        <f t="shared" si="15"/>
        <v>项目建筑规模</v>
      </c>
      <c r="AA34" s="1350">
        <f t="shared" si="3"/>
        <v>1</v>
      </c>
      <c r="AB34" s="1350">
        <f t="shared" si="4"/>
        <v>1.0204081632653061</v>
      </c>
      <c r="AC34" s="1959">
        <f t="shared" si="5"/>
        <v>1.0204081632653061</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3458" t="s">
        <v>3437</v>
      </c>
      <c r="J35" s="386">
        <f>SUMIF(106:106,I35,107:107)-SUMIF(106:106,C35,107:107)+100</f>
        <v>100</v>
      </c>
      <c r="K35" s="561">
        <v>2</v>
      </c>
      <c r="L35" s="2719"/>
      <c r="M35" s="2713"/>
      <c r="N35" s="2713"/>
      <c r="O35" s="2713"/>
      <c r="P35" s="3693"/>
      <c r="Q35" s="1349" t="str">
        <f t="shared" si="11"/>
        <v>建筑结构</v>
      </c>
      <c r="R35" s="703" t="s">
        <v>14</v>
      </c>
      <c r="S35" s="704">
        <f t="shared" si="12"/>
        <v>100</v>
      </c>
      <c r="T35" s="703" t="s">
        <v>14</v>
      </c>
      <c r="U35" s="704">
        <f t="shared" si="13"/>
        <v>100</v>
      </c>
      <c r="V35" s="703" t="s">
        <v>14</v>
      </c>
      <c r="W35" s="704">
        <f t="shared" si="14"/>
        <v>100</v>
      </c>
      <c r="X35" s="1352"/>
      <c r="Y35" s="3695"/>
      <c r="Z35" s="1353" t="str">
        <f t="shared" si="15"/>
        <v>建筑结构</v>
      </c>
      <c r="AA35" s="1350">
        <f t="shared" si="3"/>
        <v>1</v>
      </c>
      <c r="AB35" s="1350">
        <f t="shared" si="4"/>
        <v>1</v>
      </c>
      <c r="AC35" s="1959">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9"/>
      <c r="M36" s="2713"/>
      <c r="N36" s="2713"/>
      <c r="O36" s="2713"/>
      <c r="P36" s="3693"/>
      <c r="Q36" s="1349" t="str">
        <f t="shared" si="11"/>
        <v>公共部分装修</v>
      </c>
      <c r="R36" s="703" t="s">
        <v>14</v>
      </c>
      <c r="S36" s="704">
        <f t="shared" si="12"/>
        <v>100</v>
      </c>
      <c r="T36" s="703" t="s">
        <v>14</v>
      </c>
      <c r="U36" s="704">
        <f t="shared" si="13"/>
        <v>100</v>
      </c>
      <c r="V36" s="703" t="s">
        <v>14</v>
      </c>
      <c r="W36" s="704">
        <f t="shared" si="14"/>
        <v>100</v>
      </c>
      <c r="X36" s="1352"/>
      <c r="Y36" s="3695"/>
      <c r="Z36" s="1353" t="str">
        <f t="shared" si="15"/>
        <v>公共部分装修</v>
      </c>
      <c r="AA36" s="1350">
        <f t="shared" si="3"/>
        <v>1</v>
      </c>
      <c r="AB36" s="1350">
        <f t="shared" si="4"/>
        <v>1</v>
      </c>
      <c r="AC36" s="1959">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93"/>
      <c r="Q37" s="1349" t="str">
        <f t="shared" si="11"/>
        <v>成新度</v>
      </c>
      <c r="R37" s="703" t="s">
        <v>14</v>
      </c>
      <c r="S37" s="704">
        <f t="shared" si="12"/>
        <v>100</v>
      </c>
      <c r="T37" s="703" t="s">
        <v>14</v>
      </c>
      <c r="U37" s="704">
        <f t="shared" si="13"/>
        <v>100</v>
      </c>
      <c r="V37" s="703" t="s">
        <v>14</v>
      </c>
      <c r="W37" s="704">
        <f t="shared" si="14"/>
        <v>100</v>
      </c>
      <c r="X37" s="1352"/>
      <c r="Y37" s="3695"/>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3"/>
      <c r="Q38" s="1340" t="str">
        <f t="shared" si="11"/>
        <v>写字楼等级</v>
      </c>
      <c r="R38" s="699" t="s">
        <v>14</v>
      </c>
      <c r="S38" s="700">
        <f t="shared" si="12"/>
        <v>100</v>
      </c>
      <c r="T38" s="699" t="s">
        <v>14</v>
      </c>
      <c r="U38" s="700">
        <f t="shared" si="13"/>
        <v>100</v>
      </c>
      <c r="V38" s="699" t="s">
        <v>14</v>
      </c>
      <c r="W38" s="700">
        <f t="shared" si="14"/>
        <v>100</v>
      </c>
      <c r="X38" s="701"/>
      <c r="Y38" s="3695"/>
      <c r="Z38" s="52" t="str">
        <f t="shared" si="15"/>
        <v>写字楼等级</v>
      </c>
      <c r="AA38" s="702">
        <f t="shared" si="3"/>
        <v>1</v>
      </c>
      <c r="AB38" s="702">
        <f t="shared" si="4"/>
        <v>1</v>
      </c>
      <c r="AC38" s="1956">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9"/>
      <c r="M39" s="2713"/>
      <c r="N39" s="2713"/>
      <c r="O39" s="2713"/>
      <c r="P39" s="3693" t="s">
        <v>1696</v>
      </c>
      <c r="Q39" s="1349" t="str">
        <f t="shared" si="11"/>
        <v>物业管理</v>
      </c>
      <c r="R39" s="703" t="s">
        <v>14</v>
      </c>
      <c r="S39" s="704">
        <f t="shared" si="12"/>
        <v>100</v>
      </c>
      <c r="T39" s="703" t="s">
        <v>14</v>
      </c>
      <c r="U39" s="704">
        <f t="shared" si="13"/>
        <v>100</v>
      </c>
      <c r="V39" s="703" t="s">
        <v>14</v>
      </c>
      <c r="W39" s="704">
        <f t="shared" si="14"/>
        <v>100</v>
      </c>
      <c r="X39" s="1352"/>
      <c r="Y39" s="3695" t="s">
        <v>1696</v>
      </c>
      <c r="Z39" s="1353" t="str">
        <f t="shared" si="15"/>
        <v>物业管理</v>
      </c>
      <c r="AA39" s="1350">
        <f t="shared" si="3"/>
        <v>1</v>
      </c>
      <c r="AB39" s="1350">
        <f t="shared" si="4"/>
        <v>1</v>
      </c>
      <c r="AC39" s="1959">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9"/>
      <c r="M40" s="2713"/>
      <c r="N40" s="2713"/>
      <c r="O40" s="2713"/>
      <c r="P40" s="3693"/>
      <c r="Q40" s="1349" t="str">
        <f t="shared" si="11"/>
        <v>市政基础设施</v>
      </c>
      <c r="R40" s="703" t="s">
        <v>14</v>
      </c>
      <c r="S40" s="704">
        <f t="shared" si="12"/>
        <v>100</v>
      </c>
      <c r="T40" s="703" t="s">
        <v>14</v>
      </c>
      <c r="U40" s="704">
        <f t="shared" si="13"/>
        <v>100</v>
      </c>
      <c r="V40" s="703" t="s">
        <v>14</v>
      </c>
      <c r="W40" s="704">
        <f t="shared" si="14"/>
        <v>100</v>
      </c>
      <c r="X40" s="1352"/>
      <c r="Y40" s="3695"/>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3"/>
      <c r="Q41" s="1349" t="str">
        <f t="shared" si="11"/>
        <v>层高</v>
      </c>
      <c r="R41" s="703" t="s">
        <v>14</v>
      </c>
      <c r="S41" s="704">
        <f t="shared" si="12"/>
        <v>100</v>
      </c>
      <c r="T41" s="703" t="s">
        <v>14</v>
      </c>
      <c r="U41" s="704">
        <f t="shared" si="13"/>
        <v>100</v>
      </c>
      <c r="V41" s="703" t="s">
        <v>14</v>
      </c>
      <c r="W41" s="704">
        <f t="shared" si="14"/>
        <v>100</v>
      </c>
      <c r="X41" s="1352"/>
      <c r="Y41" s="3695"/>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3"/>
      <c r="Q42" s="705" t="str">
        <f t="shared" si="11"/>
        <v>单套建筑面积</v>
      </c>
      <c r="R42" s="706" t="s">
        <v>14</v>
      </c>
      <c r="S42" s="707">
        <f t="shared" si="12"/>
        <v>100</v>
      </c>
      <c r="T42" s="706" t="s">
        <v>14</v>
      </c>
      <c r="U42" s="707">
        <f t="shared" si="13"/>
        <v>100</v>
      </c>
      <c r="V42" s="706" t="s">
        <v>14</v>
      </c>
      <c r="W42" s="707">
        <f t="shared" si="14"/>
        <v>100</v>
      </c>
      <c r="X42" s="708"/>
      <c r="Y42" s="3695"/>
      <c r="Z42" s="709" t="str">
        <f t="shared" si="15"/>
        <v>单套建筑面积</v>
      </c>
      <c r="AA42" s="1350">
        <f t="shared" si="3"/>
        <v>1</v>
      </c>
      <c r="AB42" s="1350">
        <f t="shared" si="4"/>
        <v>1</v>
      </c>
      <c r="AC42" s="1959">
        <f t="shared" si="5"/>
        <v>1</v>
      </c>
    </row>
    <row r="43" spans="1:29" ht="15">
      <c r="A43" s="423"/>
      <c r="B43" s="375" t="s">
        <v>1792</v>
      </c>
      <c r="C43" s="411" t="s">
        <v>3422</v>
      </c>
      <c r="D43" s="386">
        <v>100</v>
      </c>
      <c r="E43" s="411" t="s">
        <v>3422</v>
      </c>
      <c r="F43" s="412">
        <f>SUMIF(123:123,E43,124:124)-SUMIF(123:123,C43,124:124)+100</f>
        <v>100</v>
      </c>
      <c r="G43" s="411" t="s">
        <v>3422</v>
      </c>
      <c r="H43" s="386">
        <f>SUMIF(123:123,G43,124:124)-SUMIF(123:123,C43,124:124)+100</f>
        <v>100</v>
      </c>
      <c r="I43" s="411" t="s">
        <v>3422</v>
      </c>
      <c r="J43" s="386">
        <f>SUMIF(123:123,I43,124:124)-SUMIF(123:123,C43,124:124)+100</f>
        <v>100</v>
      </c>
      <c r="K43" s="561">
        <v>2</v>
      </c>
      <c r="L43" s="2719"/>
      <c r="M43" s="2713"/>
      <c r="N43" s="2713"/>
      <c r="O43" s="2713"/>
      <c r="P43" s="3693"/>
      <c r="Q43" s="1349" t="str">
        <f t="shared" si="11"/>
        <v>内部装修</v>
      </c>
      <c r="R43" s="703" t="s">
        <v>14</v>
      </c>
      <c r="S43" s="704">
        <f t="shared" si="12"/>
        <v>100</v>
      </c>
      <c r="T43" s="703" t="s">
        <v>14</v>
      </c>
      <c r="U43" s="704">
        <f t="shared" si="13"/>
        <v>100</v>
      </c>
      <c r="V43" s="703" t="s">
        <v>14</v>
      </c>
      <c r="W43" s="704">
        <f t="shared" si="14"/>
        <v>100</v>
      </c>
      <c r="X43" s="1352"/>
      <c r="Y43" s="3695"/>
      <c r="Z43" s="1353" t="str">
        <f t="shared" si="15"/>
        <v>内部装修</v>
      </c>
      <c r="AA43" s="1350">
        <f t="shared" si="3"/>
        <v>1</v>
      </c>
      <c r="AB43" s="1350">
        <f t="shared" si="4"/>
        <v>1</v>
      </c>
      <c r="AC43" s="1959">
        <f t="shared" si="5"/>
        <v>1</v>
      </c>
    </row>
    <row r="44" spans="1:29" ht="15">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9"/>
      <c r="M44" s="2713"/>
      <c r="N44" s="2713"/>
      <c r="O44" s="2713"/>
      <c r="P44" s="3693"/>
      <c r="Q44" s="1349" t="str">
        <f t="shared" si="11"/>
        <v>内部装修维护情况</v>
      </c>
      <c r="R44" s="703" t="s">
        <v>14</v>
      </c>
      <c r="S44" s="704">
        <f t="shared" si="12"/>
        <v>100</v>
      </c>
      <c r="T44" s="703" t="s">
        <v>14</v>
      </c>
      <c r="U44" s="704">
        <f t="shared" si="13"/>
        <v>100</v>
      </c>
      <c r="V44" s="703" t="s">
        <v>14</v>
      </c>
      <c r="W44" s="704">
        <f t="shared" si="14"/>
        <v>100</v>
      </c>
      <c r="X44" s="1352"/>
      <c r="Y44" s="369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3"/>
      <c r="Q45" s="1340">
        <f t="shared" si="11"/>
        <v>111</v>
      </c>
      <c r="R45" s="699" t="s">
        <v>14</v>
      </c>
      <c r="S45" s="700">
        <f t="shared" si="12"/>
        <v>100</v>
      </c>
      <c r="T45" s="699" t="s">
        <v>14</v>
      </c>
      <c r="U45" s="700">
        <f t="shared" si="13"/>
        <v>100</v>
      </c>
      <c r="V45" s="699" t="s">
        <v>14</v>
      </c>
      <c r="W45" s="700">
        <f t="shared" si="14"/>
        <v>100</v>
      </c>
      <c r="X45" s="701"/>
      <c r="Y45" s="3695"/>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3"/>
      <c r="Q46" s="1349">
        <f t="shared" si="11"/>
        <v>111</v>
      </c>
      <c r="R46" s="703" t="s">
        <v>14</v>
      </c>
      <c r="S46" s="704">
        <f t="shared" si="12"/>
        <v>100</v>
      </c>
      <c r="T46" s="703" t="s">
        <v>14</v>
      </c>
      <c r="U46" s="704">
        <f t="shared" si="13"/>
        <v>100</v>
      </c>
      <c r="V46" s="703" t="s">
        <v>14</v>
      </c>
      <c r="W46" s="704">
        <f t="shared" si="14"/>
        <v>100</v>
      </c>
      <c r="X46" s="1352"/>
      <c r="Y46" s="3695"/>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4"/>
      <c r="Q47" s="1349">
        <f t="shared" si="11"/>
        <v>111</v>
      </c>
      <c r="R47" s="703" t="s">
        <v>14</v>
      </c>
      <c r="S47" s="704">
        <f t="shared" si="12"/>
        <v>100</v>
      </c>
      <c r="T47" s="703" t="s">
        <v>14</v>
      </c>
      <c r="U47" s="704">
        <f t="shared" si="13"/>
        <v>100</v>
      </c>
      <c r="V47" s="703" t="s">
        <v>14</v>
      </c>
      <c r="W47" s="704">
        <f t="shared" si="14"/>
        <v>100</v>
      </c>
      <c r="X47" s="1352"/>
      <c r="Y47" s="3696"/>
      <c r="Z47" s="1353">
        <f t="shared" si="15"/>
        <v>111</v>
      </c>
      <c r="AA47" s="1350">
        <f t="shared" si="3"/>
        <v>1</v>
      </c>
      <c r="AB47" s="1350">
        <f t="shared" si="4"/>
        <v>1</v>
      </c>
      <c r="AC47" s="1959">
        <f t="shared" si="5"/>
        <v>1</v>
      </c>
    </row>
    <row r="48" spans="1:29" ht="15">
      <c r="A48" s="430" t="s">
        <v>1708</v>
      </c>
      <c r="B48" s="431"/>
      <c r="C48" s="1151" t="s">
        <v>0</v>
      </c>
      <c r="D48" s="1152"/>
      <c r="E48" s="1153">
        <v>27444</v>
      </c>
      <c r="F48" s="1154"/>
      <c r="G48" s="1155">
        <v>24503</v>
      </c>
      <c r="H48" s="1156"/>
      <c r="I48" s="1153">
        <v>25000</v>
      </c>
      <c r="J48" s="436"/>
      <c r="K48" s="712"/>
      <c r="L48" s="2721"/>
      <c r="M48" s="2713"/>
      <c r="N48" s="2713"/>
      <c r="O48" s="2713"/>
      <c r="P48" s="3668" t="str">
        <f>A48</f>
        <v>成交单价（元/平方米）</v>
      </c>
      <c r="Q48" s="3697"/>
      <c r="R48" s="3698">
        <f>E48</f>
        <v>27444</v>
      </c>
      <c r="S48" s="3698"/>
      <c r="T48" s="3698">
        <f>G48</f>
        <v>24503</v>
      </c>
      <c r="U48" s="3698"/>
      <c r="V48" s="3698">
        <f>I48</f>
        <v>25000</v>
      </c>
      <c r="W48" s="3698"/>
      <c r="X48" s="397"/>
      <c r="Y48" s="710"/>
      <c r="Z48" s="397"/>
      <c r="AA48" s="397"/>
      <c r="AB48" s="397"/>
      <c r="AC48" s="578"/>
    </row>
    <row r="49" spans="1:29" ht="15.75" thickBot="1">
      <c r="A49" s="437" t="s">
        <v>1793</v>
      </c>
      <c r="B49" s="438"/>
      <c r="C49" s="1157">
        <f>R50</f>
        <v>25300</v>
      </c>
      <c r="D49" s="2314" t="s">
        <v>2137</v>
      </c>
      <c r="E49" s="1158">
        <f>R49</f>
        <v>26378</v>
      </c>
      <c r="F49" s="2315"/>
      <c r="G49" s="1157">
        <f>T49</f>
        <v>24513</v>
      </c>
      <c r="H49" s="2315"/>
      <c r="I49" s="1158">
        <f>V49</f>
        <v>25010</v>
      </c>
      <c r="J49" s="2315"/>
      <c r="K49" s="2317">
        <f>F49+H49+J49</f>
        <v>0</v>
      </c>
      <c r="L49" s="2721"/>
      <c r="M49" s="2713"/>
      <c r="N49" s="2713"/>
      <c r="O49" s="2713"/>
      <c r="P49" s="3668" t="str">
        <f>A49</f>
        <v>比较价值（元/平方米）</v>
      </c>
      <c r="Q49" s="3697"/>
      <c r="R49" s="3698">
        <f>IF(F1="售价",ROUND(PRODUCT(R48,AA7:AA47),0),ROUND(PRODUCT(R48,AA7:AA47),1))</f>
        <v>26378</v>
      </c>
      <c r="S49" s="3698"/>
      <c r="T49" s="3698">
        <f>IF(F1="售价",ROUND(PRODUCT(T48,AB7:AB47),0),ROUND(PRODUCT(T48,AB7:AB47),1))</f>
        <v>24513</v>
      </c>
      <c r="U49" s="3698"/>
      <c r="V49" s="3698">
        <f>IF(F1="售价",ROUND(PRODUCT(V48,AC7:AC47),0),ROUND(PRODUCT(V48,AC7:AC47),1))</f>
        <v>25010</v>
      </c>
      <c r="W49" s="3698"/>
      <c r="X49" s="397"/>
      <c r="Y49" s="397"/>
      <c r="Z49" s="397"/>
      <c r="AA49" s="397"/>
      <c r="AB49" s="397"/>
      <c r="AC49" s="578"/>
    </row>
    <row r="50" spans="1:29" ht="15.75" thickBot="1">
      <c r="A50" s="441" t="s">
        <v>1794</v>
      </c>
      <c r="B50" s="442"/>
      <c r="C50" s="1160">
        <f>R50</f>
        <v>25300</v>
      </c>
      <c r="D50" s="1160"/>
      <c r="E50" s="1160"/>
      <c r="F50" s="1160"/>
      <c r="G50" s="1160"/>
      <c r="H50" s="1160"/>
      <c r="I50" s="1160"/>
      <c r="J50" s="443"/>
      <c r="K50" s="713"/>
      <c r="L50" s="2721"/>
      <c r="M50" s="2713"/>
      <c r="N50" s="2713"/>
      <c r="O50" s="2713"/>
      <c r="P50" s="3699" t="str">
        <f>A50</f>
        <v>估价对象XX用房的比较价值（楼面单价，元/平方米）</v>
      </c>
      <c r="Q50" s="3700"/>
      <c r="R50" s="3701">
        <f>IF(F1="售价",ROUND(IF(D49="简单平均",AVERAGE(R49:V49),R49*F49+T49*H49+V49*J49),0),ROUND(IF(D49="简单平均",AVERAGE(R49:V49),R49*F49+T49*H49+V49*J49),1))</f>
        <v>25300</v>
      </c>
      <c r="S50" s="3701"/>
      <c r="T50" s="3701"/>
      <c r="U50" s="3701"/>
      <c r="V50" s="3701"/>
      <c r="W50" s="370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4.0412464932898517E-2</v>
      </c>
      <c r="F53" s="449" t="str">
        <f>IF(OR(E53&gt;=0.3,E53&lt;=-0.3),"超过30%","")</f>
        <v/>
      </c>
      <c r="G53" s="448">
        <f>IF(G48&lt;G49,G49/G48-1,G48/G49-1)</f>
        <v>4.0811329224998971E-4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7.6082078896911876E-2</v>
      </c>
      <c r="F54" s="449" t="str">
        <f>IF(OR(E54&gt;=0.2,E54&lt;=-0.2),"超过20%","")</f>
        <v/>
      </c>
      <c r="G54" s="448">
        <f>IF(G49&lt;I49,I49/G49-1,G49/I49-1)</f>
        <v>2.0274956145718503E-2</v>
      </c>
      <c r="H54" s="449" t="str">
        <f>IF(OR(G54&gt;=0.2,G54&lt;=-0.2),"超过20%","")</f>
        <v/>
      </c>
      <c r="I54" s="448">
        <f>IF(I49&lt;E49,E49/I49-1,I49/E49-1)</f>
        <v>5.469812075169922E-2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0.12002611925070394</v>
      </c>
      <c r="F55" s="449" t="str">
        <f>IF(OR(E55&gt;=0.3,E55&lt;=-0.3),"超过30%","")</f>
        <v/>
      </c>
      <c r="G55" s="448">
        <f>IF(G48&lt;I48,I48/G48-1,G48/I48-1)</f>
        <v>2.0283230624821513E-2</v>
      </c>
      <c r="H55" s="449" t="str">
        <f>IF(OR(G55&gt;=0.3,G55&lt;=-0.3),"超过30%","")</f>
        <v/>
      </c>
      <c r="I55" s="448">
        <f>IF(I48&lt;E48,E48/I48-1,I48/E48-1)</f>
        <v>9.7760000000000069E-2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54" t="s">
        <v>3396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55" t="s">
        <v>3398</v>
      </c>
      <c r="D87" s="3455" t="s">
        <v>3399</v>
      </c>
      <c r="E87" s="3455" t="s">
        <v>3400</v>
      </c>
      <c r="F87" s="3455" t="s">
        <v>3401</v>
      </c>
      <c r="G87" s="3455" t="s">
        <v>3402</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5" t="s">
        <v>3404</v>
      </c>
      <c r="D89" s="3455" t="s">
        <v>3405</v>
      </c>
      <c r="E89" s="3455" t="s">
        <v>3407</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6" t="s">
        <v>3409</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v>96</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5" t="s">
        <v>3413</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5" t="s">
        <v>3414</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3416</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3413</v>
      </c>
      <c r="D123" s="3455" t="s">
        <v>3423</v>
      </c>
      <c r="E123" s="3455" t="s">
        <v>3424</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60">
        <f ca="1">J53</f>
        <v>18.87</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666.60199999999998</v>
      </c>
      <c r="C2" s="1384" t="s">
        <v>879</v>
      </c>
      <c r="D2" s="1468">
        <f ca="1">C40+J29+L46</f>
        <v>6666020</v>
      </c>
      <c r="E2" s="1385" t="s">
        <v>880</v>
      </c>
      <c r="F2" s="1386"/>
      <c r="G2" s="2703"/>
      <c r="H2" s="2692"/>
      <c r="I2" s="2692"/>
      <c r="J2" s="2692"/>
      <c r="K2" s="2693"/>
      <c r="L2" s="2692"/>
      <c r="M2" s="2692"/>
    </row>
    <row r="3" spans="1:37" ht="18" customHeight="1" thickBot="1">
      <c r="A3" s="1387" t="s">
        <v>881</v>
      </c>
      <c r="B3" s="1388">
        <f ca="1">IF(ISERROR(D2/F43),0,ROUND(D2/F43,0))</f>
        <v>15810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596303</v>
      </c>
      <c r="D5" s="1361" t="s">
        <v>889</v>
      </c>
      <c r="E5" s="1069"/>
      <c r="F5" s="1070"/>
      <c r="G5" s="1381"/>
      <c r="H5" s="299">
        <v>1</v>
      </c>
      <c r="I5" s="300" t="s">
        <v>888</v>
      </c>
      <c r="J5" s="1068">
        <f ca="1">J6+J10+J12</f>
        <v>0</v>
      </c>
      <c r="K5" s="1361" t="s">
        <v>889</v>
      </c>
      <c r="L5" s="1069"/>
      <c r="M5" s="1070"/>
    </row>
    <row r="6" spans="1:37" ht="18" customHeight="1">
      <c r="A6" s="1067" t="s">
        <v>398</v>
      </c>
      <c r="B6" s="3647" t="s">
        <v>694</v>
      </c>
      <c r="C6" s="1072">
        <f ca="1">ROUND(F6*F8*F7*(1-F9),0)</f>
        <v>595559</v>
      </c>
      <c r="D6" s="155" t="s">
        <v>2105</v>
      </c>
      <c r="E6" s="302" t="s">
        <v>696</v>
      </c>
      <c r="F6" s="303">
        <f ca="1">INDIRECT("'数据-取费表'!u"&amp;$G$1)</f>
        <v>4.3</v>
      </c>
      <c r="G6" s="1381"/>
      <c r="H6" s="1067" t="s">
        <v>398</v>
      </c>
      <c r="I6" s="3647" t="s">
        <v>694</v>
      </c>
      <c r="J6" s="301">
        <f ca="1">ROUND(M6*M8*M7*(1-M9),0)</f>
        <v>0</v>
      </c>
      <c r="K6" s="1373"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421.62</v>
      </c>
      <c r="G7" s="1381"/>
      <c r="H7" s="304"/>
      <c r="I7" s="3648"/>
      <c r="J7" s="306"/>
      <c r="K7" s="307"/>
      <c r="L7" s="302" t="s">
        <v>697</v>
      </c>
      <c r="M7" s="303">
        <f ca="1">F7</f>
        <v>421.62</v>
      </c>
    </row>
    <row r="8" spans="1:37" ht="18" customHeight="1">
      <c r="A8" s="304"/>
      <c r="B8" s="3648"/>
      <c r="C8" s="306"/>
      <c r="D8" s="307"/>
      <c r="E8" s="302" t="s">
        <v>698</v>
      </c>
      <c r="F8" s="303">
        <f ca="1">INDIRECT("'数据-取费表'!ai"&amp;$G$1)</f>
        <v>365</v>
      </c>
      <c r="G8" s="1381"/>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1"/>
      <c r="H9" s="304"/>
      <c r="I9" s="3649"/>
      <c r="J9" s="306"/>
      <c r="K9" s="307"/>
      <c r="L9" s="313" t="s">
        <v>699</v>
      </c>
      <c r="M9" s="314">
        <f ca="1">INDIRECT("'数据-取费表'!ab"&amp;$G$1)</f>
        <v>0</v>
      </c>
    </row>
    <row r="10" spans="1:37" ht="18" customHeight="1">
      <c r="A10" s="1067" t="s">
        <v>402</v>
      </c>
      <c r="B10" s="1362" t="s">
        <v>700</v>
      </c>
      <c r="C10" s="316">
        <f ca="1">ROUND(IF(F10="押一",C6/12*F11,IF(F10="押二",C6/12*2*F11,IF(F10="押三",C6/12*3*F11,C11*F11))),0)</f>
        <v>744</v>
      </c>
      <c r="D10" s="1363" t="s">
        <v>2115</v>
      </c>
      <c r="E10" s="313" t="s">
        <v>701</v>
      </c>
      <c r="F10" s="1113" t="s">
        <v>3427</v>
      </c>
      <c r="G10" s="1381"/>
      <c r="H10" s="1067"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1819710</v>
      </c>
      <c r="D13" s="1078" t="s">
        <v>705</v>
      </c>
      <c r="E13" s="1078" t="s">
        <v>706</v>
      </c>
      <c r="F13" s="1079">
        <f ca="1">INDIRECT("'数据-取费表'!y"&amp;$G$1)</f>
        <v>0.75</v>
      </c>
      <c r="G13" s="1381"/>
      <c r="H13" s="1076">
        <v>2</v>
      </c>
      <c r="I13" s="1077" t="s">
        <v>704</v>
      </c>
      <c r="J13" s="1066">
        <f ca="1">ROUND(J14*J15,0)</f>
        <v>0</v>
      </c>
      <c r="K13" s="1084" t="s">
        <v>705</v>
      </c>
      <c r="L13" s="1389"/>
      <c r="M13" s="1390"/>
    </row>
    <row r="14" spans="1:37" ht="18" customHeight="1">
      <c r="A14" s="980" t="s">
        <v>397</v>
      </c>
      <c r="B14" s="302" t="s">
        <v>707</v>
      </c>
      <c r="C14" s="318">
        <f ca="1">ROUND(INDIRECT("'数据-取费表'!l"&amp;$G$1)*F43+'数据-取费表'!L14*INDIRECT("'数据-取费表'!S"&amp;$G$1),0)</f>
        <v>1686480</v>
      </c>
      <c r="D14" s="1342" t="s">
        <v>708</v>
      </c>
      <c r="E14" s="1339"/>
      <c r="F14" s="319"/>
      <c r="G14" s="1381"/>
      <c r="H14" s="980" t="s">
        <v>398</v>
      </c>
      <c r="I14" s="302" t="s">
        <v>709</v>
      </c>
      <c r="J14" s="21">
        <f ca="1">C29</f>
        <v>2426280</v>
      </c>
      <c r="K14" s="12"/>
      <c r="L14" s="805"/>
      <c r="M14" s="806"/>
    </row>
    <row r="15" spans="1:37" s="1394" customFormat="1" ht="18" customHeight="1" thickBot="1">
      <c r="A15" s="980" t="s">
        <v>399</v>
      </c>
      <c r="B15" s="302" t="s">
        <v>710</v>
      </c>
      <c r="C15" s="21">
        <f ca="1">ROUND(C14*F15,0)</f>
        <v>50594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14677</v>
      </c>
      <c r="K16" s="1084" t="s">
        <v>715</v>
      </c>
      <c r="L16" s="1085"/>
      <c r="M16" s="1070"/>
    </row>
    <row r="17" spans="1:37" s="1394" customFormat="1" ht="18" customHeight="1">
      <c r="A17" s="980" t="s">
        <v>681</v>
      </c>
      <c r="B17" s="302" t="s">
        <v>716</v>
      </c>
      <c r="C17" s="21">
        <f ca="1">ROUND(F17*(F43+INDIRECT("'数据-取费表'!S"&amp;$G$1)),0)</f>
        <v>84324</v>
      </c>
      <c r="D17" s="302" t="s">
        <v>717</v>
      </c>
      <c r="E17" s="302" t="s">
        <v>718</v>
      </c>
      <c r="F17" s="23">
        <f>'数据-取费表'!B35</f>
        <v>200</v>
      </c>
      <c r="G17" s="1393"/>
      <c r="H17" s="980" t="s">
        <v>398</v>
      </c>
      <c r="I17" s="302" t="s">
        <v>719</v>
      </c>
      <c r="J17" s="2313">
        <f ca="1">ROUND(IF(AND(项目基本情况!B11="自然人",项目基本情况!B10="北京市"),J6*M17/(1+'数据-取费表'!C42),J18+J19+J20),0)</f>
        <v>2546</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33730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1855128</v>
      </c>
      <c r="D19" s="131" t="s">
        <v>726</v>
      </c>
      <c r="E19" s="1357"/>
      <c r="F19" s="23"/>
      <c r="G19" s="1381"/>
      <c r="H19" s="980"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0" t="s">
        <v>402</v>
      </c>
      <c r="B20" s="302" t="s">
        <v>728</v>
      </c>
      <c r="C20" s="21">
        <f ca="1">ROUND(C19*F20,0)</f>
        <v>37103</v>
      </c>
      <c r="D20" s="323" t="s">
        <v>729</v>
      </c>
      <c r="E20" s="302" t="s">
        <v>712</v>
      </c>
      <c r="F20" s="322">
        <f>'数据-取费表'!B37</f>
        <v>0.02</v>
      </c>
      <c r="G20" s="1393"/>
      <c r="H20" s="980" t="s">
        <v>680</v>
      </c>
      <c r="I20" s="155" t="s">
        <v>730</v>
      </c>
      <c r="J20" s="22">
        <f ca="1">ROUND(M20*M21,0)</f>
        <v>2546</v>
      </c>
      <c r="K20" s="324" t="s">
        <v>731</v>
      </c>
      <c r="L20" s="302" t="s">
        <v>732</v>
      </c>
      <c r="M20" s="325">
        <f>'数据-取费表'!B52</f>
        <v>12</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212.2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12131</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63390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-14677</v>
      </c>
      <c r="K25" s="1092" t="s">
        <v>753</v>
      </c>
      <c r="L25" s="1093"/>
      <c r="M25" s="1094"/>
    </row>
    <row r="26" spans="1:37" ht="18" customHeight="1">
      <c r="A26" s="980" t="s">
        <v>397</v>
      </c>
      <c r="B26" s="302" t="s">
        <v>754</v>
      </c>
      <c r="C26" s="21">
        <f ca="1">ROUND((C19+C20)*F26,0)</f>
        <v>283835</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2426280</v>
      </c>
      <c r="D29" s="1089"/>
      <c r="E29" s="1087"/>
      <c r="F29" s="1090"/>
      <c r="G29" s="1393"/>
      <c r="H29" s="334" t="s">
        <v>396</v>
      </c>
      <c r="I29" s="335" t="s">
        <v>768</v>
      </c>
      <c r="J29" s="336">
        <f ca="1">ROUND(J26/(1+F40)^F41,0)</f>
        <v>0</v>
      </c>
      <c r="K29" s="337" t="s">
        <v>769</v>
      </c>
      <c r="L29" s="338"/>
      <c r="M29" s="339">
        <f ca="1">INDIRECT("'数据-取费表'!k"&amp;$G$1)</f>
        <v>421.62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119306</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102373</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0" t="s">
        <v>397</v>
      </c>
      <c r="B32" s="302" t="s">
        <v>723</v>
      </c>
      <c r="C32" s="21">
        <f ca="1">IF(项目基本情况!B11="自然人","——",ROUND(C6*F32/(1+'数据-取费表'!C42),0))</f>
        <v>31763</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68064</v>
      </c>
      <c r="D33" s="1367" t="s">
        <v>3339</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IF(项目基本情况!B11="自然人","——",ROUND(F34*F35,0))</f>
        <v>2546</v>
      </c>
      <c r="D34" s="324" t="s">
        <v>731</v>
      </c>
      <c r="E34" s="302" t="s">
        <v>732</v>
      </c>
      <c r="F34" s="325">
        <f>'数据-取费表'!B52</f>
        <v>12</v>
      </c>
      <c r="G34" s="1381"/>
      <c r="H34" s="2694"/>
      <c r="I34" s="1395"/>
      <c r="J34" s="1396"/>
      <c r="K34" s="2699"/>
      <c r="L34" s="2700"/>
      <c r="M34" s="2700"/>
    </row>
    <row r="35" spans="1:18" ht="18" customHeight="1">
      <c r="A35" s="1100"/>
      <c r="B35" s="1098"/>
      <c r="C35" s="26"/>
      <c r="D35" s="327"/>
      <c r="E35" s="302" t="s">
        <v>736</v>
      </c>
      <c r="F35" s="303">
        <f ca="1">INDIRECT("'数据-取费表'!r"&amp;$G$1)</f>
        <v>212.2</v>
      </c>
      <c r="G35" s="1381"/>
      <c r="H35" s="2694"/>
      <c r="I35" s="1395"/>
      <c r="J35" s="1396"/>
      <c r="K35" s="2698"/>
      <c r="L35" s="2697"/>
      <c r="M35" s="2697"/>
    </row>
    <row r="36" spans="1:18" ht="18" customHeight="1">
      <c r="A36" s="1099" t="s">
        <v>402</v>
      </c>
      <c r="B36" s="302" t="s">
        <v>738</v>
      </c>
      <c r="C36" s="21">
        <f ca="1">ROUND(C29*F36,0)</f>
        <v>12131</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1820</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2982</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476997</v>
      </c>
      <c r="D39" s="1092" t="s">
        <v>773</v>
      </c>
      <c r="E39" s="1093"/>
      <c r="F39" s="1094"/>
      <c r="G39" s="1381"/>
      <c r="H39" s="2697"/>
      <c r="I39" s="1395"/>
      <c r="J39" s="1396"/>
      <c r="K39" s="2701"/>
      <c r="L39" s="2697"/>
      <c r="M39" s="2697"/>
    </row>
    <row r="40" spans="1:18" ht="18" customHeight="1">
      <c r="A40" s="299" t="s">
        <v>395</v>
      </c>
      <c r="B40" s="300" t="s">
        <v>774</v>
      </c>
      <c r="C40" s="301">
        <f ca="1">ROUND(C39*(1-((1+F42)/(1+F40))^F41)/(F40-F42),0)</f>
        <v>6418093</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18.87</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ROUND(C40/F43,0)</f>
        <v>15222</v>
      </c>
      <c r="D43" s="337" t="s">
        <v>777</v>
      </c>
      <c r="E43" s="338" t="s">
        <v>778</v>
      </c>
      <c r="F43" s="339">
        <f ca="1">INDIRECT("'数据-取费表'!k"&amp;$G$1)</f>
        <v>421.62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3355</v>
      </c>
      <c r="B45" s="1397"/>
      <c r="C45" s="1469">
        <f ca="1">ROUND((C68-C40)/10000,4)</f>
        <v>-660.8827</v>
      </c>
      <c r="D45" s="3429" t="s">
        <v>3356</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247927</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3410</v>
      </c>
      <c r="K47" s="1413" t="s">
        <v>816</v>
      </c>
      <c r="L47" s="1414">
        <f ca="1">INDIRECT("'数据-取费表'!d"&amp;$G$1)</f>
        <v>50</v>
      </c>
      <c r="M47" s="1377" t="str">
        <f>IF(ISNUMBER(FIND("住宅",C1)),"住宅","非住宅")</f>
        <v>非住宅</v>
      </c>
      <c r="O47" s="1415" t="s">
        <v>403</v>
      </c>
      <c r="P47" s="1416" t="s">
        <v>817</v>
      </c>
      <c r="Q47" s="1417">
        <f ca="1">C40+J29</f>
        <v>6418093</v>
      </c>
      <c r="R47" s="1417" t="s">
        <v>818</v>
      </c>
    </row>
    <row r="48" spans="1:18" s="1381" customFormat="1" ht="28.5" thickBot="1">
      <c r="A48" s="1107" t="s">
        <v>438</v>
      </c>
      <c r="B48" s="300" t="s">
        <v>692</v>
      </c>
      <c r="C48" s="1356">
        <f ca="1">C49+C53+C55</f>
        <v>0</v>
      </c>
      <c r="D48" s="1109"/>
      <c r="E48" s="1110"/>
      <c r="F48" s="960"/>
      <c r="G48" s="720"/>
      <c r="H48" s="721"/>
      <c r="I48" s="1418" t="s">
        <v>819</v>
      </c>
      <c r="J48" s="1419" t="s">
        <v>3428</v>
      </c>
      <c r="K48" s="1420" t="s">
        <v>820</v>
      </c>
      <c r="L48" s="1421">
        <f ca="1">INDIRECT("'数据-取费表'!f"&amp;$G$1)</f>
        <v>18.87</v>
      </c>
      <c r="O48" s="1415" t="s">
        <v>404</v>
      </c>
      <c r="P48" s="1416" t="s">
        <v>821</v>
      </c>
      <c r="Q48" s="1417">
        <f ca="1">J60</f>
        <v>247927</v>
      </c>
      <c r="R48" s="1417" t="s">
        <v>822</v>
      </c>
    </row>
    <row r="49" spans="1:18" s="1381" customFormat="1" ht="13.5" thickBot="1">
      <c r="A49" s="973" t="s">
        <v>439</v>
      </c>
      <c r="B49" s="1368" t="s">
        <v>779</v>
      </c>
      <c r="C49" s="1111">
        <f ca="1">ROUND(F49*F51*F50*(1-F52),0)</f>
        <v>0</v>
      </c>
      <c r="D49" s="1053" t="s">
        <v>695</v>
      </c>
      <c r="E49" s="1369" t="s">
        <v>780</v>
      </c>
      <c r="F49" s="1058"/>
      <c r="G49" s="1422"/>
      <c r="H49" s="721"/>
      <c r="I49" s="1418" t="s">
        <v>823</v>
      </c>
      <c r="J49" s="1423">
        <f>'数据-取费表'!N17</f>
        <v>1994</v>
      </c>
      <c r="K49" s="1420" t="s">
        <v>824</v>
      </c>
      <c r="L49" s="1424"/>
      <c r="O49" s="1425" t="s">
        <v>405</v>
      </c>
      <c r="P49" s="1416" t="s">
        <v>825</v>
      </c>
      <c r="Q49" s="1417">
        <f ca="1">C29</f>
        <v>2426280</v>
      </c>
      <c r="R49" s="1417" t="s">
        <v>818</v>
      </c>
    </row>
    <row r="50" spans="1:18" s="1381" customFormat="1" ht="13.5" thickBot="1">
      <c r="A50" s="974"/>
      <c r="B50" s="977"/>
      <c r="C50" s="978"/>
      <c r="D50" s="951"/>
      <c r="E50" s="1054" t="s">
        <v>697</v>
      </c>
      <c r="F50" s="1055">
        <f ca="1">F7</f>
        <v>421.62</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30</v>
      </c>
      <c r="K51" s="1431" t="s">
        <v>830</v>
      </c>
      <c r="L51" s="1432">
        <f ca="1">ROUND(-PV(INDIRECT("'数据-取费表'!h"&amp;$G$1),J51,(C39-C13*C76),0),0)</f>
        <v>5374475</v>
      </c>
      <c r="M51" s="1433"/>
      <c r="O51" s="1425" t="s">
        <v>407</v>
      </c>
      <c r="P51" s="1416" t="s">
        <v>831</v>
      </c>
      <c r="Q51" s="1428">
        <f>J52</f>
        <v>7.4999999999999997E-2</v>
      </c>
      <c r="R51" s="1417"/>
    </row>
    <row r="52" spans="1:18" s="1381" customFormat="1" ht="13.5" thickBot="1">
      <c r="A52" s="975"/>
      <c r="B52" s="977"/>
      <c r="C52" s="978"/>
      <c r="D52" s="951"/>
      <c r="E52" s="979" t="s">
        <v>699</v>
      </c>
      <c r="F52" s="1052"/>
      <c r="I52" s="1434" t="s">
        <v>832</v>
      </c>
      <c r="J52" s="1435">
        <v>7.4999999999999997E-2</v>
      </c>
      <c r="K52" s="1434" t="s">
        <v>833</v>
      </c>
      <c r="L52" s="1435"/>
      <c r="O52" s="1425" t="s">
        <v>408</v>
      </c>
      <c r="P52" s="1416" t="s">
        <v>834</v>
      </c>
      <c r="Q52" s="1417">
        <f ca="1">J53</f>
        <v>18.87</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18.87</v>
      </c>
      <c r="K53" s="3645" t="s">
        <v>837</v>
      </c>
      <c r="L53" s="3646"/>
      <c r="O53" s="1415" t="s">
        <v>409</v>
      </c>
      <c r="P53" s="1416" t="s">
        <v>838</v>
      </c>
      <c r="Q53" s="1417">
        <f ca="1">Q47+Q48</f>
        <v>6666020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0.186</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1819710</v>
      </c>
      <c r="D56" s="1444"/>
      <c r="E56" s="1445"/>
      <c r="F56" s="1437"/>
      <c r="I56" s="1446" t="s">
        <v>842</v>
      </c>
      <c r="J56" s="1447" t="s">
        <v>3386</v>
      </c>
      <c r="K56" s="1418" t="s">
        <v>843</v>
      </c>
      <c r="L56" s="1421" t="str">
        <f ca="1">IF(L48&lt;J51,"——",L48-J51)</f>
        <v>——</v>
      </c>
      <c r="O56" s="1415" t="s">
        <v>403</v>
      </c>
      <c r="P56" s="1416" t="s">
        <v>817</v>
      </c>
      <c r="Q56" s="1417">
        <f ca="1">C40+J29</f>
        <v>6418093</v>
      </c>
      <c r="R56" s="1417" t="s">
        <v>818</v>
      </c>
    </row>
    <row r="57" spans="1:18" s="1381" customFormat="1" ht="24.75" thickBot="1">
      <c r="A57" s="1448"/>
      <c r="B57" s="948" t="s">
        <v>767</v>
      </c>
      <c r="C57" s="238">
        <f ca="1">C29</f>
        <v>2426280</v>
      </c>
      <c r="D57" s="1449"/>
      <c r="E57" s="1450"/>
      <c r="F57" s="1451"/>
      <c r="I57" s="1452" t="s">
        <v>844</v>
      </c>
      <c r="J57" s="1453">
        <f ca="1">IF(OR(M47="住宅",J51&lt;L48,J56="是"),"——",J51-L48)</f>
        <v>11.129999999999999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16497</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2546</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970512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247927</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2546</v>
      </c>
      <c r="D62" s="963" t="s">
        <v>786</v>
      </c>
      <c r="E62" s="948" t="s">
        <v>787</v>
      </c>
      <c r="F62" s="325">
        <f t="shared" si="0"/>
        <v>12</v>
      </c>
      <c r="I62" s="1459" t="s">
        <v>858</v>
      </c>
      <c r="J62" s="1460" t="s">
        <v>859</v>
      </c>
      <c r="K62" s="1460" t="s">
        <v>860</v>
      </c>
      <c r="L62" s="1460" t="s">
        <v>861</v>
      </c>
      <c r="M62" s="1461" t="s">
        <v>862</v>
      </c>
      <c r="O62" s="1415" t="s">
        <v>409</v>
      </c>
      <c r="P62" s="1416" t="s">
        <v>863</v>
      </c>
      <c r="Q62" s="1417">
        <f ca="1">Q56+Q57</f>
        <v>6418093</v>
      </c>
      <c r="R62" s="1417" t="s">
        <v>410</v>
      </c>
    </row>
    <row r="63" spans="1:18" s="1381" customFormat="1" ht="13.5" thickBot="1">
      <c r="A63" s="326"/>
      <c r="B63" s="954"/>
      <c r="C63" s="26"/>
      <c r="D63" s="964"/>
      <c r="E63" s="948" t="s">
        <v>788</v>
      </c>
      <c r="F63" s="303">
        <f t="shared" ca="1" si="0"/>
        <v>212.2</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12131</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1820</v>
      </c>
      <c r="D65" s="962" t="s">
        <v>743</v>
      </c>
      <c r="E65" s="948" t="s">
        <v>744</v>
      </c>
      <c r="F65" s="330">
        <f t="shared" ca="1" si="0"/>
        <v>1E-3</v>
      </c>
      <c r="I65" s="1459" t="s">
        <v>867</v>
      </c>
      <c r="J65" s="1460">
        <v>40</v>
      </c>
      <c r="K65" s="1460">
        <v>30</v>
      </c>
      <c r="L65" s="1460">
        <v>50</v>
      </c>
      <c r="M65" s="1462">
        <v>0.02</v>
      </c>
      <c r="O65" s="1415" t="s">
        <v>403</v>
      </c>
      <c r="P65" s="1416" t="s">
        <v>868</v>
      </c>
      <c r="Q65" s="1417">
        <f ca="1">C40+J29</f>
        <v>6418093</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-16497</v>
      </c>
      <c r="D67" s="961" t="s">
        <v>753</v>
      </c>
      <c r="E67" s="966"/>
      <c r="F67" s="967"/>
      <c r="O67" s="1425" t="s">
        <v>405</v>
      </c>
      <c r="P67" s="1416" t="s">
        <v>850</v>
      </c>
      <c r="Q67" s="1463">
        <f ca="1">L51</f>
        <v>5374475</v>
      </c>
      <c r="R67" s="1417" t="s">
        <v>870</v>
      </c>
    </row>
    <row r="68" spans="1:18" s="1381" customFormat="1" ht="16.5" thickBot="1">
      <c r="A68" s="945" t="s">
        <v>395</v>
      </c>
      <c r="B68" s="946" t="s">
        <v>774</v>
      </c>
      <c r="C68" s="301">
        <f ca="1">ROUND(C67*(1-((1+F70)/(1+F68))^F69)/(F68-F70),0)</f>
        <v>-190734</v>
      </c>
      <c r="D68" s="963" t="s">
        <v>758</v>
      </c>
      <c r="E68" s="948" t="s">
        <v>759</v>
      </c>
      <c r="F68" s="312">
        <f ca="1">F40</f>
        <v>5.5E-2</v>
      </c>
      <c r="O68" s="1425" t="s">
        <v>406</v>
      </c>
      <c r="P68" s="1464" t="s">
        <v>871</v>
      </c>
      <c r="Q68" s="1417">
        <f ca="1">ROUND(Q69-Q70*Q71,0)</f>
        <v>349617</v>
      </c>
      <c r="R68" s="1417" t="s">
        <v>414</v>
      </c>
    </row>
    <row r="69" spans="1:18" s="1381" customFormat="1" ht="13.5" thickBot="1">
      <c r="A69" s="949"/>
      <c r="B69" s="950"/>
      <c r="C69" s="306"/>
      <c r="D69" s="968" t="s">
        <v>762</v>
      </c>
      <c r="E69" s="948" t="s">
        <v>763</v>
      </c>
      <c r="F69" s="333">
        <f ca="1">F41</f>
        <v>18.87</v>
      </c>
      <c r="O69" s="1425" t="s">
        <v>411</v>
      </c>
      <c r="P69" s="1464" t="s">
        <v>872</v>
      </c>
      <c r="Q69" s="1417">
        <f ca="1">C39</f>
        <v>476997</v>
      </c>
      <c r="R69" s="1417" t="s">
        <v>818</v>
      </c>
    </row>
    <row r="70" spans="1:18" s="1381" customFormat="1" ht="13.5" thickBot="1">
      <c r="A70" s="952"/>
      <c r="B70" s="953"/>
      <c r="C70" s="310"/>
      <c r="D70" s="964"/>
      <c r="E70" s="948" t="s">
        <v>766</v>
      </c>
      <c r="F70" s="1052"/>
      <c r="O70" s="1425" t="s">
        <v>412</v>
      </c>
      <c r="P70" s="1464" t="s">
        <v>873</v>
      </c>
      <c r="Q70" s="1417">
        <f ca="1">C13</f>
        <v>1819710</v>
      </c>
      <c r="R70" s="1417" t="s">
        <v>818</v>
      </c>
    </row>
    <row r="71" spans="1:18" s="1381" customFormat="1" ht="13.5" thickBot="1">
      <c r="A71" s="969" t="s">
        <v>396</v>
      </c>
      <c r="B71" s="970" t="s">
        <v>776</v>
      </c>
      <c r="C71" s="336">
        <f ca="1">ROUND(C68/F71,0)</f>
        <v>-452</v>
      </c>
      <c r="D71" s="971" t="s">
        <v>777</v>
      </c>
      <c r="E71" s="972" t="s">
        <v>778</v>
      </c>
      <c r="F71" s="339">
        <f ca="1">F43</f>
        <v>421.62</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127380</v>
      </c>
      <c r="D75" s="1381"/>
      <c r="E75" s="1381"/>
      <c r="F75" s="1381"/>
      <c r="K75" s="1399"/>
      <c r="L75" s="1381"/>
      <c r="O75" s="1415" t="s">
        <v>409</v>
      </c>
      <c r="P75" s="1416" t="s">
        <v>838</v>
      </c>
      <c r="Q75" s="1417">
        <f ca="1">Q65+Q66</f>
        <v>6418093</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3362</v>
      </c>
      <c r="E2" s="3441"/>
      <c r="F2" s="2843"/>
      <c r="G2" s="2844"/>
      <c r="H2" s="2845"/>
      <c r="I2" s="2846"/>
      <c r="J2" s="3702" t="s">
        <v>2320</v>
      </c>
      <c r="K2" s="3703"/>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04" t="s">
        <v>2330</v>
      </c>
      <c r="K3" s="3705"/>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04" t="s">
        <v>2332</v>
      </c>
      <c r="K4" s="3705"/>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06" t="s">
        <v>2336</v>
      </c>
      <c r="B6" s="3707"/>
      <c r="C6" s="3708"/>
      <c r="D6" s="2867"/>
      <c r="E6" s="2868"/>
      <c r="F6" s="2869"/>
      <c r="G6" s="2870"/>
      <c r="H6" s="2845"/>
      <c r="I6" s="2846"/>
      <c r="J6" s="3709">
        <v>1</v>
      </c>
      <c r="K6" s="3710"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9"/>
      <c r="K7" s="3711"/>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13" t="s">
        <v>2350</v>
      </c>
      <c r="C8" s="3714"/>
      <c r="D8" s="2886" t="s">
        <v>2351</v>
      </c>
      <c r="E8" s="2887" t="s">
        <v>2352</v>
      </c>
      <c r="F8" s="2888" t="s">
        <v>2353</v>
      </c>
      <c r="G8" s="2889"/>
      <c r="H8" s="2845"/>
      <c r="I8" s="2846"/>
      <c r="J8" s="3709"/>
      <c r="K8" s="3711"/>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13" t="s">
        <v>2356</v>
      </c>
      <c r="C9" s="3714"/>
      <c r="D9" s="2886">
        <f>ROUND(D6*E9,0)</f>
        <v>0</v>
      </c>
      <c r="E9" s="2890"/>
      <c r="F9" s="2891" t="s">
        <v>2357</v>
      </c>
      <c r="G9" s="2870"/>
      <c r="H9" s="2845"/>
      <c r="I9" s="2846"/>
      <c r="J9" s="3709"/>
      <c r="K9" s="3711"/>
      <c r="L9" s="2880" t="s">
        <v>2358</v>
      </c>
      <c r="M9" s="2881"/>
      <c r="N9" s="2857"/>
      <c r="O9" s="2882"/>
      <c r="P9" s="2882"/>
      <c r="Q9" s="2883">
        <v>365</v>
      </c>
      <c r="R9" s="2884">
        <f t="shared" si="0"/>
        <v>0</v>
      </c>
      <c r="S9" s="2838"/>
      <c r="T9" s="2838"/>
      <c r="U9" s="2838"/>
      <c r="V9" s="2846"/>
    </row>
    <row r="10" spans="1:22" s="2850" customFormat="1" ht="13.15" customHeight="1">
      <c r="A10" s="2885">
        <v>2</v>
      </c>
      <c r="B10" s="3713" t="s">
        <v>2359</v>
      </c>
      <c r="C10" s="3714"/>
      <c r="D10" s="2886">
        <f>ROUND(D6*E10,0)</f>
        <v>0</v>
      </c>
      <c r="E10" s="2890"/>
      <c r="F10" s="2891" t="s">
        <v>2360</v>
      </c>
      <c r="G10" s="2870"/>
      <c r="H10" s="2845"/>
      <c r="I10" s="2846"/>
      <c r="J10" s="3709"/>
      <c r="K10" s="3711"/>
      <c r="L10" s="2880" t="s">
        <v>2361</v>
      </c>
      <c r="M10" s="2881"/>
      <c r="N10" s="2857"/>
      <c r="O10" s="2882"/>
      <c r="P10" s="2882"/>
      <c r="Q10" s="2883">
        <v>365</v>
      </c>
      <c r="R10" s="2884">
        <f t="shared" si="0"/>
        <v>0</v>
      </c>
      <c r="S10" s="2838"/>
      <c r="T10" s="2838"/>
      <c r="U10" s="2838"/>
      <c r="V10" s="2846"/>
    </row>
    <row r="11" spans="1:22" s="2850" customFormat="1" ht="13.15" customHeight="1">
      <c r="A11" s="2885">
        <v>3</v>
      </c>
      <c r="B11" s="3713" t="s">
        <v>2362</v>
      </c>
      <c r="C11" s="3714"/>
      <c r="D11" s="2886">
        <f>D12+D14+D15+D16</f>
        <v>0</v>
      </c>
      <c r="E11" s="2892" t="e">
        <f>D11/D6</f>
        <v>#DIV/0!</v>
      </c>
      <c r="F11" s="2888"/>
      <c r="G11" s="2889"/>
      <c r="H11" s="2845"/>
      <c r="I11" s="2846"/>
      <c r="J11" s="3709"/>
      <c r="K11" s="3711"/>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15" t="s">
        <v>2365</v>
      </c>
      <c r="C12" s="3716"/>
      <c r="D12" s="2894">
        <f>ROUND(D13*1.2%*(1-30%),0)</f>
        <v>0</v>
      </c>
      <c r="E12" s="2895">
        <v>1.2E-2</v>
      </c>
      <c r="F12" s="2888" t="s">
        <v>2366</v>
      </c>
      <c r="G12" s="2889"/>
      <c r="H12" s="2845"/>
      <c r="I12" s="2846"/>
      <c r="J12" s="3709"/>
      <c r="K12" s="3711"/>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9"/>
      <c r="K13" s="3711"/>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15" t="s">
        <v>2371</v>
      </c>
      <c r="C14" s="3716"/>
      <c r="D14" s="2894">
        <f>ROUND(E14*B5/10000,0)</f>
        <v>0</v>
      </c>
      <c r="E14" s="2883"/>
      <c r="F14" s="2888" t="s">
        <v>2372</v>
      </c>
      <c r="G14" s="2889"/>
      <c r="H14" s="2845"/>
      <c r="I14" s="2846"/>
      <c r="J14" s="3709"/>
      <c r="K14" s="3712"/>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15" t="s">
        <v>2375</v>
      </c>
      <c r="C15" s="3716"/>
      <c r="D15" s="2894">
        <f>ROUND(D6*E15,0)</f>
        <v>0</v>
      </c>
      <c r="E15" s="2895">
        <v>5.5E-2</v>
      </c>
      <c r="F15" s="2888" t="s">
        <v>2376</v>
      </c>
      <c r="G15" s="2870"/>
      <c r="H15" s="2845"/>
      <c r="I15" s="2846"/>
      <c r="J15" s="3709">
        <v>2</v>
      </c>
      <c r="K15" s="3710"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15" t="s">
        <v>2384</v>
      </c>
      <c r="C16" s="3716"/>
      <c r="D16" s="2905">
        <f>D6*E16</f>
        <v>0</v>
      </c>
      <c r="E16" s="2906"/>
      <c r="F16" s="2891" t="s">
        <v>2385</v>
      </c>
      <c r="G16" s="2870"/>
      <c r="H16" s="2845"/>
      <c r="I16" s="2846"/>
      <c r="J16" s="3709"/>
      <c r="K16" s="3711"/>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17" t="s">
        <v>2387</v>
      </c>
      <c r="C17" s="3718"/>
      <c r="D17" s="2908">
        <f>ROUND(D6*E17,0)</f>
        <v>0</v>
      </c>
      <c r="E17" s="2909"/>
      <c r="F17" s="2910" t="s">
        <v>2388</v>
      </c>
      <c r="G17" s="2870"/>
      <c r="H17" s="2845"/>
      <c r="I17" s="2846"/>
      <c r="J17" s="3709"/>
      <c r="K17" s="3711"/>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9"/>
      <c r="K18" s="3711"/>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9"/>
      <c r="K19" s="3712"/>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9">
        <v>3</v>
      </c>
      <c r="K20" s="3710"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9"/>
      <c r="K21" s="3711"/>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9"/>
      <c r="K22" s="3711"/>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9"/>
      <c r="K23" s="3711"/>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9"/>
      <c r="K24" s="3712"/>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19">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2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02" t="s">
        <v>2320</v>
      </c>
      <c r="K32" s="3703"/>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04" t="s">
        <v>2330</v>
      </c>
      <c r="K33" s="3705"/>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04" t="s">
        <v>2332</v>
      </c>
      <c r="K34" s="370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9">
        <v>1</v>
      </c>
      <c r="K36" s="3710"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9"/>
      <c r="K37" s="3711"/>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9"/>
      <c r="K38" s="3711"/>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9"/>
      <c r="K39" s="3711"/>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9"/>
      <c r="K40" s="3712"/>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9">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2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666.60199999999998</v>
      </c>
      <c r="C2" s="1869" t="s">
        <v>1651</v>
      </c>
      <c r="D2" s="1870" t="s">
        <v>1652</v>
      </c>
      <c r="E2" s="2604">
        <f>SUM(E6:E13)</f>
        <v>421.62</v>
      </c>
      <c r="F2" s="2704"/>
      <c r="G2" s="1486"/>
      <c r="H2" s="1486"/>
      <c r="I2" s="1486"/>
      <c r="J2" s="1486"/>
      <c r="K2" s="1486"/>
      <c r="L2" s="1486"/>
      <c r="M2" s="1486"/>
      <c r="N2" s="1486"/>
      <c r="O2" s="1486"/>
      <c r="P2" s="1486"/>
      <c r="Q2" s="1486"/>
      <c r="R2" s="1486"/>
      <c r="S2" s="1486"/>
    </row>
    <row r="3" spans="1:22" ht="15.75">
      <c r="A3" s="1867" t="s">
        <v>686</v>
      </c>
      <c r="B3" s="2598">
        <f ca="1">ROUND(B2*10000/E2,0)</f>
        <v>15810</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21" t="s">
        <v>1654</v>
      </c>
      <c r="C5" s="3722"/>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666.60199999999998</v>
      </c>
      <c r="C6" s="1869" t="s">
        <v>1651</v>
      </c>
      <c r="D6" s="2706"/>
      <c r="E6" s="2603">
        <f>IF(OR(A6=0,F6="否"),0,'数据-取费表'!K6+'数据-取费表'!S6)</f>
        <v>421.62</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421.62</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5">
      <c r="A4" s="355" t="s">
        <v>1666</v>
      </c>
      <c r="B4" s="356"/>
      <c r="C4" s="3672" t="s">
        <v>1667</v>
      </c>
      <c r="D4" s="3673"/>
      <c r="E4" s="3674" t="s">
        <v>1668</v>
      </c>
      <c r="F4" s="3675"/>
      <c r="G4" s="3672" t="s">
        <v>1669</v>
      </c>
      <c r="H4" s="3673"/>
      <c r="I4" s="3672" t="s">
        <v>1670</v>
      </c>
      <c r="J4" s="3673"/>
      <c r="K4" s="1886" t="s">
        <v>1671</v>
      </c>
      <c r="L4" s="2712"/>
      <c r="M4" s="2713"/>
      <c r="N4" s="2713"/>
      <c r="O4" s="2713"/>
      <c r="P4" s="3727" t="s">
        <v>1672</v>
      </c>
      <c r="Q4" s="3728"/>
      <c r="R4" s="3724" t="s">
        <v>1668</v>
      </c>
      <c r="S4" s="3725"/>
      <c r="T4" s="3724" t="s">
        <v>1669</v>
      </c>
      <c r="U4" s="3725"/>
      <c r="V4" s="3685" t="s">
        <v>1670</v>
      </c>
      <c r="W4" s="3685"/>
      <c r="X4" s="1352"/>
      <c r="Y4" s="3724" t="s">
        <v>1672</v>
      </c>
      <c r="Z4" s="3725"/>
      <c r="AA4" s="3723" t="s">
        <v>1668</v>
      </c>
      <c r="AB4" s="3723" t="s">
        <v>1669</v>
      </c>
      <c r="AC4" s="3723" t="s">
        <v>1670</v>
      </c>
    </row>
    <row r="5" spans="1:29" ht="15">
      <c r="A5" s="358"/>
      <c r="B5" s="359"/>
      <c r="C5" s="3661" t="s">
        <v>1673</v>
      </c>
      <c r="D5" s="3662"/>
      <c r="E5" s="3726" t="s">
        <v>1674</v>
      </c>
      <c r="F5" s="3660"/>
      <c r="G5" s="3661" t="s">
        <v>1675</v>
      </c>
      <c r="H5" s="3662"/>
      <c r="I5" s="3661" t="s">
        <v>1676</v>
      </c>
      <c r="J5" s="3662"/>
      <c r="K5" s="1887"/>
      <c r="L5" s="2712"/>
      <c r="M5" s="2713"/>
      <c r="N5" s="2713"/>
      <c r="O5" s="2713"/>
      <c r="P5" s="3729"/>
      <c r="Q5" s="3679"/>
      <c r="R5" s="3657"/>
      <c r="S5" s="3658"/>
      <c r="T5" s="3657"/>
      <c r="U5" s="3658"/>
      <c r="V5" s="3685"/>
      <c r="W5" s="3685"/>
      <c r="X5" s="1352"/>
      <c r="Y5" s="3657"/>
      <c r="Z5" s="3658"/>
      <c r="AA5" s="3651"/>
      <c r="AB5" s="3651"/>
      <c r="AC5" s="3651"/>
    </row>
    <row r="6" spans="1:29" ht="15.75" thickBot="1">
      <c r="A6" s="360"/>
      <c r="B6" s="361"/>
      <c r="C6" s="3663" t="s">
        <v>1677</v>
      </c>
      <c r="D6" s="3664"/>
      <c r="E6" s="3666" t="s">
        <v>1677</v>
      </c>
      <c r="F6" s="3667"/>
      <c r="G6" s="3663" t="s">
        <v>1677</v>
      </c>
      <c r="H6" s="3664"/>
      <c r="I6" s="3663" t="s">
        <v>1677</v>
      </c>
      <c r="J6" s="3664"/>
      <c r="K6" s="1887" t="s">
        <v>1678</v>
      </c>
      <c r="L6" s="2712"/>
      <c r="M6" s="2713"/>
      <c r="N6" s="2713"/>
      <c r="O6" s="2713"/>
      <c r="P6" s="3730"/>
      <c r="Q6" s="3681"/>
      <c r="R6" s="3657"/>
      <c r="S6" s="3658"/>
      <c r="T6" s="3682"/>
      <c r="U6" s="3683"/>
      <c r="V6" s="3685"/>
      <c r="W6" s="3685"/>
      <c r="X6" s="1352"/>
      <c r="Y6" s="3682"/>
      <c r="Z6" s="3683"/>
      <c r="AA6" s="3652"/>
      <c r="AB6" s="3652"/>
      <c r="AC6" s="3652"/>
    </row>
    <row r="7" spans="1:29" s="108" customFormat="1" ht="15.7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53" t="s">
        <v>1680</v>
      </c>
      <c r="Q7" s="3687"/>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68"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68"/>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8"/>
      <c r="Q11" s="1340"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68"/>
      <c r="Q12" s="1340">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68"/>
      <c r="Q13" s="1340">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68"/>
      <c r="Q14" s="1340">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8" t="s">
        <v>1691</v>
      </c>
      <c r="Q15" s="1349" t="str">
        <f t="shared" si="6"/>
        <v>居住社区成熟度</v>
      </c>
      <c r="R15" s="703" t="s">
        <v>18</v>
      </c>
      <c r="S15" s="704">
        <f t="shared" si="0"/>
        <v>100</v>
      </c>
      <c r="T15" s="703" t="s">
        <v>18</v>
      </c>
      <c r="U15" s="704">
        <f t="shared" si="1"/>
        <v>100</v>
      </c>
      <c r="V15" s="703" t="s">
        <v>18</v>
      </c>
      <c r="W15" s="704">
        <f t="shared" si="2"/>
        <v>100</v>
      </c>
      <c r="X15" s="1352"/>
      <c r="Y15" s="3690"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89"/>
      <c r="Q16" s="1349"/>
      <c r="R16" s="703"/>
      <c r="S16" s="704"/>
      <c r="T16" s="703"/>
      <c r="U16" s="704"/>
      <c r="V16" s="703"/>
      <c r="W16" s="704"/>
      <c r="X16" s="1352"/>
      <c r="Y16" s="3691"/>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9"/>
      <c r="Q17" s="1349" t="str">
        <f>B17</f>
        <v>交通便捷度</v>
      </c>
      <c r="R17" s="703" t="s">
        <v>18</v>
      </c>
      <c r="S17" s="704">
        <f>F17</f>
        <v>100</v>
      </c>
      <c r="T17" s="703" t="s">
        <v>18</v>
      </c>
      <c r="U17" s="704">
        <f>H17</f>
        <v>100</v>
      </c>
      <c r="V17" s="703" t="s">
        <v>18</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89"/>
      <c r="Q18" s="1349"/>
      <c r="R18" s="703"/>
      <c r="S18" s="704"/>
      <c r="T18" s="703"/>
      <c r="U18" s="704"/>
      <c r="V18" s="703"/>
      <c r="W18" s="704"/>
      <c r="X18" s="1352"/>
      <c r="Y18" s="3691"/>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9"/>
      <c r="Q19" s="1349" t="str">
        <f>B19</f>
        <v>公共配套设施</v>
      </c>
      <c r="R19" s="703" t="s">
        <v>18</v>
      </c>
      <c r="S19" s="704">
        <f>F19</f>
        <v>100</v>
      </c>
      <c r="T19" s="703" t="s">
        <v>18</v>
      </c>
      <c r="U19" s="704">
        <f>H19</f>
        <v>100</v>
      </c>
      <c r="V19" s="703" t="s">
        <v>18</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89"/>
      <c r="Q20" s="1349"/>
      <c r="R20" s="703"/>
      <c r="S20" s="704"/>
      <c r="T20" s="703"/>
      <c r="U20" s="704"/>
      <c r="V20" s="703"/>
      <c r="W20" s="704"/>
      <c r="X20" s="1352"/>
      <c r="Y20" s="3691"/>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89"/>
      <c r="Q22" s="1349"/>
      <c r="R22" s="703"/>
      <c r="S22" s="704"/>
      <c r="T22" s="703"/>
      <c r="U22" s="704"/>
      <c r="V22" s="703"/>
      <c r="W22" s="704"/>
      <c r="X22" s="1352"/>
      <c r="Y22" s="3691"/>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9"/>
      <c r="Q23" s="1349" t="str">
        <f>B23</f>
        <v>自然及人文环境</v>
      </c>
      <c r="R23" s="703" t="s">
        <v>18</v>
      </c>
      <c r="S23" s="704">
        <f>F23</f>
        <v>100</v>
      </c>
      <c r="T23" s="703" t="s">
        <v>18</v>
      </c>
      <c r="U23" s="704">
        <f>H23</f>
        <v>100</v>
      </c>
      <c r="V23" s="703" t="s">
        <v>18</v>
      </c>
      <c r="W23" s="704">
        <f>J23</f>
        <v>100</v>
      </c>
      <c r="X23" s="1352"/>
      <c r="Y23" s="369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89"/>
      <c r="Q24" s="1349"/>
      <c r="R24" s="703"/>
      <c r="S24" s="704"/>
      <c r="T24" s="703"/>
      <c r="U24" s="704"/>
      <c r="V24" s="703"/>
      <c r="W24" s="704"/>
      <c r="X24" s="1352"/>
      <c r="Y24" s="369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8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89"/>
      <c r="Q26" s="1349" t="str">
        <f t="shared" si="11"/>
        <v>朝向</v>
      </c>
      <c r="R26" s="703" t="s">
        <v>18</v>
      </c>
      <c r="S26" s="704">
        <f t="shared" si="12"/>
        <v>100</v>
      </c>
      <c r="T26" s="703" t="s">
        <v>18</v>
      </c>
      <c r="U26" s="704">
        <f t="shared" si="13"/>
        <v>100</v>
      </c>
      <c r="V26" s="703" t="s">
        <v>18</v>
      </c>
      <c r="W26" s="704">
        <f t="shared" si="14"/>
        <v>100</v>
      </c>
      <c r="X26" s="1352"/>
      <c r="Y26" s="369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89"/>
      <c r="Q27" s="1340">
        <f t="shared" si="11"/>
        <v>111</v>
      </c>
      <c r="R27" s="699" t="s">
        <v>18</v>
      </c>
      <c r="S27" s="700">
        <f t="shared" si="12"/>
        <v>100</v>
      </c>
      <c r="T27" s="699" t="s">
        <v>18</v>
      </c>
      <c r="U27" s="700">
        <f t="shared" si="13"/>
        <v>100</v>
      </c>
      <c r="V27" s="699" t="s">
        <v>18</v>
      </c>
      <c r="W27" s="700">
        <f t="shared" si="14"/>
        <v>100</v>
      </c>
      <c r="X27" s="701"/>
      <c r="Y27" s="369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89"/>
      <c r="Q28" s="1349">
        <f t="shared" si="11"/>
        <v>111</v>
      </c>
      <c r="R28" s="703" t="s">
        <v>18</v>
      </c>
      <c r="S28" s="704">
        <f t="shared" si="12"/>
        <v>100</v>
      </c>
      <c r="T28" s="703" t="s">
        <v>18</v>
      </c>
      <c r="U28" s="704">
        <f t="shared" si="13"/>
        <v>100</v>
      </c>
      <c r="V28" s="703" t="s">
        <v>18</v>
      </c>
      <c r="W28" s="704">
        <f t="shared" si="14"/>
        <v>100</v>
      </c>
      <c r="X28" s="1352"/>
      <c r="Y28" s="369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89"/>
      <c r="Q29" s="1349">
        <f t="shared" si="11"/>
        <v>111</v>
      </c>
      <c r="R29" s="703" t="s">
        <v>18</v>
      </c>
      <c r="S29" s="704">
        <f t="shared" si="12"/>
        <v>100</v>
      </c>
      <c r="T29" s="703" t="s">
        <v>18</v>
      </c>
      <c r="U29" s="704">
        <f t="shared" si="13"/>
        <v>100</v>
      </c>
      <c r="V29" s="703" t="s">
        <v>18</v>
      </c>
      <c r="W29" s="704">
        <f t="shared" si="14"/>
        <v>100</v>
      </c>
      <c r="X29" s="1352"/>
      <c r="Y29" s="369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89"/>
      <c r="Q30" s="1349">
        <f t="shared" si="11"/>
        <v>111</v>
      </c>
      <c r="R30" s="703" t="s">
        <v>18</v>
      </c>
      <c r="S30" s="704">
        <f t="shared" si="12"/>
        <v>100</v>
      </c>
      <c r="T30" s="703" t="s">
        <v>18</v>
      </c>
      <c r="U30" s="704">
        <f t="shared" si="13"/>
        <v>100</v>
      </c>
      <c r="V30" s="703" t="s">
        <v>18</v>
      </c>
      <c r="W30" s="704">
        <f t="shared" si="14"/>
        <v>100</v>
      </c>
      <c r="X30" s="1352"/>
      <c r="Y30" s="3691"/>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89"/>
      <c r="Q31" s="1349">
        <f t="shared" si="11"/>
        <v>111</v>
      </c>
      <c r="R31" s="703" t="s">
        <v>18</v>
      </c>
      <c r="S31" s="704">
        <f t="shared" si="12"/>
        <v>100</v>
      </c>
      <c r="T31" s="703" t="s">
        <v>18</v>
      </c>
      <c r="U31" s="704">
        <f t="shared" si="13"/>
        <v>100</v>
      </c>
      <c r="V31" s="703" t="s">
        <v>18</v>
      </c>
      <c r="W31" s="704">
        <f t="shared" si="14"/>
        <v>100</v>
      </c>
      <c r="X31" s="1352"/>
      <c r="Y31" s="369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2" t="s">
        <v>1696</v>
      </c>
      <c r="Q32" s="1349" t="str">
        <f t="shared" si="11"/>
        <v>建筑类型</v>
      </c>
      <c r="R32" s="703" t="s">
        <v>18</v>
      </c>
      <c r="S32" s="704">
        <f t="shared" si="12"/>
        <v>100</v>
      </c>
      <c r="T32" s="703" t="s">
        <v>18</v>
      </c>
      <c r="U32" s="704">
        <f t="shared" si="13"/>
        <v>100</v>
      </c>
      <c r="V32" s="703" t="s">
        <v>18</v>
      </c>
      <c r="W32" s="704">
        <f t="shared" si="14"/>
        <v>100</v>
      </c>
      <c r="X32" s="1352"/>
      <c r="Y32" s="369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3"/>
      <c r="Q33" s="705" t="str">
        <f t="shared" si="11"/>
        <v>项目建筑规模</v>
      </c>
      <c r="R33" s="706" t="s">
        <v>18</v>
      </c>
      <c r="S33" s="707" t="e">
        <f t="shared" si="12"/>
        <v>#N/A</v>
      </c>
      <c r="T33" s="706" t="s">
        <v>18</v>
      </c>
      <c r="U33" s="707" t="e">
        <f t="shared" si="13"/>
        <v>#N/A</v>
      </c>
      <c r="V33" s="706" t="s">
        <v>18</v>
      </c>
      <c r="W33" s="707" t="e">
        <f t="shared" si="14"/>
        <v>#N/A</v>
      </c>
      <c r="X33" s="708"/>
      <c r="Y33" s="3695"/>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3"/>
      <c r="Q34" s="1349" t="str">
        <f t="shared" si="11"/>
        <v>建筑结构</v>
      </c>
      <c r="R34" s="703" t="s">
        <v>18</v>
      </c>
      <c r="S34" s="704">
        <f t="shared" si="12"/>
        <v>100</v>
      </c>
      <c r="T34" s="703" t="s">
        <v>18</v>
      </c>
      <c r="U34" s="704">
        <f t="shared" si="13"/>
        <v>100</v>
      </c>
      <c r="V34" s="703" t="s">
        <v>18</v>
      </c>
      <c r="W34" s="704">
        <f t="shared" si="14"/>
        <v>100</v>
      </c>
      <c r="X34" s="1352"/>
      <c r="Y34" s="3695"/>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3"/>
      <c r="Q35" s="1349" t="str">
        <f t="shared" si="11"/>
        <v>建筑品质</v>
      </c>
      <c r="R35" s="703" t="s">
        <v>18</v>
      </c>
      <c r="S35" s="704">
        <f t="shared" si="12"/>
        <v>100</v>
      </c>
      <c r="T35" s="703" t="s">
        <v>18</v>
      </c>
      <c r="U35" s="704">
        <f t="shared" si="13"/>
        <v>100</v>
      </c>
      <c r="V35" s="703" t="s">
        <v>18</v>
      </c>
      <c r="W35" s="704">
        <f t="shared" si="14"/>
        <v>100</v>
      </c>
      <c r="X35" s="1352"/>
      <c r="Y35" s="3695"/>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3"/>
      <c r="Q36" s="1349" t="str">
        <f t="shared" si="11"/>
        <v>公共部分装修</v>
      </c>
      <c r="R36" s="703" t="s">
        <v>18</v>
      </c>
      <c r="S36" s="704">
        <f t="shared" si="12"/>
        <v>100</v>
      </c>
      <c r="T36" s="703" t="s">
        <v>18</v>
      </c>
      <c r="U36" s="704">
        <f t="shared" si="13"/>
        <v>100</v>
      </c>
      <c r="V36" s="703" t="s">
        <v>18</v>
      </c>
      <c r="W36" s="704">
        <f t="shared" si="14"/>
        <v>100</v>
      </c>
      <c r="X36" s="1352"/>
      <c r="Y36" s="369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3"/>
      <c r="Q37" s="1340" t="str">
        <f t="shared" si="11"/>
        <v>成新度</v>
      </c>
      <c r="R37" s="699" t="s">
        <v>18</v>
      </c>
      <c r="S37" s="700" t="e">
        <f t="shared" si="12"/>
        <v>#N/A</v>
      </c>
      <c r="T37" s="699" t="s">
        <v>18</v>
      </c>
      <c r="U37" s="700" t="e">
        <f t="shared" si="13"/>
        <v>#N/A</v>
      </c>
      <c r="V37" s="699" t="s">
        <v>18</v>
      </c>
      <c r="W37" s="700" t="e">
        <f t="shared" si="14"/>
        <v>#N/A</v>
      </c>
      <c r="X37" s="701"/>
      <c r="Y37" s="3695"/>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3" t="s">
        <v>1696</v>
      </c>
      <c r="Q38" s="1349" t="str">
        <f t="shared" si="11"/>
        <v>物业管理</v>
      </c>
      <c r="R38" s="703" t="s">
        <v>18</v>
      </c>
      <c r="S38" s="704">
        <f t="shared" si="12"/>
        <v>100</v>
      </c>
      <c r="T38" s="703" t="s">
        <v>18</v>
      </c>
      <c r="U38" s="704">
        <f t="shared" si="13"/>
        <v>100</v>
      </c>
      <c r="V38" s="703" t="s">
        <v>18</v>
      </c>
      <c r="W38" s="704">
        <f t="shared" si="14"/>
        <v>100</v>
      </c>
      <c r="X38" s="1352"/>
      <c r="Y38" s="3695"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3"/>
      <c r="Q39" s="1349" t="str">
        <f t="shared" si="11"/>
        <v>市政基础设施</v>
      </c>
      <c r="R39" s="703" t="s">
        <v>18</v>
      </c>
      <c r="S39" s="704">
        <f t="shared" si="12"/>
        <v>100</v>
      </c>
      <c r="T39" s="703" t="s">
        <v>18</v>
      </c>
      <c r="U39" s="704">
        <f t="shared" si="13"/>
        <v>100</v>
      </c>
      <c r="V39" s="703" t="s">
        <v>18</v>
      </c>
      <c r="W39" s="704">
        <f t="shared" si="14"/>
        <v>100</v>
      </c>
      <c r="X39" s="1352"/>
      <c r="Y39" s="3695"/>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3"/>
      <c r="Q40" s="1349" t="str">
        <f t="shared" si="11"/>
        <v>房型</v>
      </c>
      <c r="R40" s="703" t="s">
        <v>18</v>
      </c>
      <c r="S40" s="704">
        <f t="shared" si="12"/>
        <v>100</v>
      </c>
      <c r="T40" s="703" t="s">
        <v>18</v>
      </c>
      <c r="U40" s="704">
        <f t="shared" si="13"/>
        <v>100</v>
      </c>
      <c r="V40" s="703" t="s">
        <v>18</v>
      </c>
      <c r="W40" s="704">
        <f t="shared" si="14"/>
        <v>100</v>
      </c>
      <c r="X40" s="1352"/>
      <c r="Y40" s="3695"/>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3"/>
      <c r="Q41" s="705" t="str">
        <f t="shared" si="11"/>
        <v>单套/主力户型建筑面积</v>
      </c>
      <c r="R41" s="706" t="s">
        <v>18</v>
      </c>
      <c r="S41" s="707">
        <f t="shared" si="12"/>
        <v>100</v>
      </c>
      <c r="T41" s="706" t="s">
        <v>18</v>
      </c>
      <c r="U41" s="707">
        <f t="shared" si="13"/>
        <v>100</v>
      </c>
      <c r="V41" s="706" t="s">
        <v>18</v>
      </c>
      <c r="W41" s="707">
        <f t="shared" si="14"/>
        <v>100</v>
      </c>
      <c r="X41" s="708"/>
      <c r="Y41" s="3695"/>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3"/>
      <c r="Q42" s="1349" t="str">
        <f t="shared" si="11"/>
        <v>内部装修</v>
      </c>
      <c r="R42" s="703" t="s">
        <v>18</v>
      </c>
      <c r="S42" s="704">
        <f t="shared" si="12"/>
        <v>100</v>
      </c>
      <c r="T42" s="703" t="s">
        <v>18</v>
      </c>
      <c r="U42" s="704">
        <f t="shared" si="13"/>
        <v>100</v>
      </c>
      <c r="V42" s="703" t="s">
        <v>18</v>
      </c>
      <c r="W42" s="704">
        <f t="shared" si="14"/>
        <v>100</v>
      </c>
      <c r="X42" s="1352"/>
      <c r="Y42" s="3695"/>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3"/>
      <c r="Q43" s="1349" t="str">
        <f t="shared" si="11"/>
        <v>内部装修维护情况</v>
      </c>
      <c r="R43" s="703" t="s">
        <v>18</v>
      </c>
      <c r="S43" s="704">
        <f t="shared" si="12"/>
        <v>100</v>
      </c>
      <c r="T43" s="703" t="s">
        <v>18</v>
      </c>
      <c r="U43" s="704">
        <f t="shared" si="13"/>
        <v>100</v>
      </c>
      <c r="V43" s="703" t="s">
        <v>18</v>
      </c>
      <c r="W43" s="704">
        <f t="shared" si="14"/>
        <v>100</v>
      </c>
      <c r="X43" s="1352"/>
      <c r="Y43" s="369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3"/>
      <c r="Q44" s="1340">
        <f t="shared" si="11"/>
        <v>111</v>
      </c>
      <c r="R44" s="699" t="s">
        <v>18</v>
      </c>
      <c r="S44" s="700">
        <f t="shared" si="12"/>
        <v>100</v>
      </c>
      <c r="T44" s="699" t="s">
        <v>18</v>
      </c>
      <c r="U44" s="700">
        <f t="shared" si="13"/>
        <v>100</v>
      </c>
      <c r="V44" s="699" t="s">
        <v>18</v>
      </c>
      <c r="W44" s="700">
        <f t="shared" si="14"/>
        <v>100</v>
      </c>
      <c r="X44" s="701"/>
      <c r="Y44" s="369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3"/>
      <c r="Q45" s="1349">
        <f t="shared" si="11"/>
        <v>111</v>
      </c>
      <c r="R45" s="703" t="s">
        <v>18</v>
      </c>
      <c r="S45" s="704">
        <f t="shared" si="12"/>
        <v>100</v>
      </c>
      <c r="T45" s="703" t="s">
        <v>18</v>
      </c>
      <c r="U45" s="704">
        <f t="shared" si="13"/>
        <v>100</v>
      </c>
      <c r="V45" s="703" t="s">
        <v>18</v>
      </c>
      <c r="W45" s="704">
        <f t="shared" si="14"/>
        <v>100</v>
      </c>
      <c r="X45" s="1352"/>
      <c r="Y45" s="3695"/>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4"/>
      <c r="Q46" s="1349">
        <f t="shared" si="11"/>
        <v>111</v>
      </c>
      <c r="R46" s="703" t="s">
        <v>17</v>
      </c>
      <c r="S46" s="704">
        <f t="shared" si="12"/>
        <v>100</v>
      </c>
      <c r="T46" s="703" t="s">
        <v>17</v>
      </c>
      <c r="U46" s="704">
        <f t="shared" si="13"/>
        <v>100</v>
      </c>
      <c r="V46" s="703" t="s">
        <v>17</v>
      </c>
      <c r="W46" s="704">
        <f t="shared" si="14"/>
        <v>100</v>
      </c>
      <c r="X46" s="1352"/>
      <c r="Y46" s="3696"/>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2"/>
      <c r="L49" s="2721"/>
      <c r="M49" s="2722"/>
      <c r="N49" s="2722"/>
      <c r="O49" s="2722"/>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5"/>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421.62</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1769</v>
      </c>
      <c r="B4" s="356"/>
      <c r="C4" s="3672" t="s">
        <v>1770</v>
      </c>
      <c r="D4" s="3673"/>
      <c r="E4" s="3674" t="s">
        <v>1771</v>
      </c>
      <c r="F4" s="3675"/>
      <c r="G4" s="3672" t="s">
        <v>1772</v>
      </c>
      <c r="H4" s="3673"/>
      <c r="I4" s="3672" t="s">
        <v>1773</v>
      </c>
      <c r="J4" s="3673"/>
      <c r="K4" s="559" t="s">
        <v>1774</v>
      </c>
      <c r="L4" s="2712"/>
      <c r="M4" s="2713"/>
      <c r="N4" s="2713"/>
      <c r="O4" s="2713"/>
      <c r="P4" s="3727" t="s">
        <v>1775</v>
      </c>
      <c r="Q4" s="3728"/>
      <c r="R4" s="3724" t="s">
        <v>1771</v>
      </c>
      <c r="S4" s="3725"/>
      <c r="T4" s="3724" t="s">
        <v>1772</v>
      </c>
      <c r="U4" s="3725"/>
      <c r="V4" s="3685" t="s">
        <v>1773</v>
      </c>
      <c r="W4" s="3685"/>
      <c r="X4" s="1352"/>
      <c r="Y4" s="3724" t="s">
        <v>1775</v>
      </c>
      <c r="Z4" s="3725"/>
      <c r="AA4" s="3723" t="s">
        <v>1771</v>
      </c>
      <c r="AB4" s="3685"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9"/>
      <c r="R5" s="3657"/>
      <c r="S5" s="3658"/>
      <c r="T5" s="3657"/>
      <c r="U5" s="3658"/>
      <c r="V5" s="3685"/>
      <c r="W5" s="3685"/>
      <c r="X5" s="1352"/>
      <c r="Y5" s="3657"/>
      <c r="Z5" s="3658"/>
      <c r="AA5" s="3651"/>
      <c r="AB5" s="3685"/>
      <c r="AC5" s="3651"/>
    </row>
    <row r="6" spans="1:29" ht="15.75" thickBot="1">
      <c r="A6" s="360"/>
      <c r="B6" s="361"/>
      <c r="C6" s="3663" t="s">
        <v>1677</v>
      </c>
      <c r="D6" s="3664"/>
      <c r="E6" s="3666" t="s">
        <v>1677</v>
      </c>
      <c r="F6" s="3667"/>
      <c r="G6" s="3663" t="s">
        <v>1677</v>
      </c>
      <c r="H6" s="3664"/>
      <c r="I6" s="3663" t="s">
        <v>1677</v>
      </c>
      <c r="J6" s="3664"/>
      <c r="K6" s="559" t="s">
        <v>1678</v>
      </c>
      <c r="L6" s="2712"/>
      <c r="M6" s="2713"/>
      <c r="N6" s="2713"/>
      <c r="O6" s="2713"/>
      <c r="P6" s="3730"/>
      <c r="Q6" s="3681"/>
      <c r="R6" s="3657"/>
      <c r="S6" s="3658"/>
      <c r="T6" s="3682"/>
      <c r="U6" s="3683"/>
      <c r="V6" s="3685"/>
      <c r="W6" s="3685"/>
      <c r="X6" s="1352"/>
      <c r="Y6" s="3682"/>
      <c r="Z6" s="3683"/>
      <c r="AA6" s="3652"/>
      <c r="AB6" s="3685"/>
      <c r="AC6" s="3652"/>
    </row>
    <row r="7" spans="1:29" s="108" customFormat="1" ht="15.7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8"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8"/>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8"/>
      <c r="Q11" s="1340"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8"/>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8"/>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8"/>
      <c r="Q14" s="1340">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8" t="s">
        <v>1691</v>
      </c>
      <c r="Q15" s="1349" t="str">
        <f t="shared" si="6"/>
        <v>商业繁华度</v>
      </c>
      <c r="R15" s="703" t="s">
        <v>14</v>
      </c>
      <c r="S15" s="704">
        <f t="shared" si="0"/>
        <v>100</v>
      </c>
      <c r="T15" s="703" t="s">
        <v>14</v>
      </c>
      <c r="U15" s="704">
        <f t="shared" si="1"/>
        <v>100</v>
      </c>
      <c r="V15" s="703" t="s">
        <v>14</v>
      </c>
      <c r="W15" s="704">
        <f t="shared" si="2"/>
        <v>100</v>
      </c>
      <c r="X15" s="1352"/>
      <c r="Y15" s="369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89"/>
      <c r="Q16" s="1349"/>
      <c r="R16" s="703"/>
      <c r="S16" s="704"/>
      <c r="T16" s="703"/>
      <c r="U16" s="704"/>
      <c r="V16" s="703"/>
      <c r="W16" s="704"/>
      <c r="X16" s="1352"/>
      <c r="Y16" s="3691"/>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9"/>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89"/>
      <c r="Q18" s="1349"/>
      <c r="R18" s="703"/>
      <c r="S18" s="704"/>
      <c r="T18" s="703"/>
      <c r="U18" s="704"/>
      <c r="V18" s="703"/>
      <c r="W18" s="704"/>
      <c r="X18" s="1352"/>
      <c r="Y18" s="3691"/>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9"/>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89"/>
      <c r="Q20" s="1349"/>
      <c r="R20" s="703"/>
      <c r="S20" s="704"/>
      <c r="T20" s="703"/>
      <c r="U20" s="704"/>
      <c r="V20" s="703"/>
      <c r="W20" s="704"/>
      <c r="X20" s="1352"/>
      <c r="Y20" s="3691"/>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9"/>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89"/>
      <c r="Q22" s="1349"/>
      <c r="R22" s="703"/>
      <c r="S22" s="704"/>
      <c r="T22" s="703"/>
      <c r="U22" s="704"/>
      <c r="V22" s="703"/>
      <c r="W22" s="704"/>
      <c r="X22" s="1352"/>
      <c r="Y22" s="3691"/>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9"/>
      <c r="Q23" s="1349" t="str">
        <f>B23</f>
        <v>自然及人文环境</v>
      </c>
      <c r="R23" s="703" t="s">
        <v>14</v>
      </c>
      <c r="S23" s="704">
        <f>F23</f>
        <v>100</v>
      </c>
      <c r="T23" s="703" t="s">
        <v>14</v>
      </c>
      <c r="U23" s="704">
        <f>H23</f>
        <v>100</v>
      </c>
      <c r="V23" s="703" t="s">
        <v>14</v>
      </c>
      <c r="W23" s="704">
        <f>J23</f>
        <v>100</v>
      </c>
      <c r="X23" s="1352"/>
      <c r="Y23" s="369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89"/>
      <c r="Q24" s="1349"/>
      <c r="R24" s="703"/>
      <c r="S24" s="704"/>
      <c r="T24" s="703"/>
      <c r="U24" s="704"/>
      <c r="V24" s="703"/>
      <c r="W24" s="704"/>
      <c r="X24" s="1352"/>
      <c r="Y24" s="3691"/>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9"/>
      <c r="Q25" s="1349" t="str">
        <f t="shared" ref="Q25:Q46" si="11">B25</f>
        <v>临街状况</v>
      </c>
      <c r="R25" s="703" t="s">
        <v>14</v>
      </c>
      <c r="S25" s="704">
        <f>F25</f>
        <v>100</v>
      </c>
      <c r="T25" s="703" t="s">
        <v>14</v>
      </c>
      <c r="U25" s="704">
        <f>H25</f>
        <v>100</v>
      </c>
      <c r="V25" s="703" t="s">
        <v>14</v>
      </c>
      <c r="W25" s="704">
        <f>J25</f>
        <v>100</v>
      </c>
      <c r="X25" s="1352"/>
      <c r="Y25" s="369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9"/>
      <c r="Q26" s="1349" t="str">
        <f t="shared" si="11"/>
        <v>平面位置/可视性</v>
      </c>
      <c r="R26" s="703" t="s">
        <v>14</v>
      </c>
      <c r="S26" s="704">
        <f>F26</f>
        <v>100</v>
      </c>
      <c r="T26" s="703" t="s">
        <v>14</v>
      </c>
      <c r="U26" s="704">
        <f>H26</f>
        <v>100</v>
      </c>
      <c r="V26" s="703" t="s">
        <v>14</v>
      </c>
      <c r="W26" s="704">
        <f>J26</f>
        <v>100</v>
      </c>
      <c r="X26" s="1352"/>
      <c r="Y26" s="3691"/>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9"/>
      <c r="Q27" s="1340" t="str">
        <f t="shared" si="11"/>
        <v>人流量</v>
      </c>
      <c r="R27" s="699" t="s">
        <v>14</v>
      </c>
      <c r="S27" s="700">
        <f>F27</f>
        <v>100</v>
      </c>
      <c r="T27" s="699" t="s">
        <v>14</v>
      </c>
      <c r="U27" s="700">
        <f>H27</f>
        <v>100</v>
      </c>
      <c r="V27" s="699" t="s">
        <v>14</v>
      </c>
      <c r="W27" s="700">
        <f>J27</f>
        <v>100</v>
      </c>
      <c r="X27" s="701"/>
      <c r="Y27" s="3691"/>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9"/>
      <c r="Q29" s="1349">
        <f t="shared" si="11"/>
        <v>111</v>
      </c>
      <c r="R29" s="703" t="s">
        <v>14</v>
      </c>
      <c r="S29" s="704">
        <f t="shared" si="12"/>
        <v>100</v>
      </c>
      <c r="T29" s="703" t="s">
        <v>14</v>
      </c>
      <c r="U29" s="704">
        <f t="shared" si="13"/>
        <v>100</v>
      </c>
      <c r="V29" s="703" t="s">
        <v>14</v>
      </c>
      <c r="W29" s="704">
        <f t="shared" si="14"/>
        <v>100</v>
      </c>
      <c r="X29" s="1352"/>
      <c r="Y29" s="369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9"/>
      <c r="Q30" s="1349">
        <f t="shared" si="11"/>
        <v>111</v>
      </c>
      <c r="R30" s="703" t="s">
        <v>14</v>
      </c>
      <c r="S30" s="704">
        <f t="shared" si="12"/>
        <v>100</v>
      </c>
      <c r="T30" s="703" t="s">
        <v>14</v>
      </c>
      <c r="U30" s="704">
        <f t="shared" si="13"/>
        <v>100</v>
      </c>
      <c r="V30" s="703" t="s">
        <v>14</v>
      </c>
      <c r="W30" s="704">
        <f t="shared" si="14"/>
        <v>100</v>
      </c>
      <c r="X30" s="1352"/>
      <c r="Y30" s="3691"/>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9"/>
      <c r="Q31" s="1349">
        <f t="shared" si="11"/>
        <v>111</v>
      </c>
      <c r="R31" s="703" t="s">
        <v>14</v>
      </c>
      <c r="S31" s="704">
        <f t="shared" si="12"/>
        <v>100</v>
      </c>
      <c r="T31" s="703" t="s">
        <v>14</v>
      </c>
      <c r="U31" s="704">
        <f t="shared" si="13"/>
        <v>100</v>
      </c>
      <c r="V31" s="703" t="s">
        <v>14</v>
      </c>
      <c r="W31" s="704">
        <f t="shared" si="14"/>
        <v>100</v>
      </c>
      <c r="X31" s="1352"/>
      <c r="Y31" s="3691"/>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92" t="s">
        <v>1696</v>
      </c>
      <c r="Q32" s="1349" t="str">
        <f t="shared" si="11"/>
        <v>商业类型</v>
      </c>
      <c r="R32" s="703" t="s">
        <v>14</v>
      </c>
      <c r="S32" s="704">
        <f t="shared" si="12"/>
        <v>100</v>
      </c>
      <c r="T32" s="703" t="s">
        <v>14</v>
      </c>
      <c r="U32" s="704">
        <f t="shared" si="13"/>
        <v>100</v>
      </c>
      <c r="V32" s="703" t="s">
        <v>14</v>
      </c>
      <c r="W32" s="704">
        <f t="shared" si="14"/>
        <v>100</v>
      </c>
      <c r="X32" s="1352"/>
      <c r="Y32" s="369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3"/>
      <c r="Q33" s="705" t="str">
        <f t="shared" si="11"/>
        <v>项目建筑规模</v>
      </c>
      <c r="R33" s="706" t="s">
        <v>14</v>
      </c>
      <c r="S33" s="707" t="e">
        <f t="shared" si="12"/>
        <v>#N/A</v>
      </c>
      <c r="T33" s="706" t="s">
        <v>14</v>
      </c>
      <c r="U33" s="707" t="e">
        <f t="shared" si="13"/>
        <v>#N/A</v>
      </c>
      <c r="V33" s="706" t="s">
        <v>14</v>
      </c>
      <c r="W33" s="707" t="e">
        <f t="shared" si="14"/>
        <v>#N/A</v>
      </c>
      <c r="X33" s="708"/>
      <c r="Y33" s="3695"/>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3"/>
      <c r="Q34" s="1349" t="str">
        <f t="shared" si="11"/>
        <v>建筑结构</v>
      </c>
      <c r="R34" s="703" t="s">
        <v>14</v>
      </c>
      <c r="S34" s="704">
        <f t="shared" si="12"/>
        <v>100</v>
      </c>
      <c r="T34" s="703" t="s">
        <v>14</v>
      </c>
      <c r="U34" s="704">
        <f t="shared" si="13"/>
        <v>100</v>
      </c>
      <c r="V34" s="703" t="s">
        <v>14</v>
      </c>
      <c r="W34" s="704">
        <f t="shared" si="14"/>
        <v>100</v>
      </c>
      <c r="X34" s="1352"/>
      <c r="Y34" s="3695"/>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3"/>
      <c r="Q35" s="1349" t="str">
        <f t="shared" si="11"/>
        <v>公共部分装修</v>
      </c>
      <c r="R35" s="703" t="s">
        <v>14</v>
      </c>
      <c r="S35" s="704">
        <f t="shared" si="12"/>
        <v>100</v>
      </c>
      <c r="T35" s="703" t="s">
        <v>14</v>
      </c>
      <c r="U35" s="704">
        <f t="shared" si="13"/>
        <v>100</v>
      </c>
      <c r="V35" s="703" t="s">
        <v>14</v>
      </c>
      <c r="W35" s="704">
        <f t="shared" si="14"/>
        <v>100</v>
      </c>
      <c r="X35" s="1352"/>
      <c r="Y35" s="369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3"/>
      <c r="Q36" s="1349" t="str">
        <f t="shared" si="11"/>
        <v>成新度</v>
      </c>
      <c r="R36" s="703" t="s">
        <v>14</v>
      </c>
      <c r="S36" s="704" t="e">
        <f t="shared" si="12"/>
        <v>#N/A</v>
      </c>
      <c r="T36" s="703" t="s">
        <v>14</v>
      </c>
      <c r="U36" s="704" t="e">
        <f t="shared" si="13"/>
        <v>#N/A</v>
      </c>
      <c r="V36" s="703" t="s">
        <v>14</v>
      </c>
      <c r="W36" s="704" t="e">
        <f t="shared" si="14"/>
        <v>#N/A</v>
      </c>
      <c r="X36" s="1352"/>
      <c r="Y36" s="3695"/>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3"/>
      <c r="Q37" s="1340" t="str">
        <f t="shared" si="11"/>
        <v>市政基础设施</v>
      </c>
      <c r="R37" s="699" t="s">
        <v>14</v>
      </c>
      <c r="S37" s="700">
        <f t="shared" si="12"/>
        <v>100</v>
      </c>
      <c r="T37" s="699" t="s">
        <v>14</v>
      </c>
      <c r="U37" s="700">
        <f t="shared" si="13"/>
        <v>100</v>
      </c>
      <c r="V37" s="699" t="s">
        <v>14</v>
      </c>
      <c r="W37" s="700">
        <f t="shared" si="14"/>
        <v>100</v>
      </c>
      <c r="X37" s="701"/>
      <c r="Y37" s="3695"/>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93" t="s">
        <v>1696</v>
      </c>
      <c r="Q38" s="1349" t="str">
        <f t="shared" si="11"/>
        <v>业态</v>
      </c>
      <c r="R38" s="703" t="s">
        <v>14</v>
      </c>
      <c r="S38" s="704">
        <f t="shared" si="12"/>
        <v>100</v>
      </c>
      <c r="T38" s="703" t="s">
        <v>14</v>
      </c>
      <c r="U38" s="704">
        <f t="shared" si="13"/>
        <v>100</v>
      </c>
      <c r="V38" s="703" t="s">
        <v>14</v>
      </c>
      <c r="W38" s="704">
        <f t="shared" si="14"/>
        <v>100</v>
      </c>
      <c r="X38" s="1352"/>
      <c r="Y38" s="3695"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3"/>
      <c r="Q39" s="1349" t="str">
        <f t="shared" si="11"/>
        <v>层高</v>
      </c>
      <c r="R39" s="703" t="s">
        <v>14</v>
      </c>
      <c r="S39" s="704">
        <f t="shared" si="12"/>
        <v>100</v>
      </c>
      <c r="T39" s="703" t="s">
        <v>14</v>
      </c>
      <c r="U39" s="704">
        <f t="shared" si="13"/>
        <v>100</v>
      </c>
      <c r="V39" s="703" t="s">
        <v>14</v>
      </c>
      <c r="W39" s="704">
        <f t="shared" si="14"/>
        <v>100</v>
      </c>
      <c r="X39" s="1352"/>
      <c r="Y39" s="3695"/>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3"/>
      <c r="Q40" s="1349" t="str">
        <f t="shared" si="11"/>
        <v>单套建筑面积</v>
      </c>
      <c r="R40" s="703" t="s">
        <v>14</v>
      </c>
      <c r="S40" s="704">
        <f t="shared" si="12"/>
        <v>100</v>
      </c>
      <c r="T40" s="703" t="s">
        <v>14</v>
      </c>
      <c r="U40" s="704">
        <f t="shared" si="13"/>
        <v>100</v>
      </c>
      <c r="V40" s="703" t="s">
        <v>14</v>
      </c>
      <c r="W40" s="704">
        <f t="shared" si="14"/>
        <v>100</v>
      </c>
      <c r="X40" s="1352"/>
      <c r="Y40" s="369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3"/>
      <c r="Q41" s="705" t="str">
        <f t="shared" si="11"/>
        <v>进深比</v>
      </c>
      <c r="R41" s="706" t="s">
        <v>14</v>
      </c>
      <c r="S41" s="707">
        <f t="shared" si="12"/>
        <v>100</v>
      </c>
      <c r="T41" s="706" t="s">
        <v>14</v>
      </c>
      <c r="U41" s="707">
        <f t="shared" si="13"/>
        <v>100</v>
      </c>
      <c r="V41" s="706" t="s">
        <v>14</v>
      </c>
      <c r="W41" s="707">
        <f t="shared" si="14"/>
        <v>100</v>
      </c>
      <c r="X41" s="708"/>
      <c r="Y41" s="3695"/>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93"/>
      <c r="Q42" s="1349" t="str">
        <f t="shared" si="11"/>
        <v>内部装修</v>
      </c>
      <c r="R42" s="703" t="s">
        <v>14</v>
      </c>
      <c r="S42" s="704">
        <f t="shared" si="12"/>
        <v>100</v>
      </c>
      <c r="T42" s="703" t="s">
        <v>14</v>
      </c>
      <c r="U42" s="704">
        <f t="shared" si="13"/>
        <v>100</v>
      </c>
      <c r="V42" s="703" t="s">
        <v>14</v>
      </c>
      <c r="W42" s="704">
        <f t="shared" si="14"/>
        <v>100</v>
      </c>
      <c r="X42" s="1352"/>
      <c r="Y42" s="3695"/>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93"/>
      <c r="Q43" s="1349" t="str">
        <f t="shared" si="11"/>
        <v>内部装修维护情况</v>
      </c>
      <c r="R43" s="703" t="s">
        <v>14</v>
      </c>
      <c r="S43" s="704">
        <f t="shared" si="12"/>
        <v>100</v>
      </c>
      <c r="T43" s="703" t="s">
        <v>14</v>
      </c>
      <c r="U43" s="704">
        <f t="shared" si="13"/>
        <v>100</v>
      </c>
      <c r="V43" s="703" t="s">
        <v>14</v>
      </c>
      <c r="W43" s="704">
        <f t="shared" si="14"/>
        <v>100</v>
      </c>
      <c r="X43" s="1352"/>
      <c r="Y43" s="369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3"/>
      <c r="Q44" s="1340">
        <f t="shared" si="11"/>
        <v>111</v>
      </c>
      <c r="R44" s="699" t="s">
        <v>14</v>
      </c>
      <c r="S44" s="700">
        <f t="shared" si="12"/>
        <v>100</v>
      </c>
      <c r="T44" s="699" t="s">
        <v>14</v>
      </c>
      <c r="U44" s="700">
        <f t="shared" si="13"/>
        <v>100</v>
      </c>
      <c r="V44" s="699" t="s">
        <v>14</v>
      </c>
      <c r="W44" s="700">
        <f t="shared" si="14"/>
        <v>100</v>
      </c>
      <c r="X44" s="701"/>
      <c r="Y44" s="369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3"/>
      <c r="Q45" s="1349">
        <f t="shared" si="11"/>
        <v>111</v>
      </c>
      <c r="R45" s="703" t="s">
        <v>14</v>
      </c>
      <c r="S45" s="704">
        <f t="shared" si="12"/>
        <v>100</v>
      </c>
      <c r="T45" s="703" t="s">
        <v>14</v>
      </c>
      <c r="U45" s="704">
        <f t="shared" si="13"/>
        <v>100</v>
      </c>
      <c r="V45" s="703" t="s">
        <v>14</v>
      </c>
      <c r="W45" s="704">
        <f t="shared" si="14"/>
        <v>100</v>
      </c>
      <c r="X45" s="1352"/>
      <c r="Y45" s="3695"/>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4"/>
      <c r="Q46" s="1349">
        <f t="shared" si="11"/>
        <v>111</v>
      </c>
      <c r="R46" s="703" t="s">
        <v>14</v>
      </c>
      <c r="S46" s="704">
        <f t="shared" si="12"/>
        <v>100</v>
      </c>
      <c r="T46" s="703" t="s">
        <v>14</v>
      </c>
      <c r="U46" s="704">
        <f t="shared" si="13"/>
        <v>100</v>
      </c>
      <c r="V46" s="703" t="s">
        <v>14</v>
      </c>
      <c r="W46" s="704">
        <f t="shared" si="14"/>
        <v>100</v>
      </c>
      <c r="X46" s="1352"/>
      <c r="Y46" s="3696"/>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2"/>
      <c r="L47" s="2721"/>
      <c r="M47" s="2722"/>
      <c r="N47" s="2713"/>
      <c r="O47" s="2722"/>
      <c r="P47" s="3697" t="str">
        <f>A47</f>
        <v>成交单价（元/平方米）</v>
      </c>
      <c r="Q47" s="3697"/>
      <c r="R47" s="3685">
        <f>E47</f>
        <v>0</v>
      </c>
      <c r="S47" s="3685"/>
      <c r="T47" s="3685">
        <f>G47</f>
        <v>0</v>
      </c>
      <c r="U47" s="3685"/>
      <c r="V47" s="3685">
        <f>I47</f>
        <v>0</v>
      </c>
      <c r="W47" s="3685"/>
      <c r="X47" s="688"/>
      <c r="Y47" s="710"/>
      <c r="Z47" s="688"/>
      <c r="AA47" s="688"/>
      <c r="AB47" s="688"/>
      <c r="AC47" s="688"/>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1"/>
      <c r="M49" s="2722"/>
      <c r="N49" s="2713"/>
      <c r="O49" s="2722"/>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估价对象为北京市房地产,属开发建设的工业项目，该项目尚在开发建设中。根据《国有土地使用证》[]，估价对象（分摊）出让国有建设用地使用权面积为212.2平方米，规划建筑面积为421.62平方米。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421.62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911"/>
      <c r="M4" s="912"/>
      <c r="N4" s="912"/>
      <c r="O4" s="912"/>
      <c r="P4" s="3727" t="s">
        <v>1775</v>
      </c>
      <c r="Q4" s="3728"/>
      <c r="R4" s="3724" t="s">
        <v>1771</v>
      </c>
      <c r="S4" s="3725"/>
      <c r="T4" s="3724" t="s">
        <v>1772</v>
      </c>
      <c r="U4" s="3725"/>
      <c r="V4" s="3685" t="s">
        <v>1773</v>
      </c>
      <c r="W4" s="3685"/>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911"/>
      <c r="M5" s="912"/>
      <c r="N5" s="912"/>
      <c r="O5" s="912"/>
      <c r="P5" s="3729"/>
      <c r="Q5" s="3679"/>
      <c r="R5" s="3657"/>
      <c r="S5" s="3658"/>
      <c r="T5" s="3657"/>
      <c r="U5" s="3658"/>
      <c r="V5" s="3685"/>
      <c r="W5" s="3685"/>
      <c r="X5" s="1352"/>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1"/>
      <c r="M6" s="912"/>
      <c r="N6" s="912"/>
      <c r="O6" s="912"/>
      <c r="P6" s="3730"/>
      <c r="Q6" s="3681"/>
      <c r="R6" s="3657"/>
      <c r="S6" s="3658"/>
      <c r="T6" s="3682"/>
      <c r="U6" s="3683"/>
      <c r="V6" s="3685"/>
      <c r="W6" s="3685"/>
      <c r="X6" s="1352"/>
      <c r="Y6" s="3682"/>
      <c r="Z6" s="3683"/>
      <c r="AA6" s="3652"/>
      <c r="AB6" s="3652"/>
      <c r="AC6" s="3652"/>
    </row>
    <row r="7" spans="1:29" s="108" customFormat="1" ht="15.75" thickBot="1">
      <c r="A7" s="362" t="s">
        <v>1679</v>
      </c>
      <c r="B7" s="363"/>
      <c r="C7" s="364">
        <f>'数据-取费表'!B2</f>
        <v>45496</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7"/>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0"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7"/>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7"/>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7"/>
      <c r="Q14" s="1340">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0" t="s">
        <v>1691</v>
      </c>
      <c r="Q15" s="1349" t="str">
        <f t="shared" si="6"/>
        <v>产业集聚程度</v>
      </c>
      <c r="R15" s="703" t="s">
        <v>14</v>
      </c>
      <c r="S15" s="704">
        <f t="shared" si="0"/>
        <v>100</v>
      </c>
      <c r="T15" s="703" t="s">
        <v>14</v>
      </c>
      <c r="U15" s="704">
        <f t="shared" si="1"/>
        <v>100</v>
      </c>
      <c r="V15" s="703" t="s">
        <v>14</v>
      </c>
      <c r="W15" s="704">
        <f t="shared" si="2"/>
        <v>100</v>
      </c>
      <c r="X15" s="1352"/>
      <c r="Y15" s="369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1"/>
      <c r="Q16" s="1349"/>
      <c r="R16" s="703"/>
      <c r="S16" s="704"/>
      <c r="T16" s="703"/>
      <c r="U16" s="704"/>
      <c r="V16" s="703"/>
      <c r="W16" s="704"/>
      <c r="X16" s="1352"/>
      <c r="Y16" s="3691"/>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1"/>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1"/>
      <c r="Q18" s="1349"/>
      <c r="R18" s="703"/>
      <c r="S18" s="704"/>
      <c r="T18" s="703"/>
      <c r="U18" s="704"/>
      <c r="V18" s="703"/>
      <c r="W18" s="704"/>
      <c r="X18" s="1352"/>
      <c r="Y18" s="3691"/>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1"/>
      <c r="Q19" s="1349" t="str">
        <f>B19</f>
        <v>公共配套设施</v>
      </c>
      <c r="R19" s="703" t="s">
        <v>14</v>
      </c>
      <c r="S19" s="704">
        <f>F19</f>
        <v>100</v>
      </c>
      <c r="T19" s="703" t="s">
        <v>14</v>
      </c>
      <c r="U19" s="704">
        <f>H19</f>
        <v>100</v>
      </c>
      <c r="V19" s="703" t="s">
        <v>14</v>
      </c>
      <c r="W19" s="704">
        <f>J19</f>
        <v>100</v>
      </c>
      <c r="X19" s="1352"/>
      <c r="Y19" s="369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1"/>
      <c r="Q20" s="1349"/>
      <c r="R20" s="703"/>
      <c r="S20" s="704"/>
      <c r="T20" s="703"/>
      <c r="U20" s="704"/>
      <c r="V20" s="703"/>
      <c r="W20" s="704"/>
      <c r="X20" s="1352"/>
      <c r="Y20" s="3691"/>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1"/>
      <c r="Q21" s="1349" t="str">
        <f>B21</f>
        <v>基础设施水平</v>
      </c>
      <c r="R21" s="703" t="s">
        <v>14</v>
      </c>
      <c r="S21" s="704">
        <f>F21</f>
        <v>100</v>
      </c>
      <c r="T21" s="703" t="s">
        <v>14</v>
      </c>
      <c r="U21" s="704">
        <f>H21</f>
        <v>100</v>
      </c>
      <c r="V21" s="703" t="s">
        <v>14</v>
      </c>
      <c r="W21" s="704">
        <f>J21</f>
        <v>100</v>
      </c>
      <c r="X21" s="1352"/>
      <c r="Y21" s="369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1"/>
      <c r="Q22" s="1349"/>
      <c r="R22" s="703"/>
      <c r="S22" s="704"/>
      <c r="T22" s="703"/>
      <c r="U22" s="704"/>
      <c r="V22" s="703"/>
      <c r="W22" s="704"/>
      <c r="X22" s="1352"/>
      <c r="Y22" s="3691"/>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1"/>
      <c r="Q23" s="1349" t="str">
        <f>B23</f>
        <v>环境质量</v>
      </c>
      <c r="R23" s="703" t="s">
        <v>14</v>
      </c>
      <c r="S23" s="704">
        <f>F23</f>
        <v>100</v>
      </c>
      <c r="T23" s="703" t="s">
        <v>14</v>
      </c>
      <c r="U23" s="704">
        <f>H23</f>
        <v>100</v>
      </c>
      <c r="V23" s="703" t="s">
        <v>14</v>
      </c>
      <c r="W23" s="704">
        <f>J23</f>
        <v>100</v>
      </c>
      <c r="X23" s="1352"/>
      <c r="Y23" s="369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1"/>
      <c r="Q24" s="1349"/>
      <c r="R24" s="703"/>
      <c r="S24" s="704"/>
      <c r="T24" s="703"/>
      <c r="U24" s="704"/>
      <c r="V24" s="703"/>
      <c r="W24" s="704"/>
      <c r="X24" s="1352"/>
      <c r="Y24" s="369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1"/>
      <c r="Q25" s="1349">
        <f>B25</f>
        <v>111</v>
      </c>
      <c r="R25" s="703" t="s">
        <v>14</v>
      </c>
      <c r="S25" s="704">
        <f>F25</f>
        <v>100</v>
      </c>
      <c r="T25" s="703" t="s">
        <v>14</v>
      </c>
      <c r="U25" s="704">
        <f>H25</f>
        <v>100</v>
      </c>
      <c r="V25" s="703" t="s">
        <v>14</v>
      </c>
      <c r="W25" s="704">
        <f>J25</f>
        <v>100</v>
      </c>
      <c r="X25" s="1352"/>
      <c r="Y25" s="369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1"/>
      <c r="Q26" s="1349">
        <f t="shared" ref="Q26:Q40" si="11">B26</f>
        <v>111</v>
      </c>
      <c r="R26" s="703" t="s">
        <v>14</v>
      </c>
      <c r="S26" s="704">
        <f>F26</f>
        <v>100</v>
      </c>
      <c r="T26" s="703" t="s">
        <v>14</v>
      </c>
      <c r="U26" s="704">
        <f>H26</f>
        <v>100</v>
      </c>
      <c r="V26" s="703" t="s">
        <v>14</v>
      </c>
      <c r="W26" s="704">
        <f>J26</f>
        <v>100</v>
      </c>
      <c r="X26" s="1352"/>
      <c r="Y26" s="369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1"/>
      <c r="Q27" s="1340">
        <f t="shared" si="11"/>
        <v>111</v>
      </c>
      <c r="R27" s="699" t="s">
        <v>14</v>
      </c>
      <c r="S27" s="700">
        <f>F27</f>
        <v>100</v>
      </c>
      <c r="T27" s="699" t="s">
        <v>14</v>
      </c>
      <c r="U27" s="700">
        <f>H27</f>
        <v>100</v>
      </c>
      <c r="V27" s="699" t="s">
        <v>14</v>
      </c>
      <c r="W27" s="700">
        <f>J27</f>
        <v>100</v>
      </c>
      <c r="X27" s="701"/>
      <c r="Y27" s="3691"/>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1"/>
      <c r="Q28" s="1349">
        <f t="shared" si="11"/>
        <v>111</v>
      </c>
      <c r="R28" s="703" t="s">
        <v>14</v>
      </c>
      <c r="S28" s="704">
        <f t="shared" ref="S28:S40" si="12">F28</f>
        <v>100</v>
      </c>
      <c r="T28" s="703" t="s">
        <v>14</v>
      </c>
      <c r="U28" s="704">
        <f t="shared" ref="U28:U40" si="13">H28</f>
        <v>100</v>
      </c>
      <c r="V28" s="703" t="s">
        <v>14</v>
      </c>
      <c r="W28" s="704">
        <f t="shared" ref="W28:W40" si="14">J28</f>
        <v>100</v>
      </c>
      <c r="X28" s="1352"/>
      <c r="Y28" s="3691"/>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34" t="s">
        <v>1696</v>
      </c>
      <c r="Q29" s="1349" t="str">
        <f t="shared" si="11"/>
        <v>建筑类型</v>
      </c>
      <c r="R29" s="703" t="s">
        <v>14</v>
      </c>
      <c r="S29" s="704">
        <f t="shared" si="12"/>
        <v>100</v>
      </c>
      <c r="T29" s="703" t="s">
        <v>14</v>
      </c>
      <c r="U29" s="704">
        <f t="shared" si="13"/>
        <v>100</v>
      </c>
      <c r="V29" s="703" t="s">
        <v>14</v>
      </c>
      <c r="W29" s="704">
        <f t="shared" si="14"/>
        <v>100</v>
      </c>
      <c r="X29" s="1352"/>
      <c r="Y29" s="369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5"/>
      <c r="Q30" s="705" t="str">
        <f t="shared" si="11"/>
        <v>项目建筑规模</v>
      </c>
      <c r="R30" s="706" t="s">
        <v>14</v>
      </c>
      <c r="S30" s="707" t="e">
        <f t="shared" si="12"/>
        <v>#N/A</v>
      </c>
      <c r="T30" s="706" t="s">
        <v>14</v>
      </c>
      <c r="U30" s="707" t="e">
        <f t="shared" si="13"/>
        <v>#N/A</v>
      </c>
      <c r="V30" s="706" t="s">
        <v>14</v>
      </c>
      <c r="W30" s="707" t="e">
        <f t="shared" si="14"/>
        <v>#N/A</v>
      </c>
      <c r="X30" s="708"/>
      <c r="Y30" s="3695"/>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5"/>
      <c r="Q31" s="1349" t="str">
        <f t="shared" si="11"/>
        <v>建筑结构</v>
      </c>
      <c r="R31" s="703" t="s">
        <v>14</v>
      </c>
      <c r="S31" s="704">
        <f t="shared" si="12"/>
        <v>100</v>
      </c>
      <c r="T31" s="703" t="s">
        <v>14</v>
      </c>
      <c r="U31" s="704">
        <f t="shared" si="13"/>
        <v>100</v>
      </c>
      <c r="V31" s="703" t="s">
        <v>14</v>
      </c>
      <c r="W31" s="704">
        <f t="shared" si="14"/>
        <v>100</v>
      </c>
      <c r="X31" s="1352"/>
      <c r="Y31" s="369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5"/>
      <c r="Q32" s="1349" t="str">
        <f t="shared" si="11"/>
        <v>公共部分装修</v>
      </c>
      <c r="R32" s="703" t="s">
        <v>14</v>
      </c>
      <c r="S32" s="704">
        <f t="shared" si="12"/>
        <v>100</v>
      </c>
      <c r="T32" s="703" t="s">
        <v>14</v>
      </c>
      <c r="U32" s="704">
        <f t="shared" si="13"/>
        <v>100</v>
      </c>
      <c r="V32" s="703" t="s">
        <v>14</v>
      </c>
      <c r="W32" s="704">
        <f t="shared" si="14"/>
        <v>100</v>
      </c>
      <c r="X32" s="1352"/>
      <c r="Y32" s="369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5"/>
      <c r="Q33" s="1349" t="str">
        <f t="shared" si="11"/>
        <v>成新度</v>
      </c>
      <c r="R33" s="703" t="s">
        <v>14</v>
      </c>
      <c r="S33" s="704" t="e">
        <f t="shared" si="12"/>
        <v>#N/A</v>
      </c>
      <c r="T33" s="703" t="s">
        <v>14</v>
      </c>
      <c r="U33" s="704" t="e">
        <f t="shared" si="13"/>
        <v>#N/A</v>
      </c>
      <c r="V33" s="703" t="s">
        <v>14</v>
      </c>
      <c r="W33" s="704" t="e">
        <f t="shared" si="14"/>
        <v>#N/A</v>
      </c>
      <c r="X33" s="1352"/>
      <c r="Y33" s="369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5"/>
      <c r="Q34" s="1340" t="str">
        <f t="shared" si="11"/>
        <v>物业管理</v>
      </c>
      <c r="R34" s="699" t="s">
        <v>14</v>
      </c>
      <c r="S34" s="700">
        <f t="shared" si="12"/>
        <v>100</v>
      </c>
      <c r="T34" s="699" t="s">
        <v>14</v>
      </c>
      <c r="U34" s="700">
        <f t="shared" si="13"/>
        <v>100</v>
      </c>
      <c r="V34" s="699" t="s">
        <v>14</v>
      </c>
      <c r="W34" s="700">
        <f t="shared" si="14"/>
        <v>100</v>
      </c>
      <c r="X34" s="701"/>
      <c r="Y34" s="369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5" t="s">
        <v>1696</v>
      </c>
      <c r="Q35" s="1349" t="str">
        <f t="shared" si="11"/>
        <v>市政基础设施</v>
      </c>
      <c r="R35" s="703" t="s">
        <v>14</v>
      </c>
      <c r="S35" s="704">
        <f t="shared" si="12"/>
        <v>100</v>
      </c>
      <c r="T35" s="703" t="s">
        <v>14</v>
      </c>
      <c r="U35" s="704">
        <f t="shared" si="13"/>
        <v>100</v>
      </c>
      <c r="V35" s="703" t="s">
        <v>14</v>
      </c>
      <c r="W35" s="704">
        <f t="shared" si="14"/>
        <v>100</v>
      </c>
      <c r="X35" s="1352"/>
      <c r="Y35" s="369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5"/>
      <c r="Q36" s="1349" t="str">
        <f t="shared" si="11"/>
        <v>内部装修</v>
      </c>
      <c r="R36" s="703" t="s">
        <v>14</v>
      </c>
      <c r="S36" s="704">
        <f t="shared" si="12"/>
        <v>100</v>
      </c>
      <c r="T36" s="703" t="s">
        <v>14</v>
      </c>
      <c r="U36" s="704">
        <f t="shared" si="13"/>
        <v>100</v>
      </c>
      <c r="V36" s="703" t="s">
        <v>14</v>
      </c>
      <c r="W36" s="704">
        <f t="shared" si="14"/>
        <v>100</v>
      </c>
      <c r="X36" s="1352"/>
      <c r="Y36" s="369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5"/>
      <c r="Q37" s="1349" t="str">
        <f t="shared" si="11"/>
        <v>内部装修状况</v>
      </c>
      <c r="R37" s="703" t="s">
        <v>14</v>
      </c>
      <c r="S37" s="704">
        <f t="shared" si="12"/>
        <v>100</v>
      </c>
      <c r="T37" s="703" t="s">
        <v>14</v>
      </c>
      <c r="U37" s="704">
        <f t="shared" si="13"/>
        <v>100</v>
      </c>
      <c r="V37" s="703" t="s">
        <v>14</v>
      </c>
      <c r="W37" s="704">
        <f t="shared" si="14"/>
        <v>100</v>
      </c>
      <c r="X37" s="1352"/>
      <c r="Y37" s="369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5"/>
      <c r="Q38" s="705">
        <f t="shared" si="11"/>
        <v>111</v>
      </c>
      <c r="R38" s="706" t="s">
        <v>14</v>
      </c>
      <c r="S38" s="707">
        <f t="shared" si="12"/>
        <v>100</v>
      </c>
      <c r="T38" s="706" t="s">
        <v>14</v>
      </c>
      <c r="U38" s="707">
        <f t="shared" si="13"/>
        <v>100</v>
      </c>
      <c r="V38" s="706" t="s">
        <v>14</v>
      </c>
      <c r="W38" s="707">
        <f t="shared" si="14"/>
        <v>100</v>
      </c>
      <c r="X38" s="708"/>
      <c r="Y38" s="3695"/>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5"/>
      <c r="Q39" s="1349">
        <f t="shared" si="11"/>
        <v>111</v>
      </c>
      <c r="R39" s="703" t="s">
        <v>14</v>
      </c>
      <c r="S39" s="704">
        <f t="shared" si="12"/>
        <v>100</v>
      </c>
      <c r="T39" s="703" t="s">
        <v>14</v>
      </c>
      <c r="U39" s="704">
        <f t="shared" si="13"/>
        <v>100</v>
      </c>
      <c r="V39" s="703" t="s">
        <v>14</v>
      </c>
      <c r="W39" s="704">
        <f t="shared" si="14"/>
        <v>100</v>
      </c>
      <c r="X39" s="1352"/>
      <c r="Y39" s="3695"/>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6"/>
      <c r="Q40" s="1349">
        <f t="shared" si="11"/>
        <v>111</v>
      </c>
      <c r="R40" s="703" t="s">
        <v>14</v>
      </c>
      <c r="S40" s="704">
        <f t="shared" si="12"/>
        <v>100</v>
      </c>
      <c r="T40" s="703" t="s">
        <v>14</v>
      </c>
      <c r="U40" s="704">
        <f t="shared" si="13"/>
        <v>100</v>
      </c>
      <c r="V40" s="703" t="s">
        <v>14</v>
      </c>
      <c r="W40" s="704">
        <f t="shared" si="14"/>
        <v>100</v>
      </c>
      <c r="X40" s="1352"/>
      <c r="Y40" s="3696"/>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2"/>
      <c r="M4" s="2713"/>
      <c r="N4" s="2713"/>
      <c r="O4" s="2713"/>
      <c r="P4" s="3727" t="s">
        <v>1775</v>
      </c>
      <c r="Q4" s="3728"/>
      <c r="R4" s="3724" t="s">
        <v>1771</v>
      </c>
      <c r="S4" s="3725"/>
      <c r="T4" s="3724" t="s">
        <v>1772</v>
      </c>
      <c r="U4" s="3725"/>
      <c r="V4" s="3685" t="s">
        <v>1773</v>
      </c>
      <c r="W4" s="3685"/>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9"/>
      <c r="R5" s="3657"/>
      <c r="S5" s="3658"/>
      <c r="T5" s="3657"/>
      <c r="U5" s="3658"/>
      <c r="V5" s="3685"/>
      <c r="W5" s="3685"/>
      <c r="X5" s="1352"/>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2"/>
      <c r="M6" s="2713"/>
      <c r="N6" s="2713"/>
      <c r="O6" s="2713"/>
      <c r="P6" s="3730"/>
      <c r="Q6" s="3681"/>
      <c r="R6" s="3657"/>
      <c r="S6" s="3658"/>
      <c r="T6" s="3682"/>
      <c r="U6" s="3683"/>
      <c r="V6" s="3685"/>
      <c r="W6" s="3685"/>
      <c r="X6" s="1352"/>
      <c r="Y6" s="3682"/>
      <c r="Z6" s="3683"/>
      <c r="AA6" s="3652"/>
      <c r="AB6" s="3652"/>
      <c r="AC6" s="3652"/>
    </row>
    <row r="7" spans="1:29" s="108" customFormat="1" ht="15.75" thickBot="1">
      <c r="A7" s="362" t="s">
        <v>1679</v>
      </c>
      <c r="B7" s="363"/>
      <c r="C7" s="364">
        <f>'数据-取费表'!B2</f>
        <v>45496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1686</v>
      </c>
      <c r="Q9" s="1340"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7"/>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0">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0" t="s">
        <v>1691</v>
      </c>
      <c r="Q14" s="1349" t="str">
        <f t="shared" si="6"/>
        <v>交通便捷度</v>
      </c>
      <c r="R14" s="703" t="s">
        <v>14</v>
      </c>
      <c r="S14" s="704">
        <f t="shared" si="0"/>
        <v>100</v>
      </c>
      <c r="T14" s="703" t="s">
        <v>14</v>
      </c>
      <c r="U14" s="704">
        <f t="shared" si="1"/>
        <v>100</v>
      </c>
      <c r="V14" s="703" t="s">
        <v>14</v>
      </c>
      <c r="W14" s="704">
        <f t="shared" si="2"/>
        <v>100</v>
      </c>
      <c r="X14" s="1352"/>
      <c r="Y14" s="3690"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1"/>
      <c r="Q15" s="1349"/>
      <c r="R15" s="703"/>
      <c r="S15" s="704"/>
      <c r="T15" s="703"/>
      <c r="U15" s="704"/>
      <c r="V15" s="703"/>
      <c r="W15" s="704"/>
      <c r="X15" s="1352"/>
      <c r="Y15" s="3691"/>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1"/>
      <c r="Q16" s="1349" t="str">
        <f>B16</f>
        <v>公共配套设施</v>
      </c>
      <c r="R16" s="703" t="s">
        <v>14</v>
      </c>
      <c r="S16" s="704">
        <f>F16</f>
        <v>100</v>
      </c>
      <c r="T16" s="703" t="s">
        <v>14</v>
      </c>
      <c r="U16" s="704">
        <f>H16</f>
        <v>100</v>
      </c>
      <c r="V16" s="703" t="s">
        <v>14</v>
      </c>
      <c r="W16" s="704">
        <f>J16</f>
        <v>100</v>
      </c>
      <c r="X16" s="1352"/>
      <c r="Y16" s="3691"/>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1"/>
      <c r="Q17" s="1349"/>
      <c r="R17" s="703"/>
      <c r="S17" s="704"/>
      <c r="T17" s="703"/>
      <c r="U17" s="704"/>
      <c r="V17" s="703"/>
      <c r="W17" s="704"/>
      <c r="X17" s="1352"/>
      <c r="Y17" s="3691"/>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1"/>
      <c r="Q18" s="1349" t="str">
        <f>B18</f>
        <v>基础设施水平</v>
      </c>
      <c r="R18" s="703" t="s">
        <v>14</v>
      </c>
      <c r="S18" s="704">
        <f>F18</f>
        <v>100</v>
      </c>
      <c r="T18" s="703" t="s">
        <v>14</v>
      </c>
      <c r="U18" s="704">
        <f>H18</f>
        <v>100</v>
      </c>
      <c r="V18" s="703" t="s">
        <v>14</v>
      </c>
      <c r="W18" s="704">
        <f>J18</f>
        <v>100</v>
      </c>
      <c r="X18" s="1352"/>
      <c r="Y18" s="3691"/>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1"/>
      <c r="Q19" s="1349"/>
      <c r="R19" s="703"/>
      <c r="S19" s="704"/>
      <c r="T19" s="703"/>
      <c r="U19" s="704"/>
      <c r="V19" s="703"/>
      <c r="W19" s="704"/>
      <c r="X19" s="1352"/>
      <c r="Y19" s="3691"/>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1"/>
      <c r="Q20" s="1349" t="str">
        <f>B20</f>
        <v>自然及人文环境</v>
      </c>
      <c r="R20" s="703" t="s">
        <v>14</v>
      </c>
      <c r="S20" s="704">
        <f>F20</f>
        <v>100</v>
      </c>
      <c r="T20" s="703" t="s">
        <v>14</v>
      </c>
      <c r="U20" s="704">
        <f>H20</f>
        <v>100</v>
      </c>
      <c r="V20" s="703" t="s">
        <v>14</v>
      </c>
      <c r="W20" s="704">
        <f>J20</f>
        <v>100</v>
      </c>
      <c r="X20" s="1352"/>
      <c r="Y20" s="369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1"/>
      <c r="Q21" s="1349"/>
      <c r="R21" s="703"/>
      <c r="S21" s="704"/>
      <c r="T21" s="703"/>
      <c r="U21" s="704"/>
      <c r="V21" s="703"/>
      <c r="W21" s="704"/>
      <c r="X21" s="1352"/>
      <c r="Y21" s="3691"/>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1"/>
      <c r="Q22" s="1349" t="str">
        <f>B22</f>
        <v>楼层</v>
      </c>
      <c r="R22" s="703" t="s">
        <v>14</v>
      </c>
      <c r="S22" s="704">
        <f>F22</f>
        <v>100</v>
      </c>
      <c r="T22" s="703" t="s">
        <v>14</v>
      </c>
      <c r="U22" s="704">
        <f>H22</f>
        <v>100</v>
      </c>
      <c r="V22" s="703" t="s">
        <v>14</v>
      </c>
      <c r="W22" s="704">
        <f>J22</f>
        <v>100</v>
      </c>
      <c r="X22" s="1352"/>
      <c r="Y22" s="369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1"/>
      <c r="Q23" s="1349">
        <f>B23</f>
        <v>111</v>
      </c>
      <c r="R23" s="703" t="s">
        <v>14</v>
      </c>
      <c r="S23" s="704">
        <f>F23</f>
        <v>100</v>
      </c>
      <c r="T23" s="703" t="s">
        <v>14</v>
      </c>
      <c r="U23" s="704">
        <f>H23</f>
        <v>100</v>
      </c>
      <c r="V23" s="703" t="s">
        <v>14</v>
      </c>
      <c r="W23" s="704">
        <f>J23</f>
        <v>100</v>
      </c>
      <c r="X23" s="1352"/>
      <c r="Y23" s="369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1"/>
      <c r="Q24" s="1349">
        <f t="shared" ref="Q24:Q36" si="11">B24</f>
        <v>111</v>
      </c>
      <c r="R24" s="703" t="s">
        <v>14</v>
      </c>
      <c r="S24" s="704">
        <f>F24</f>
        <v>100</v>
      </c>
      <c r="T24" s="703" t="s">
        <v>14</v>
      </c>
      <c r="U24" s="704">
        <f>H24</f>
        <v>100</v>
      </c>
      <c r="V24" s="703" t="s">
        <v>14</v>
      </c>
      <c r="W24" s="704">
        <f>J24</f>
        <v>100</v>
      </c>
      <c r="X24" s="1352"/>
      <c r="Y24" s="369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1"/>
      <c r="Q25" s="1340">
        <f t="shared" si="11"/>
        <v>111</v>
      </c>
      <c r="R25" s="699" t="s">
        <v>14</v>
      </c>
      <c r="S25" s="700">
        <f>F25</f>
        <v>100</v>
      </c>
      <c r="T25" s="699" t="s">
        <v>14</v>
      </c>
      <c r="U25" s="700">
        <f>H25</f>
        <v>100</v>
      </c>
      <c r="V25" s="699" t="s">
        <v>14</v>
      </c>
      <c r="W25" s="700">
        <f>J25</f>
        <v>100</v>
      </c>
      <c r="X25" s="701"/>
      <c r="Y25" s="3691"/>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4"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5"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5"/>
      <c r="Q27" s="705" t="str">
        <f t="shared" si="11"/>
        <v>项目停车位配比</v>
      </c>
      <c r="R27" s="706" t="s">
        <v>14</v>
      </c>
      <c r="S27" s="707">
        <f t="shared" si="12"/>
        <v>100</v>
      </c>
      <c r="T27" s="706" t="s">
        <v>14</v>
      </c>
      <c r="U27" s="707">
        <f t="shared" si="13"/>
        <v>100</v>
      </c>
      <c r="V27" s="706" t="s">
        <v>14</v>
      </c>
      <c r="W27" s="707">
        <f t="shared" si="14"/>
        <v>100</v>
      </c>
      <c r="X27" s="708"/>
      <c r="Y27" s="3695"/>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5"/>
      <c r="Q28" s="1349" t="str">
        <f t="shared" si="11"/>
        <v>公共部分装修</v>
      </c>
      <c r="R28" s="703" t="s">
        <v>14</v>
      </c>
      <c r="S28" s="704">
        <f t="shared" si="12"/>
        <v>100</v>
      </c>
      <c r="T28" s="703" t="s">
        <v>14</v>
      </c>
      <c r="U28" s="704">
        <f t="shared" si="13"/>
        <v>100</v>
      </c>
      <c r="V28" s="703" t="s">
        <v>14</v>
      </c>
      <c r="W28" s="704">
        <f t="shared" si="14"/>
        <v>100</v>
      </c>
      <c r="X28" s="1352"/>
      <c r="Y28" s="3695"/>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5"/>
      <c r="Q29" s="1349" t="str">
        <f t="shared" si="11"/>
        <v>成新率</v>
      </c>
      <c r="R29" s="703" t="s">
        <v>14</v>
      </c>
      <c r="S29" s="704" t="e">
        <f t="shared" si="12"/>
        <v>#N/A</v>
      </c>
      <c r="T29" s="703" t="s">
        <v>14</v>
      </c>
      <c r="U29" s="704" t="e">
        <f t="shared" si="13"/>
        <v>#N/A</v>
      </c>
      <c r="V29" s="703" t="s">
        <v>14</v>
      </c>
      <c r="W29" s="704" t="e">
        <f t="shared" si="14"/>
        <v>#N/A</v>
      </c>
      <c r="X29" s="1352"/>
      <c r="Y29" s="3695"/>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5"/>
      <c r="Q30" s="1349" t="str">
        <f t="shared" si="11"/>
        <v>物业等级</v>
      </c>
      <c r="R30" s="703" t="s">
        <v>14</v>
      </c>
      <c r="S30" s="704">
        <f t="shared" si="12"/>
        <v>100</v>
      </c>
      <c r="T30" s="703" t="s">
        <v>14</v>
      </c>
      <c r="U30" s="704">
        <f t="shared" si="13"/>
        <v>100</v>
      </c>
      <c r="V30" s="703" t="s">
        <v>14</v>
      </c>
      <c r="W30" s="704">
        <f t="shared" si="14"/>
        <v>100</v>
      </c>
      <c r="X30" s="1352"/>
      <c r="Y30" s="3695"/>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5"/>
      <c r="Q31" s="1340" t="str">
        <f t="shared" si="11"/>
        <v>停车位面积</v>
      </c>
      <c r="R31" s="699" t="s">
        <v>14</v>
      </c>
      <c r="S31" s="700" t="e">
        <f t="shared" si="12"/>
        <v>#N/A</v>
      </c>
      <c r="T31" s="699" t="s">
        <v>14</v>
      </c>
      <c r="U31" s="700" t="e">
        <f t="shared" si="13"/>
        <v>#N/A</v>
      </c>
      <c r="V31" s="699" t="s">
        <v>14</v>
      </c>
      <c r="W31" s="700" t="e">
        <f t="shared" si="14"/>
        <v>#N/A</v>
      </c>
      <c r="X31" s="701"/>
      <c r="Y31" s="369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5" t="s">
        <v>1696</v>
      </c>
      <c r="Q32" s="1349" t="str">
        <f t="shared" si="11"/>
        <v>车位类型</v>
      </c>
      <c r="R32" s="703" t="s">
        <v>14</v>
      </c>
      <c r="S32" s="704">
        <f t="shared" si="12"/>
        <v>100</v>
      </c>
      <c r="T32" s="703" t="s">
        <v>14</v>
      </c>
      <c r="U32" s="704">
        <f t="shared" si="13"/>
        <v>100</v>
      </c>
      <c r="V32" s="703" t="s">
        <v>14</v>
      </c>
      <c r="W32" s="704">
        <f t="shared" si="14"/>
        <v>100</v>
      </c>
      <c r="X32" s="1352"/>
      <c r="Y32" s="3695"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5"/>
      <c r="Q33" s="1349" t="str">
        <f t="shared" si="11"/>
        <v>是否直接入户</v>
      </c>
      <c r="R33" s="703" t="s">
        <v>14</v>
      </c>
      <c r="S33" s="704">
        <f t="shared" si="12"/>
        <v>100</v>
      </c>
      <c r="T33" s="703" t="s">
        <v>14</v>
      </c>
      <c r="U33" s="704">
        <f t="shared" si="13"/>
        <v>100</v>
      </c>
      <c r="V33" s="703" t="s">
        <v>14</v>
      </c>
      <c r="W33" s="704">
        <f t="shared" si="14"/>
        <v>100</v>
      </c>
      <c r="X33" s="1352"/>
      <c r="Y33" s="369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5"/>
      <c r="Q35" s="705">
        <f t="shared" si="11"/>
        <v>111</v>
      </c>
      <c r="R35" s="706" t="s">
        <v>14</v>
      </c>
      <c r="S35" s="707">
        <f t="shared" si="12"/>
        <v>100</v>
      </c>
      <c r="T35" s="706" t="s">
        <v>14</v>
      </c>
      <c r="U35" s="707">
        <f t="shared" si="13"/>
        <v>100</v>
      </c>
      <c r="V35" s="706" t="s">
        <v>14</v>
      </c>
      <c r="W35" s="707">
        <f t="shared" si="14"/>
        <v>100</v>
      </c>
      <c r="X35" s="708"/>
      <c r="Y35" s="3695"/>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5"/>
      <c r="Q36" s="1349">
        <f t="shared" si="11"/>
        <v>111</v>
      </c>
      <c r="R36" s="703" t="s">
        <v>14</v>
      </c>
      <c r="S36" s="704">
        <f t="shared" si="12"/>
        <v>100</v>
      </c>
      <c r="T36" s="703" t="s">
        <v>14</v>
      </c>
      <c r="U36" s="704">
        <f t="shared" si="13"/>
        <v>100</v>
      </c>
      <c r="V36" s="703" t="s">
        <v>14</v>
      </c>
      <c r="W36" s="704">
        <f t="shared" si="14"/>
        <v>100</v>
      </c>
      <c r="X36" s="1352"/>
      <c r="Y36" s="3695"/>
      <c r="Z36" s="1353">
        <f t="shared" si="15"/>
        <v>111</v>
      </c>
      <c r="AA36" s="1350">
        <f t="shared" si="3"/>
        <v>1</v>
      </c>
      <c r="AB36" s="1350">
        <f t="shared" si="4"/>
        <v>1</v>
      </c>
      <c r="AC36" s="1350">
        <f t="shared" si="5"/>
        <v>1</v>
      </c>
    </row>
    <row r="37" spans="1:29" ht="15">
      <c r="A37" s="430" t="s">
        <v>1844</v>
      </c>
      <c r="B37" s="1970" t="s">
        <v>3357</v>
      </c>
      <c r="C37" s="1151" t="s">
        <v>0</v>
      </c>
      <c r="D37" s="1152"/>
      <c r="E37" s="1153"/>
      <c r="F37" s="1154"/>
      <c r="G37" s="1155"/>
      <c r="H37" s="1156"/>
      <c r="I37" s="1153"/>
      <c r="J37" s="1156"/>
      <c r="K37" s="568"/>
      <c r="L37" s="2721"/>
      <c r="M37" s="2722"/>
      <c r="N37" s="2713"/>
      <c r="O37" s="2722"/>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1"/>
      <c r="M39" s="2722"/>
      <c r="N39" s="2722"/>
      <c r="O39" s="2722"/>
      <c r="P39" s="3731" t="str">
        <f>A39</f>
        <v>估价对象XX用房的比较价值（楼面单价，元/平方米）</v>
      </c>
      <c r="Q39" s="3732"/>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2"/>
      <c r="M4" s="2713"/>
      <c r="N4" s="2713"/>
      <c r="O4" s="2713"/>
      <c r="P4" s="3727" t="s">
        <v>1775</v>
      </c>
      <c r="Q4" s="3728"/>
      <c r="R4" s="3724" t="s">
        <v>1771</v>
      </c>
      <c r="S4" s="3725"/>
      <c r="T4" s="3724" t="s">
        <v>1772</v>
      </c>
      <c r="U4" s="3725"/>
      <c r="V4" s="3685" t="s">
        <v>1773</v>
      </c>
      <c r="W4" s="3685"/>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9"/>
      <c r="R5" s="3657"/>
      <c r="S5" s="3658"/>
      <c r="T5" s="3657"/>
      <c r="U5" s="3658"/>
      <c r="V5" s="3685"/>
      <c r="W5" s="3685"/>
      <c r="X5" s="1352"/>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2"/>
      <c r="M6" s="2713"/>
      <c r="N6" s="2713"/>
      <c r="O6" s="2713"/>
      <c r="P6" s="3730"/>
      <c r="Q6" s="3681"/>
      <c r="R6" s="3657"/>
      <c r="S6" s="3658"/>
      <c r="T6" s="3682"/>
      <c r="U6" s="3683"/>
      <c r="V6" s="3685"/>
      <c r="W6" s="3685"/>
      <c r="X6" s="1352"/>
      <c r="Y6" s="3682"/>
      <c r="Z6" s="3683"/>
      <c r="AA6" s="3652"/>
      <c r="AB6" s="3652"/>
      <c r="AC6" s="3652"/>
    </row>
    <row r="7" spans="1:29" s="108" customFormat="1" ht="15.75" thickBot="1">
      <c r="A7" s="362" t="s">
        <v>1679</v>
      </c>
      <c r="B7" s="363"/>
      <c r="C7" s="364">
        <f>'数据-取费表'!B2</f>
        <v>45496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1686</v>
      </c>
      <c r="Q9" s="1340"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7"/>
      <c r="Q10" s="1340"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0">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0" t="s">
        <v>1691</v>
      </c>
      <c r="Q14" s="1349" t="str">
        <f t="shared" si="6"/>
        <v>交通便捷度</v>
      </c>
      <c r="R14" s="703" t="s">
        <v>14</v>
      </c>
      <c r="S14" s="704">
        <f t="shared" si="0"/>
        <v>100</v>
      </c>
      <c r="T14" s="703" t="s">
        <v>14</v>
      </c>
      <c r="U14" s="704">
        <f t="shared" si="1"/>
        <v>100</v>
      </c>
      <c r="V14" s="703" t="s">
        <v>14</v>
      </c>
      <c r="W14" s="704">
        <f t="shared" si="2"/>
        <v>100</v>
      </c>
      <c r="X14" s="1352"/>
      <c r="Y14" s="369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1"/>
      <c r="Q15" s="1349"/>
      <c r="R15" s="703"/>
      <c r="S15" s="704"/>
      <c r="T15" s="703"/>
      <c r="U15" s="704"/>
      <c r="V15" s="703"/>
      <c r="W15" s="704"/>
      <c r="X15" s="1352"/>
      <c r="Y15" s="3691"/>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1"/>
      <c r="Q16" s="1349" t="str">
        <f>B16</f>
        <v>公共配套设施</v>
      </c>
      <c r="R16" s="703" t="s">
        <v>14</v>
      </c>
      <c r="S16" s="704">
        <f>F16</f>
        <v>100</v>
      </c>
      <c r="T16" s="703" t="s">
        <v>14</v>
      </c>
      <c r="U16" s="704">
        <f>H16</f>
        <v>100</v>
      </c>
      <c r="V16" s="703" t="s">
        <v>14</v>
      </c>
      <c r="W16" s="704">
        <f>J16</f>
        <v>100</v>
      </c>
      <c r="X16" s="1352"/>
      <c r="Y16" s="369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1"/>
      <c r="Q17" s="1349"/>
      <c r="R17" s="703"/>
      <c r="S17" s="704"/>
      <c r="T17" s="703"/>
      <c r="U17" s="704"/>
      <c r="V17" s="703"/>
      <c r="W17" s="704"/>
      <c r="X17" s="1352"/>
      <c r="Y17" s="3691"/>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1"/>
      <c r="Q18" s="1349" t="str">
        <f>B18</f>
        <v>基础设施水平</v>
      </c>
      <c r="R18" s="703" t="s">
        <v>14</v>
      </c>
      <c r="S18" s="704">
        <f>F18</f>
        <v>100</v>
      </c>
      <c r="T18" s="703" t="s">
        <v>14</v>
      </c>
      <c r="U18" s="704">
        <f>H18</f>
        <v>100</v>
      </c>
      <c r="V18" s="703" t="s">
        <v>14</v>
      </c>
      <c r="W18" s="704">
        <f>J18</f>
        <v>100</v>
      </c>
      <c r="X18" s="1352"/>
      <c r="Y18" s="369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1"/>
      <c r="Q19" s="1349"/>
      <c r="R19" s="703"/>
      <c r="S19" s="704"/>
      <c r="T19" s="703"/>
      <c r="U19" s="704"/>
      <c r="V19" s="703"/>
      <c r="W19" s="704"/>
      <c r="X19" s="1352"/>
      <c r="Y19" s="3691"/>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1"/>
      <c r="Q20" s="1349" t="str">
        <f>B20</f>
        <v>自然及人文环境</v>
      </c>
      <c r="R20" s="703" t="s">
        <v>14</v>
      </c>
      <c r="S20" s="704">
        <f>F20</f>
        <v>100</v>
      </c>
      <c r="T20" s="703" t="s">
        <v>14</v>
      </c>
      <c r="U20" s="704">
        <f>H20</f>
        <v>100</v>
      </c>
      <c r="V20" s="703" t="s">
        <v>14</v>
      </c>
      <c r="W20" s="704">
        <f>J20</f>
        <v>100</v>
      </c>
      <c r="X20" s="1352"/>
      <c r="Y20" s="369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1"/>
      <c r="Q21" s="1349"/>
      <c r="R21" s="703"/>
      <c r="S21" s="704"/>
      <c r="T21" s="703"/>
      <c r="U21" s="704"/>
      <c r="V21" s="703"/>
      <c r="W21" s="704"/>
      <c r="X21" s="1352"/>
      <c r="Y21" s="369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1"/>
      <c r="Q22" s="1349" t="str">
        <f>B22</f>
        <v>楼层</v>
      </c>
      <c r="R22" s="703" t="s">
        <v>14</v>
      </c>
      <c r="S22" s="704">
        <f>F22</f>
        <v>100</v>
      </c>
      <c r="T22" s="703" t="s">
        <v>14</v>
      </c>
      <c r="U22" s="704">
        <f>H22</f>
        <v>100</v>
      </c>
      <c r="V22" s="703" t="s">
        <v>14</v>
      </c>
      <c r="W22" s="704">
        <f>J22</f>
        <v>100</v>
      </c>
      <c r="X22" s="1352"/>
      <c r="Y22" s="369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1"/>
      <c r="Q23" s="1349">
        <f>B23</f>
        <v>111</v>
      </c>
      <c r="R23" s="703" t="s">
        <v>14</v>
      </c>
      <c r="S23" s="704">
        <f>F23</f>
        <v>100</v>
      </c>
      <c r="T23" s="703" t="s">
        <v>14</v>
      </c>
      <c r="U23" s="704">
        <f>H23</f>
        <v>100</v>
      </c>
      <c r="V23" s="703" t="s">
        <v>14</v>
      </c>
      <c r="W23" s="704">
        <f>J23</f>
        <v>100</v>
      </c>
      <c r="X23" s="1352"/>
      <c r="Y23" s="369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1"/>
      <c r="Q24" s="1349">
        <f t="shared" ref="Q24:Q34" si="11">B24</f>
        <v>111</v>
      </c>
      <c r="R24" s="703" t="s">
        <v>14</v>
      </c>
      <c r="S24" s="704">
        <f>F24</f>
        <v>100</v>
      </c>
      <c r="T24" s="703" t="s">
        <v>14</v>
      </c>
      <c r="U24" s="704">
        <f>H24</f>
        <v>100</v>
      </c>
      <c r="V24" s="703" t="s">
        <v>14</v>
      </c>
      <c r="W24" s="704">
        <f>J24</f>
        <v>100</v>
      </c>
      <c r="X24" s="1352"/>
      <c r="Y24" s="3691"/>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1"/>
      <c r="Q25" s="1340">
        <f t="shared" si="11"/>
        <v>111</v>
      </c>
      <c r="R25" s="699" t="s">
        <v>14</v>
      </c>
      <c r="S25" s="700">
        <f>F25</f>
        <v>100</v>
      </c>
      <c r="T25" s="699" t="s">
        <v>14</v>
      </c>
      <c r="U25" s="700">
        <f>H25</f>
        <v>100</v>
      </c>
      <c r="V25" s="699" t="s">
        <v>14</v>
      </c>
      <c r="W25" s="700">
        <f>J25</f>
        <v>100</v>
      </c>
      <c r="X25" s="701"/>
      <c r="Y25" s="3691"/>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4"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5"/>
      <c r="Q27" s="705" t="str">
        <f t="shared" si="11"/>
        <v>成新率</v>
      </c>
      <c r="R27" s="706" t="s">
        <v>14</v>
      </c>
      <c r="S27" s="707" t="e">
        <f t="shared" si="12"/>
        <v>#N/A</v>
      </c>
      <c r="T27" s="706" t="s">
        <v>14</v>
      </c>
      <c r="U27" s="707" t="e">
        <f t="shared" si="13"/>
        <v>#N/A</v>
      </c>
      <c r="V27" s="706" t="s">
        <v>14</v>
      </c>
      <c r="W27" s="707" t="e">
        <f t="shared" si="14"/>
        <v>#N/A</v>
      </c>
      <c r="X27" s="708"/>
      <c r="Y27" s="3695"/>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5"/>
      <c r="Q28" s="1349" t="str">
        <f t="shared" si="11"/>
        <v>物业等级</v>
      </c>
      <c r="R28" s="703" t="s">
        <v>14</v>
      </c>
      <c r="S28" s="704">
        <f t="shared" si="12"/>
        <v>100</v>
      </c>
      <c r="T28" s="703" t="s">
        <v>14</v>
      </c>
      <c r="U28" s="704">
        <f t="shared" si="13"/>
        <v>100</v>
      </c>
      <c r="V28" s="703" t="s">
        <v>14</v>
      </c>
      <c r="W28" s="704">
        <f t="shared" si="14"/>
        <v>100</v>
      </c>
      <c r="X28" s="1352"/>
      <c r="Y28" s="3695"/>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5"/>
      <c r="Q29" s="1349" t="str">
        <f t="shared" si="11"/>
        <v>有无电梯</v>
      </c>
      <c r="R29" s="703" t="s">
        <v>14</v>
      </c>
      <c r="S29" s="704">
        <f t="shared" si="12"/>
        <v>100</v>
      </c>
      <c r="T29" s="703" t="s">
        <v>14</v>
      </c>
      <c r="U29" s="704">
        <f t="shared" si="13"/>
        <v>100</v>
      </c>
      <c r="V29" s="703" t="s">
        <v>14</v>
      </c>
      <c r="W29" s="704">
        <f t="shared" si="14"/>
        <v>100</v>
      </c>
      <c r="X29" s="1352"/>
      <c r="Y29" s="369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5"/>
      <c r="Q30" s="1349" t="str">
        <f t="shared" si="11"/>
        <v>建筑面积</v>
      </c>
      <c r="R30" s="703" t="s">
        <v>14</v>
      </c>
      <c r="S30" s="704" t="e">
        <f t="shared" si="12"/>
        <v>#N/A</v>
      </c>
      <c r="T30" s="703" t="s">
        <v>14</v>
      </c>
      <c r="U30" s="704" t="e">
        <f t="shared" si="13"/>
        <v>#N/A</v>
      </c>
      <c r="V30" s="703" t="s">
        <v>14</v>
      </c>
      <c r="W30" s="704" t="e">
        <f t="shared" si="14"/>
        <v>#N/A</v>
      </c>
      <c r="X30" s="1352"/>
      <c r="Y30" s="3695"/>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5"/>
      <c r="Q31" s="1340" t="str">
        <f t="shared" si="11"/>
        <v>是否封闭</v>
      </c>
      <c r="R31" s="699" t="s">
        <v>14</v>
      </c>
      <c r="S31" s="700">
        <f t="shared" si="12"/>
        <v>100</v>
      </c>
      <c r="T31" s="699" t="s">
        <v>14</v>
      </c>
      <c r="U31" s="700">
        <f t="shared" si="13"/>
        <v>100</v>
      </c>
      <c r="V31" s="699" t="s">
        <v>14</v>
      </c>
      <c r="W31" s="700">
        <f t="shared" si="14"/>
        <v>100</v>
      </c>
      <c r="X31" s="701"/>
      <c r="Y31" s="3695"/>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5" t="s">
        <v>1696</v>
      </c>
      <c r="Q32" s="1349">
        <f t="shared" si="11"/>
        <v>111</v>
      </c>
      <c r="R32" s="703" t="s">
        <v>14</v>
      </c>
      <c r="S32" s="704">
        <f t="shared" si="12"/>
        <v>100</v>
      </c>
      <c r="T32" s="703" t="s">
        <v>14</v>
      </c>
      <c r="U32" s="704">
        <f t="shared" si="13"/>
        <v>100</v>
      </c>
      <c r="V32" s="703" t="s">
        <v>14</v>
      </c>
      <c r="W32" s="704">
        <f t="shared" si="14"/>
        <v>100</v>
      </c>
      <c r="X32" s="1352"/>
      <c r="Y32" s="3695"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5"/>
      <c r="Q33" s="1349">
        <f t="shared" si="11"/>
        <v>111</v>
      </c>
      <c r="R33" s="703" t="s">
        <v>14</v>
      </c>
      <c r="S33" s="704">
        <f t="shared" si="12"/>
        <v>100</v>
      </c>
      <c r="T33" s="703" t="s">
        <v>14</v>
      </c>
      <c r="U33" s="704">
        <f t="shared" si="13"/>
        <v>100</v>
      </c>
      <c r="V33" s="703" t="s">
        <v>14</v>
      </c>
      <c r="W33" s="704">
        <f t="shared" si="14"/>
        <v>100</v>
      </c>
      <c r="X33" s="1352"/>
      <c r="Y33" s="3695"/>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2"/>
      <c r="L35" s="2721"/>
      <c r="M35" s="2722"/>
      <c r="N35" s="2713"/>
      <c r="O35" s="2722"/>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1"/>
      <c r="M37" s="2722"/>
      <c r="N37" s="2722"/>
      <c r="O37" s="2722"/>
      <c r="P37" s="3731" t="str">
        <f>A37</f>
        <v>估价对象XX用房的比较价值（楼面单价，元/平方米）</v>
      </c>
      <c r="Q37" s="3732"/>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72" t="s">
        <v>1770</v>
      </c>
      <c r="D4" s="3673"/>
      <c r="E4" s="3674" t="s">
        <v>1771</v>
      </c>
      <c r="F4" s="3675"/>
      <c r="G4" s="3672" t="s">
        <v>1772</v>
      </c>
      <c r="H4" s="3673"/>
      <c r="I4" s="3672" t="s">
        <v>1773</v>
      </c>
      <c r="J4" s="3673"/>
      <c r="K4" s="559" t="s">
        <v>1774</v>
      </c>
      <c r="L4" s="2712"/>
      <c r="M4" s="2713"/>
      <c r="N4" s="2713"/>
      <c r="O4" s="2713"/>
      <c r="P4" s="3727" t="s">
        <v>1775</v>
      </c>
      <c r="Q4" s="3728"/>
      <c r="R4" s="3724" t="s">
        <v>1771</v>
      </c>
      <c r="S4" s="3725"/>
      <c r="T4" s="3724" t="s">
        <v>1772</v>
      </c>
      <c r="U4" s="3725"/>
      <c r="V4" s="3685" t="s">
        <v>1773</v>
      </c>
      <c r="W4" s="3685"/>
      <c r="X4" s="1352"/>
      <c r="Y4" s="3724" t="s">
        <v>1775</v>
      </c>
      <c r="Z4" s="3725"/>
      <c r="AA4" s="3723" t="s">
        <v>1771</v>
      </c>
      <c r="AB4" s="3651" t="s">
        <v>1772</v>
      </c>
      <c r="AC4" s="3723" t="s">
        <v>1773</v>
      </c>
    </row>
    <row r="5" spans="1:30" ht="15">
      <c r="A5" s="358"/>
      <c r="B5" s="359"/>
      <c r="C5" s="3661" t="s">
        <v>1673</v>
      </c>
      <c r="D5" s="3662"/>
      <c r="E5" s="3726" t="s">
        <v>1674</v>
      </c>
      <c r="F5" s="3660"/>
      <c r="G5" s="3661" t="s">
        <v>1675</v>
      </c>
      <c r="H5" s="3662"/>
      <c r="I5" s="3661" t="s">
        <v>1676</v>
      </c>
      <c r="J5" s="3662"/>
      <c r="K5" s="559"/>
      <c r="L5" s="2712"/>
      <c r="M5" s="2713"/>
      <c r="N5" s="2713"/>
      <c r="O5" s="2713"/>
      <c r="P5" s="3729"/>
      <c r="Q5" s="3679"/>
      <c r="R5" s="3657"/>
      <c r="S5" s="3658"/>
      <c r="T5" s="3657"/>
      <c r="U5" s="3658"/>
      <c r="V5" s="3685"/>
      <c r="W5" s="3685"/>
      <c r="X5" s="1352"/>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2"/>
      <c r="M6" s="2713"/>
      <c r="N6" s="2713"/>
      <c r="O6" s="2713"/>
      <c r="P6" s="3730"/>
      <c r="Q6" s="3681"/>
      <c r="R6" s="3657"/>
      <c r="S6" s="3658"/>
      <c r="T6" s="3682"/>
      <c r="U6" s="3683"/>
      <c r="V6" s="3685"/>
      <c r="W6" s="3685"/>
      <c r="X6" s="1352"/>
      <c r="Y6" s="3682"/>
      <c r="Z6" s="3683"/>
      <c r="AA6" s="3652"/>
      <c r="AB6" s="3652"/>
      <c r="AC6" s="3652"/>
    </row>
    <row r="7" spans="1:30" s="108" customFormat="1" ht="15.75" thickBot="1">
      <c r="A7" s="362" t="s">
        <v>1679</v>
      </c>
      <c r="B7" s="363"/>
      <c r="C7" s="364">
        <f>'数据-取费表'!B2</f>
        <v>45496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7"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6"/>
      <c r="M10" s="2717"/>
      <c r="N10" s="2717"/>
      <c r="O10" s="2770"/>
      <c r="P10" s="3697"/>
      <c r="Q10" s="1340" t="str">
        <f t="shared" si="6"/>
        <v>土地使用年限（年）</v>
      </c>
      <c r="R10" s="699" t="s">
        <v>14</v>
      </c>
      <c r="S10" s="700">
        <f t="shared" si="0"/>
        <v>152</v>
      </c>
      <c r="T10" s="699" t="s">
        <v>14</v>
      </c>
      <c r="U10" s="700">
        <f t="shared" si="1"/>
        <v>152</v>
      </c>
      <c r="V10" s="699" t="s">
        <v>14</v>
      </c>
      <c r="W10" s="700">
        <f t="shared" si="2"/>
        <v>152</v>
      </c>
      <c r="X10" s="701"/>
      <c r="Y10" s="3618"/>
      <c r="Z10" s="52" t="str">
        <f t="shared" si="7"/>
        <v>土地使用年限（年）</v>
      </c>
      <c r="AA10" s="702">
        <f t="shared" si="3"/>
        <v>0.65789473684210531</v>
      </c>
      <c r="AB10" s="702">
        <f t="shared" si="4"/>
        <v>0.65789473684210531</v>
      </c>
      <c r="AC10" s="702">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7"/>
      <c r="Q11" s="1340"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7"/>
      <c r="Q12" s="1340"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7"/>
      <c r="Q14" s="1340">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0" t="s">
        <v>1691</v>
      </c>
      <c r="Q15" s="1349" t="str">
        <f t="shared" si="6"/>
        <v>居住社区成熟度</v>
      </c>
      <c r="R15" s="703" t="s">
        <v>14</v>
      </c>
      <c r="S15" s="704">
        <f t="shared" si="0"/>
        <v>100</v>
      </c>
      <c r="T15" s="703" t="s">
        <v>14</v>
      </c>
      <c r="U15" s="704">
        <f t="shared" si="1"/>
        <v>100</v>
      </c>
      <c r="V15" s="703" t="s">
        <v>14</v>
      </c>
      <c r="W15" s="704">
        <f t="shared" si="2"/>
        <v>100</v>
      </c>
      <c r="X15" s="1352"/>
      <c r="Y15" s="369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1"/>
      <c r="Q16" s="1349"/>
      <c r="R16" s="703"/>
      <c r="S16" s="704"/>
      <c r="T16" s="703"/>
      <c r="U16" s="704"/>
      <c r="V16" s="703"/>
      <c r="W16" s="704"/>
      <c r="X16" s="1352"/>
      <c r="Y16" s="3691"/>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1"/>
      <c r="Q17" s="1349" t="str">
        <f>B17</f>
        <v>商业繁华度</v>
      </c>
      <c r="R17" s="703" t="s">
        <v>14</v>
      </c>
      <c r="S17" s="704">
        <f>F17</f>
        <v>100</v>
      </c>
      <c r="T17" s="703" t="s">
        <v>14</v>
      </c>
      <c r="U17" s="704">
        <f>H17</f>
        <v>100</v>
      </c>
      <c r="V17" s="703" t="s">
        <v>14</v>
      </c>
      <c r="W17" s="704">
        <f>J17</f>
        <v>100</v>
      </c>
      <c r="X17" s="1352"/>
      <c r="Y17" s="369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1"/>
      <c r="Q18" s="1349"/>
      <c r="R18" s="703"/>
      <c r="S18" s="704"/>
      <c r="T18" s="703"/>
      <c r="U18" s="704"/>
      <c r="V18" s="703"/>
      <c r="W18" s="704"/>
      <c r="X18" s="1352"/>
      <c r="Y18" s="3691"/>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1"/>
      <c r="Q19" s="1349" t="str">
        <f>B19</f>
        <v>办公集聚程度</v>
      </c>
      <c r="R19" s="703" t="s">
        <v>14</v>
      </c>
      <c r="S19" s="704">
        <f>F19</f>
        <v>100</v>
      </c>
      <c r="T19" s="703" t="s">
        <v>14</v>
      </c>
      <c r="U19" s="704">
        <f>H19</f>
        <v>100</v>
      </c>
      <c r="V19" s="703" t="s">
        <v>14</v>
      </c>
      <c r="W19" s="704">
        <f>J19</f>
        <v>100</v>
      </c>
      <c r="X19" s="1352"/>
      <c r="Y19" s="369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1"/>
      <c r="Q20" s="1349"/>
      <c r="R20" s="703"/>
      <c r="S20" s="704"/>
      <c r="T20" s="703"/>
      <c r="U20" s="704"/>
      <c r="V20" s="703"/>
      <c r="W20" s="704"/>
      <c r="X20" s="1352"/>
      <c r="Y20" s="3691"/>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1"/>
      <c r="Q21" s="1349" t="str">
        <f>B21</f>
        <v>交通便捷度</v>
      </c>
      <c r="R21" s="703" t="s">
        <v>14</v>
      </c>
      <c r="S21" s="704">
        <f>F21</f>
        <v>100</v>
      </c>
      <c r="T21" s="703" t="s">
        <v>14</v>
      </c>
      <c r="U21" s="704">
        <f>H21</f>
        <v>100</v>
      </c>
      <c r="V21" s="703" t="s">
        <v>14</v>
      </c>
      <c r="W21" s="704">
        <f>J21</f>
        <v>100</v>
      </c>
      <c r="X21" s="1352"/>
      <c r="Y21" s="369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1"/>
      <c r="Q22" s="1349"/>
      <c r="R22" s="703"/>
      <c r="S22" s="704"/>
      <c r="T22" s="703"/>
      <c r="U22" s="704"/>
      <c r="V22" s="703"/>
      <c r="W22" s="704"/>
      <c r="X22" s="1352"/>
      <c r="Y22" s="3691"/>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1"/>
      <c r="Q23" s="1349" t="str">
        <f t="shared" ref="Q23:Q37" si="8">B23</f>
        <v>区域土地利用方向</v>
      </c>
      <c r="R23" s="703" t="s">
        <v>14</v>
      </c>
      <c r="S23" s="704">
        <f>F23</f>
        <v>100</v>
      </c>
      <c r="T23" s="703" t="s">
        <v>14</v>
      </c>
      <c r="U23" s="704">
        <f>H23</f>
        <v>100</v>
      </c>
      <c r="V23" s="703" t="s">
        <v>14</v>
      </c>
      <c r="W23" s="704">
        <f>J23</f>
        <v>100</v>
      </c>
      <c r="X23" s="1352"/>
      <c r="Y23" s="369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1"/>
      <c r="Q24" s="1349"/>
      <c r="R24" s="703"/>
      <c r="S24" s="704"/>
      <c r="T24" s="703"/>
      <c r="U24" s="704"/>
      <c r="V24" s="703"/>
      <c r="W24" s="704"/>
      <c r="X24" s="1352"/>
      <c r="Y24" s="3691"/>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1"/>
      <c r="Q25" s="1349" t="str">
        <f t="shared" si="8"/>
        <v>自然及人文环境状况</v>
      </c>
      <c r="R25" s="703" t="s">
        <v>14</v>
      </c>
      <c r="S25" s="704">
        <f>F25</f>
        <v>100</v>
      </c>
      <c r="T25" s="703" t="s">
        <v>14</v>
      </c>
      <c r="U25" s="704">
        <f>H25</f>
        <v>100</v>
      </c>
      <c r="V25" s="703" t="s">
        <v>14</v>
      </c>
      <c r="W25" s="704">
        <f>J25</f>
        <v>100</v>
      </c>
      <c r="X25" s="1352"/>
      <c r="Y25" s="369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1"/>
      <c r="Q26" s="1349"/>
      <c r="R26" s="703"/>
      <c r="S26" s="704"/>
      <c r="T26" s="703"/>
      <c r="U26" s="704"/>
      <c r="V26" s="703"/>
      <c r="W26" s="704"/>
      <c r="X26" s="1352"/>
      <c r="Y26" s="3691"/>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1"/>
      <c r="Q27" s="1340" t="str">
        <f t="shared" si="8"/>
        <v>公共配套设施</v>
      </c>
      <c r="R27" s="699" t="s">
        <v>14</v>
      </c>
      <c r="S27" s="700">
        <f>F27</f>
        <v>100</v>
      </c>
      <c r="T27" s="699" t="s">
        <v>14</v>
      </c>
      <c r="U27" s="700">
        <f>H27</f>
        <v>100</v>
      </c>
      <c r="V27" s="699" t="s">
        <v>14</v>
      </c>
      <c r="W27" s="700">
        <f>J27</f>
        <v>100</v>
      </c>
      <c r="X27" s="701"/>
      <c r="Y27" s="3691"/>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1"/>
      <c r="Q28" s="1340"/>
      <c r="R28" s="699"/>
      <c r="S28" s="700"/>
      <c r="T28" s="699"/>
      <c r="U28" s="700"/>
      <c r="V28" s="699"/>
      <c r="W28" s="700"/>
      <c r="X28" s="701"/>
      <c r="Y28" s="3691"/>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1"/>
      <c r="Q29" s="1340" t="str">
        <f t="shared" ref="Q29" si="9">B29</f>
        <v>基础设施水平</v>
      </c>
      <c r="R29" s="699" t="s">
        <v>14</v>
      </c>
      <c r="S29" s="700">
        <f>F29</f>
        <v>100</v>
      </c>
      <c r="T29" s="699" t="s">
        <v>14</v>
      </c>
      <c r="U29" s="700">
        <f>H29</f>
        <v>100</v>
      </c>
      <c r="V29" s="699" t="s">
        <v>14</v>
      </c>
      <c r="W29" s="700">
        <f>J29</f>
        <v>100</v>
      </c>
      <c r="X29" s="701"/>
      <c r="Y29" s="3691"/>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1"/>
      <c r="Q30" s="1340"/>
      <c r="R30" s="699"/>
      <c r="S30" s="700"/>
      <c r="T30" s="699"/>
      <c r="U30" s="700"/>
      <c r="V30" s="699"/>
      <c r="W30" s="700"/>
      <c r="X30" s="701"/>
      <c r="Y30" s="3691"/>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1"/>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1"/>
      <c r="Q32" s="1349" t="str">
        <f t="shared" si="8"/>
        <v>毗邻道路的类型与等级</v>
      </c>
      <c r="R32" s="703" t="s">
        <v>14</v>
      </c>
      <c r="S32" s="704">
        <f t="shared" si="10"/>
        <v>100</v>
      </c>
      <c r="T32" s="703" t="s">
        <v>14</v>
      </c>
      <c r="U32" s="704">
        <f t="shared" si="11"/>
        <v>100</v>
      </c>
      <c r="V32" s="703" t="s">
        <v>14</v>
      </c>
      <c r="W32" s="704">
        <f t="shared" si="12"/>
        <v>100</v>
      </c>
      <c r="X32" s="1352"/>
      <c r="Y32" s="369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1"/>
      <c r="Q33" s="1349"/>
      <c r="R33" s="703"/>
      <c r="S33" s="704"/>
      <c r="T33" s="703"/>
      <c r="U33" s="704"/>
      <c r="V33" s="703"/>
      <c r="W33" s="704"/>
      <c r="X33" s="1352"/>
      <c r="Y33" s="3691"/>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1"/>
      <c r="Q34" s="1349" t="str">
        <f t="shared" si="8"/>
        <v>土地级别</v>
      </c>
      <c r="R34" s="703" t="s">
        <v>14</v>
      </c>
      <c r="S34" s="704">
        <f t="shared" si="10"/>
        <v>100</v>
      </c>
      <c r="T34" s="703" t="s">
        <v>14</v>
      </c>
      <c r="U34" s="704">
        <f t="shared" si="11"/>
        <v>100</v>
      </c>
      <c r="V34" s="703" t="s">
        <v>14</v>
      </c>
      <c r="W34" s="704">
        <f t="shared" si="12"/>
        <v>100</v>
      </c>
      <c r="X34" s="1352"/>
      <c r="Y34" s="369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1"/>
      <c r="Q35" s="1349">
        <f t="shared" si="8"/>
        <v>111</v>
      </c>
      <c r="R35" s="703" t="s">
        <v>14</v>
      </c>
      <c r="S35" s="704">
        <f t="shared" si="10"/>
        <v>100</v>
      </c>
      <c r="T35" s="703" t="s">
        <v>14</v>
      </c>
      <c r="U35" s="704">
        <f t="shared" si="11"/>
        <v>100</v>
      </c>
      <c r="V35" s="703" t="s">
        <v>14</v>
      </c>
      <c r="W35" s="704">
        <f t="shared" si="12"/>
        <v>100</v>
      </c>
      <c r="X35" s="1352"/>
      <c r="Y35" s="369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4" t="s">
        <v>1696</v>
      </c>
      <c r="Q36" s="1349">
        <f t="shared" si="8"/>
        <v>111</v>
      </c>
      <c r="R36" s="703" t="s">
        <v>14</v>
      </c>
      <c r="S36" s="704">
        <f t="shared" si="10"/>
        <v>100</v>
      </c>
      <c r="T36" s="703" t="s">
        <v>14</v>
      </c>
      <c r="U36" s="704">
        <f t="shared" si="11"/>
        <v>100</v>
      </c>
      <c r="V36" s="703" t="s">
        <v>14</v>
      </c>
      <c r="W36" s="704">
        <f t="shared" si="12"/>
        <v>100</v>
      </c>
      <c r="X36" s="1352"/>
      <c r="Y36" s="3695"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5"/>
      <c r="Q37" s="1349">
        <f t="shared" si="8"/>
        <v>111</v>
      </c>
      <c r="R37" s="706" t="s">
        <v>14</v>
      </c>
      <c r="S37" s="707">
        <f t="shared" si="10"/>
        <v>100</v>
      </c>
      <c r="T37" s="706" t="s">
        <v>14</v>
      </c>
      <c r="U37" s="707">
        <f t="shared" si="11"/>
        <v>100</v>
      </c>
      <c r="V37" s="706" t="s">
        <v>14</v>
      </c>
      <c r="W37" s="707">
        <f t="shared" si="12"/>
        <v>100</v>
      </c>
      <c r="X37" s="708"/>
      <c r="Y37" s="3695"/>
      <c r="Z37" s="709">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5"/>
      <c r="Q38" s="1349" t="str">
        <f>B38</f>
        <v>宗地面积</v>
      </c>
      <c r="R38" s="703" t="s">
        <v>14</v>
      </c>
      <c r="S38" s="704" t="e">
        <f t="shared" si="10"/>
        <v>#N/A</v>
      </c>
      <c r="T38" s="703" t="s">
        <v>14</v>
      </c>
      <c r="U38" s="704" t="e">
        <f t="shared" si="11"/>
        <v>#N/A</v>
      </c>
      <c r="V38" s="703" t="s">
        <v>14</v>
      </c>
      <c r="W38" s="704" t="e">
        <f t="shared" si="12"/>
        <v>#N/A</v>
      </c>
      <c r="X38" s="1352"/>
      <c r="Y38" s="369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5"/>
      <c r="Q39" s="1349" t="str">
        <f t="shared" ref="Q39:Q45" si="14">B39</f>
        <v>宗地形状</v>
      </c>
      <c r="R39" s="703" t="s">
        <v>14</v>
      </c>
      <c r="S39" s="704">
        <f t="shared" si="10"/>
        <v>100</v>
      </c>
      <c r="T39" s="703" t="s">
        <v>14</v>
      </c>
      <c r="U39" s="704">
        <f t="shared" si="11"/>
        <v>100</v>
      </c>
      <c r="V39" s="703" t="s">
        <v>14</v>
      </c>
      <c r="W39" s="704">
        <f t="shared" si="12"/>
        <v>100</v>
      </c>
      <c r="X39" s="1352"/>
      <c r="Y39" s="369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5"/>
      <c r="Q40" s="1349" t="str">
        <f t="shared" si="14"/>
        <v>临街宽度及深度</v>
      </c>
      <c r="R40" s="703" t="s">
        <v>14</v>
      </c>
      <c r="S40" s="704">
        <f t="shared" si="10"/>
        <v>100</v>
      </c>
      <c r="T40" s="703" t="s">
        <v>14</v>
      </c>
      <c r="U40" s="704">
        <f t="shared" si="11"/>
        <v>100</v>
      </c>
      <c r="V40" s="703" t="s">
        <v>14</v>
      </c>
      <c r="W40" s="704">
        <f t="shared" si="12"/>
        <v>100</v>
      </c>
      <c r="X40" s="1352"/>
      <c r="Y40" s="3695"/>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5"/>
      <c r="Q41" s="1349" t="str">
        <f t="shared" si="14"/>
        <v>宗地开发程度</v>
      </c>
      <c r="R41" s="699" t="s">
        <v>14</v>
      </c>
      <c r="S41" s="700">
        <f t="shared" si="10"/>
        <v>100</v>
      </c>
      <c r="T41" s="699" t="s">
        <v>14</v>
      </c>
      <c r="U41" s="700">
        <f t="shared" si="11"/>
        <v>100</v>
      </c>
      <c r="V41" s="699" t="s">
        <v>14</v>
      </c>
      <c r="W41" s="700">
        <f t="shared" si="12"/>
        <v>100</v>
      </c>
      <c r="X41" s="701"/>
      <c r="Y41" s="3695"/>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5" t="s">
        <v>1696</v>
      </c>
      <c r="Q42" s="1349" t="str">
        <f t="shared" si="14"/>
        <v>工程地质条件</v>
      </c>
      <c r="R42" s="703" t="s">
        <v>14</v>
      </c>
      <c r="S42" s="704">
        <f t="shared" si="10"/>
        <v>100</v>
      </c>
      <c r="T42" s="703" t="s">
        <v>14</v>
      </c>
      <c r="U42" s="704">
        <f t="shared" si="11"/>
        <v>100</v>
      </c>
      <c r="V42" s="703" t="s">
        <v>14</v>
      </c>
      <c r="W42" s="704">
        <f t="shared" si="12"/>
        <v>100</v>
      </c>
      <c r="X42" s="1352"/>
      <c r="Y42" s="3695"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5"/>
      <c r="Q43" s="1349">
        <f t="shared" si="14"/>
        <v>111</v>
      </c>
      <c r="R43" s="703" t="s">
        <v>14</v>
      </c>
      <c r="S43" s="704">
        <f t="shared" si="10"/>
        <v>100</v>
      </c>
      <c r="T43" s="703" t="s">
        <v>14</v>
      </c>
      <c r="U43" s="704">
        <f t="shared" si="11"/>
        <v>100</v>
      </c>
      <c r="V43" s="703" t="s">
        <v>14</v>
      </c>
      <c r="W43" s="704">
        <f t="shared" si="12"/>
        <v>100</v>
      </c>
      <c r="X43" s="1352"/>
      <c r="Y43" s="369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5"/>
      <c r="Q44" s="1349">
        <f t="shared" si="14"/>
        <v>111</v>
      </c>
      <c r="R44" s="703" t="s">
        <v>14</v>
      </c>
      <c r="S44" s="704">
        <f t="shared" si="10"/>
        <v>100</v>
      </c>
      <c r="T44" s="703" t="s">
        <v>14</v>
      </c>
      <c r="U44" s="704">
        <f t="shared" si="11"/>
        <v>100</v>
      </c>
      <c r="V44" s="703" t="s">
        <v>14</v>
      </c>
      <c r="W44" s="704">
        <f t="shared" si="12"/>
        <v>100</v>
      </c>
      <c r="X44" s="1352"/>
      <c r="Y44" s="3695"/>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5"/>
      <c r="Q45" s="1349">
        <f t="shared" si="14"/>
        <v>111</v>
      </c>
      <c r="R45" s="706" t="s">
        <v>14</v>
      </c>
      <c r="S45" s="707">
        <f t="shared" si="10"/>
        <v>100</v>
      </c>
      <c r="T45" s="706" t="s">
        <v>14</v>
      </c>
      <c r="U45" s="707">
        <f t="shared" si="11"/>
        <v>100</v>
      </c>
      <c r="V45" s="706" t="s">
        <v>14</v>
      </c>
      <c r="W45" s="707">
        <f t="shared" si="12"/>
        <v>100</v>
      </c>
      <c r="X45" s="708"/>
      <c r="Y45" s="3695"/>
      <c r="Z45" s="709">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2"/>
      <c r="L46" s="2721"/>
      <c r="M46" s="2722"/>
      <c r="N46" s="2713"/>
      <c r="O46" s="2722"/>
      <c r="P46" s="3697" t="str">
        <f>A46</f>
        <v>成交单价</v>
      </c>
      <c r="Q46" s="3697"/>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97" t="str">
        <f>A47</f>
        <v>比较价值（元/平方米）</v>
      </c>
      <c r="Q47" s="3697"/>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31" t="str">
        <f>A48</f>
        <v>估价对象XX用房的比较价值（楼面单价，元/平方米）</v>
      </c>
      <c r="Q48" s="3732"/>
      <c r="R48" s="3737" t="e">
        <f>ROUND(IF(D47="简单平均",AVERAGE(R47:W47),R47*F47+T47*H47+V47*J47),0)</f>
        <v>#DIV/0!</v>
      </c>
      <c r="S48" s="3737"/>
      <c r="T48" s="3737"/>
      <c r="U48" s="3737"/>
      <c r="V48" s="3737"/>
      <c r="W48" s="3737"/>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72" t="s">
        <v>1887</v>
      </c>
      <c r="H55" s="3738"/>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421.62</v>
      </c>
      <c r="F56" s="884" t="e">
        <f t="shared" ref="F56:F64" si="15">ROUND(B56*E56/10000,0)</f>
        <v>#DIV/0!</v>
      </c>
      <c r="G56" s="3668"/>
      <c r="H56" s="3697"/>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421.62</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2"/>
      <c r="M4" s="2713"/>
      <c r="N4" s="2713"/>
      <c r="O4" s="2713"/>
      <c r="P4" s="3727" t="s">
        <v>1775</v>
      </c>
      <c r="Q4" s="3728"/>
      <c r="R4" s="3724" t="s">
        <v>1771</v>
      </c>
      <c r="S4" s="3725"/>
      <c r="T4" s="3724" t="s">
        <v>1772</v>
      </c>
      <c r="U4" s="3725"/>
      <c r="V4" s="3685" t="s">
        <v>1773</v>
      </c>
      <c r="W4" s="3685"/>
      <c r="X4" s="1352"/>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2"/>
      <c r="M5" s="2713"/>
      <c r="N5" s="2713"/>
      <c r="O5" s="2713"/>
      <c r="P5" s="3729"/>
      <c r="Q5" s="3679"/>
      <c r="R5" s="3657"/>
      <c r="S5" s="3658"/>
      <c r="T5" s="3657"/>
      <c r="U5" s="3658"/>
      <c r="V5" s="3685"/>
      <c r="W5" s="3685"/>
      <c r="X5" s="1352"/>
      <c r="Y5" s="3657"/>
      <c r="Z5" s="3658"/>
      <c r="AA5" s="3651"/>
      <c r="AB5" s="3651"/>
      <c r="AC5" s="3651"/>
    </row>
    <row r="6" spans="1:29" ht="15.75" thickBot="1">
      <c r="A6" s="360"/>
      <c r="B6" s="361"/>
      <c r="C6" s="3739" t="s">
        <v>1919</v>
      </c>
      <c r="D6" s="3740"/>
      <c r="E6" s="3741" t="s">
        <v>1919</v>
      </c>
      <c r="F6" s="3742"/>
      <c r="G6" s="3739" t="s">
        <v>1919</v>
      </c>
      <c r="H6" s="3740"/>
      <c r="I6" s="3739" t="s">
        <v>1919</v>
      </c>
      <c r="J6" s="3740"/>
      <c r="K6" s="559" t="s">
        <v>1678</v>
      </c>
      <c r="L6" s="2712"/>
      <c r="M6" s="2713"/>
      <c r="N6" s="2713"/>
      <c r="O6" s="2713"/>
      <c r="P6" s="3730"/>
      <c r="Q6" s="3681"/>
      <c r="R6" s="3657"/>
      <c r="S6" s="3658"/>
      <c r="T6" s="3682"/>
      <c r="U6" s="3683"/>
      <c r="V6" s="3685"/>
      <c r="W6" s="3685"/>
      <c r="X6" s="1352"/>
      <c r="Y6" s="3682"/>
      <c r="Z6" s="3683"/>
      <c r="AA6" s="3652"/>
      <c r="AB6" s="3652"/>
      <c r="AC6" s="3652"/>
    </row>
    <row r="7" spans="1:29" s="108" customFormat="1" ht="15.75" thickBot="1">
      <c r="A7" s="362" t="s">
        <v>1679</v>
      </c>
      <c r="B7" s="363"/>
      <c r="C7" s="364">
        <f>'数据-取费表'!B2</f>
        <v>45496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7" t="s">
        <v>1686</v>
      </c>
      <c r="Q9" s="1340"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6"/>
      <c r="M10" s="2717"/>
      <c r="N10" s="2717"/>
      <c r="O10" s="2770"/>
      <c r="P10" s="3697"/>
      <c r="Q10" s="1340" t="str">
        <f t="shared" si="6"/>
        <v>土地使用年限（年）</v>
      </c>
      <c r="R10" s="699" t="s">
        <v>14</v>
      </c>
      <c r="S10" s="700">
        <f t="shared" si="0"/>
        <v>152</v>
      </c>
      <c r="T10" s="699" t="s">
        <v>14</v>
      </c>
      <c r="U10" s="700">
        <f t="shared" si="1"/>
        <v>152</v>
      </c>
      <c r="V10" s="699" t="s">
        <v>14</v>
      </c>
      <c r="W10" s="700">
        <f t="shared" si="2"/>
        <v>152</v>
      </c>
      <c r="X10" s="701"/>
      <c r="Y10" s="3618"/>
      <c r="Z10" s="52" t="str">
        <f t="shared" si="7"/>
        <v>土地使用年限（年）</v>
      </c>
      <c r="AA10" s="702">
        <f t="shared" si="3"/>
        <v>0.65789473684210531</v>
      </c>
      <c r="AB10" s="702">
        <f t="shared" si="4"/>
        <v>0.65789473684210531</v>
      </c>
      <c r="AC10" s="702">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7"/>
      <c r="Q11" s="1340"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7"/>
      <c r="Q12" s="1340">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7"/>
      <c r="Q13" s="1340">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7"/>
      <c r="Q14" s="1340">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0" t="s">
        <v>1691</v>
      </c>
      <c r="Q15" s="1349" t="str">
        <f t="shared" si="6"/>
        <v>产业集聚程度</v>
      </c>
      <c r="R15" s="703" t="s">
        <v>14</v>
      </c>
      <c r="S15" s="704">
        <f t="shared" si="0"/>
        <v>100</v>
      </c>
      <c r="T15" s="703" t="s">
        <v>14</v>
      </c>
      <c r="U15" s="704">
        <f t="shared" si="1"/>
        <v>100</v>
      </c>
      <c r="V15" s="703" t="s">
        <v>14</v>
      </c>
      <c r="W15" s="704">
        <f t="shared" si="2"/>
        <v>100</v>
      </c>
      <c r="X15" s="1352"/>
      <c r="Y15" s="3690"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1"/>
      <c r="Q16" s="1349"/>
      <c r="R16" s="703"/>
      <c r="S16" s="704"/>
      <c r="T16" s="703"/>
      <c r="U16" s="704"/>
      <c r="V16" s="703"/>
      <c r="W16" s="704"/>
      <c r="X16" s="1352"/>
      <c r="Y16" s="3691"/>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1"/>
      <c r="Q17" s="1349" t="str">
        <f>B17</f>
        <v>交通便捷度</v>
      </c>
      <c r="R17" s="703" t="s">
        <v>14</v>
      </c>
      <c r="S17" s="704">
        <f>F17</f>
        <v>100</v>
      </c>
      <c r="T17" s="703" t="s">
        <v>14</v>
      </c>
      <c r="U17" s="704">
        <f>H17</f>
        <v>100</v>
      </c>
      <c r="V17" s="703" t="s">
        <v>14</v>
      </c>
      <c r="W17" s="704">
        <f>J17</f>
        <v>100</v>
      </c>
      <c r="X17" s="1352"/>
      <c r="Y17" s="3691"/>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1"/>
      <c r="Q18" s="1349"/>
      <c r="R18" s="703"/>
      <c r="S18" s="704"/>
      <c r="T18" s="703"/>
      <c r="U18" s="704"/>
      <c r="V18" s="703"/>
      <c r="W18" s="704"/>
      <c r="X18" s="1352"/>
      <c r="Y18" s="3691"/>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1"/>
      <c r="Q19" s="1349" t="str">
        <f t="shared" ref="Q19:Q33" si="8">B19</f>
        <v>区域土地利用方向</v>
      </c>
      <c r="R19" s="703" t="s">
        <v>14</v>
      </c>
      <c r="S19" s="704">
        <f>F19</f>
        <v>100</v>
      </c>
      <c r="T19" s="703" t="s">
        <v>14</v>
      </c>
      <c r="U19" s="704">
        <f>H19</f>
        <v>100</v>
      </c>
      <c r="V19" s="703" t="s">
        <v>14</v>
      </c>
      <c r="W19" s="704">
        <f>J19</f>
        <v>100</v>
      </c>
      <c r="X19" s="1352"/>
      <c r="Y19" s="3691"/>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1"/>
      <c r="Q20" s="1349"/>
      <c r="R20" s="703"/>
      <c r="S20" s="704"/>
      <c r="T20" s="703"/>
      <c r="U20" s="704"/>
      <c r="V20" s="703"/>
      <c r="W20" s="704"/>
      <c r="X20" s="1352"/>
      <c r="Y20" s="3691"/>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1"/>
      <c r="Q21" s="1349" t="str">
        <f t="shared" si="8"/>
        <v>环境状况</v>
      </c>
      <c r="R21" s="703" t="s">
        <v>14</v>
      </c>
      <c r="S21" s="704">
        <f>F21</f>
        <v>100</v>
      </c>
      <c r="T21" s="703" t="s">
        <v>14</v>
      </c>
      <c r="U21" s="704">
        <f>H21</f>
        <v>100</v>
      </c>
      <c r="V21" s="703" t="s">
        <v>14</v>
      </c>
      <c r="W21" s="704">
        <f>J21</f>
        <v>100</v>
      </c>
      <c r="X21" s="1352"/>
      <c r="Y21" s="3691"/>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1"/>
      <c r="Q22" s="1349"/>
      <c r="R22" s="703"/>
      <c r="S22" s="704"/>
      <c r="T22" s="703"/>
      <c r="U22" s="704"/>
      <c r="V22" s="703"/>
      <c r="W22" s="704"/>
      <c r="X22" s="1352"/>
      <c r="Y22" s="3691"/>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1"/>
      <c r="Q23" s="1340" t="str">
        <f t="shared" si="8"/>
        <v>公共配套设施</v>
      </c>
      <c r="R23" s="699" t="s">
        <v>14</v>
      </c>
      <c r="S23" s="700">
        <f>F23</f>
        <v>100</v>
      </c>
      <c r="T23" s="699" t="s">
        <v>14</v>
      </c>
      <c r="U23" s="700">
        <f>H23</f>
        <v>100</v>
      </c>
      <c r="V23" s="699" t="s">
        <v>14</v>
      </c>
      <c r="W23" s="700">
        <f>J23</f>
        <v>100</v>
      </c>
      <c r="X23" s="701"/>
      <c r="Y23" s="3691"/>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1"/>
      <c r="Q24" s="1340"/>
      <c r="R24" s="699"/>
      <c r="S24" s="700"/>
      <c r="T24" s="699"/>
      <c r="U24" s="700"/>
      <c r="V24" s="699"/>
      <c r="W24" s="700"/>
      <c r="X24" s="701"/>
      <c r="Y24" s="3691"/>
      <c r="Z24" s="52"/>
      <c r="AA24" s="702">
        <v>1</v>
      </c>
      <c r="AB24" s="702">
        <v>1</v>
      </c>
      <c r="AC24" s="702">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1"/>
      <c r="Q25" s="1340" t="str">
        <f t="shared" ref="Q25" si="9">B25</f>
        <v>基础设施水平</v>
      </c>
      <c r="R25" s="699" t="s">
        <v>14</v>
      </c>
      <c r="S25" s="700">
        <f>F25</f>
        <v>100</v>
      </c>
      <c r="T25" s="699" t="s">
        <v>14</v>
      </c>
      <c r="U25" s="700">
        <f>H25</f>
        <v>100</v>
      </c>
      <c r="V25" s="699" t="s">
        <v>14</v>
      </c>
      <c r="W25" s="700">
        <f>J25</f>
        <v>100</v>
      </c>
      <c r="X25" s="701"/>
      <c r="Y25" s="3691"/>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1"/>
      <c r="Q26" s="1340"/>
      <c r="R26" s="699"/>
      <c r="S26" s="700"/>
      <c r="T26" s="699"/>
      <c r="U26" s="700"/>
      <c r="V26" s="699"/>
      <c r="W26" s="700"/>
      <c r="X26" s="701"/>
      <c r="Y26" s="369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1"/>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1"/>
      <c r="Q28" s="1349" t="str">
        <f t="shared" si="8"/>
        <v>毗邻道路的类型与等级</v>
      </c>
      <c r="R28" s="703" t="s">
        <v>14</v>
      </c>
      <c r="S28" s="704">
        <f t="shared" si="10"/>
        <v>100</v>
      </c>
      <c r="T28" s="703" t="s">
        <v>14</v>
      </c>
      <c r="U28" s="704">
        <f t="shared" si="11"/>
        <v>100</v>
      </c>
      <c r="V28" s="703" t="s">
        <v>14</v>
      </c>
      <c r="W28" s="704">
        <f t="shared" si="12"/>
        <v>100</v>
      </c>
      <c r="X28" s="1352"/>
      <c r="Y28" s="3691"/>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1"/>
      <c r="Q29" s="1349"/>
      <c r="R29" s="703"/>
      <c r="S29" s="704"/>
      <c r="T29" s="703"/>
      <c r="U29" s="704"/>
      <c r="V29" s="703"/>
      <c r="W29" s="704"/>
      <c r="X29" s="1352"/>
      <c r="Y29" s="3691"/>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1"/>
      <c r="Q30" s="1349" t="str">
        <f t="shared" si="8"/>
        <v>土地级别</v>
      </c>
      <c r="R30" s="703" t="s">
        <v>14</v>
      </c>
      <c r="S30" s="704">
        <f t="shared" si="10"/>
        <v>100</v>
      </c>
      <c r="T30" s="703" t="s">
        <v>14</v>
      </c>
      <c r="U30" s="704">
        <f t="shared" si="11"/>
        <v>100</v>
      </c>
      <c r="V30" s="703" t="s">
        <v>14</v>
      </c>
      <c r="W30" s="704">
        <f t="shared" si="12"/>
        <v>100</v>
      </c>
      <c r="X30" s="1352"/>
      <c r="Y30" s="3691"/>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1"/>
      <c r="Q31" s="1349">
        <f t="shared" si="8"/>
        <v>111</v>
      </c>
      <c r="R31" s="703" t="s">
        <v>14</v>
      </c>
      <c r="S31" s="704">
        <f t="shared" si="10"/>
        <v>100</v>
      </c>
      <c r="T31" s="703" t="s">
        <v>14</v>
      </c>
      <c r="U31" s="704">
        <f t="shared" si="11"/>
        <v>100</v>
      </c>
      <c r="V31" s="703" t="s">
        <v>14</v>
      </c>
      <c r="W31" s="704">
        <f t="shared" si="12"/>
        <v>100</v>
      </c>
      <c r="X31" s="1352"/>
      <c r="Y31" s="3691"/>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4" t="s">
        <v>1696</v>
      </c>
      <c r="Q32" s="1349">
        <f t="shared" si="8"/>
        <v>111</v>
      </c>
      <c r="R32" s="703" t="s">
        <v>14</v>
      </c>
      <c r="S32" s="704">
        <f t="shared" si="10"/>
        <v>100</v>
      </c>
      <c r="T32" s="703" t="s">
        <v>14</v>
      </c>
      <c r="U32" s="704">
        <f t="shared" si="11"/>
        <v>100</v>
      </c>
      <c r="V32" s="703" t="s">
        <v>14</v>
      </c>
      <c r="W32" s="704">
        <f t="shared" si="12"/>
        <v>100</v>
      </c>
      <c r="X32" s="1352"/>
      <c r="Y32" s="3695"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5"/>
      <c r="Q33" s="1349">
        <f t="shared" si="8"/>
        <v>111</v>
      </c>
      <c r="R33" s="706" t="s">
        <v>14</v>
      </c>
      <c r="S33" s="707">
        <f t="shared" si="10"/>
        <v>100</v>
      </c>
      <c r="T33" s="706" t="s">
        <v>14</v>
      </c>
      <c r="U33" s="707">
        <f t="shared" si="11"/>
        <v>100</v>
      </c>
      <c r="V33" s="706" t="s">
        <v>14</v>
      </c>
      <c r="W33" s="707">
        <f t="shared" si="12"/>
        <v>100</v>
      </c>
      <c r="X33" s="708"/>
      <c r="Y33" s="3695"/>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5"/>
      <c r="Q34" s="1349" t="str">
        <f>B34</f>
        <v>宗地面积</v>
      </c>
      <c r="R34" s="703" t="s">
        <v>14</v>
      </c>
      <c r="S34" s="704" t="e">
        <f t="shared" si="10"/>
        <v>#N/A</v>
      </c>
      <c r="T34" s="703" t="s">
        <v>14</v>
      </c>
      <c r="U34" s="704" t="e">
        <f t="shared" si="11"/>
        <v>#N/A</v>
      </c>
      <c r="V34" s="703" t="s">
        <v>14</v>
      </c>
      <c r="W34" s="704" t="e">
        <f t="shared" si="12"/>
        <v>#N/A</v>
      </c>
      <c r="X34" s="1352"/>
      <c r="Y34" s="369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5"/>
      <c r="Q35" s="1349" t="str">
        <f t="shared" ref="Q35:Q40" si="14">B35</f>
        <v>宗地形状</v>
      </c>
      <c r="R35" s="703" t="s">
        <v>14</v>
      </c>
      <c r="S35" s="704">
        <f t="shared" si="10"/>
        <v>100</v>
      </c>
      <c r="T35" s="703" t="s">
        <v>14</v>
      </c>
      <c r="U35" s="704">
        <f t="shared" si="11"/>
        <v>100</v>
      </c>
      <c r="V35" s="703" t="s">
        <v>14</v>
      </c>
      <c r="W35" s="704">
        <f t="shared" si="12"/>
        <v>100</v>
      </c>
      <c r="X35" s="1352"/>
      <c r="Y35" s="3695"/>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5"/>
      <c r="Q36" s="1349" t="str">
        <f t="shared" si="14"/>
        <v>宗地开发程度</v>
      </c>
      <c r="R36" s="699" t="s">
        <v>14</v>
      </c>
      <c r="S36" s="700">
        <f t="shared" si="10"/>
        <v>100</v>
      </c>
      <c r="T36" s="699" t="s">
        <v>14</v>
      </c>
      <c r="U36" s="700">
        <f t="shared" si="11"/>
        <v>100</v>
      </c>
      <c r="V36" s="699" t="s">
        <v>14</v>
      </c>
      <c r="W36" s="700">
        <f t="shared" si="12"/>
        <v>100</v>
      </c>
      <c r="X36" s="701"/>
      <c r="Y36" s="3695"/>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5" t="s">
        <v>1696</v>
      </c>
      <c r="Q37" s="1349" t="str">
        <f t="shared" si="14"/>
        <v>工程地质条件</v>
      </c>
      <c r="R37" s="703" t="s">
        <v>14</v>
      </c>
      <c r="S37" s="704">
        <f t="shared" si="10"/>
        <v>100</v>
      </c>
      <c r="T37" s="703" t="s">
        <v>14</v>
      </c>
      <c r="U37" s="704">
        <f t="shared" si="11"/>
        <v>100</v>
      </c>
      <c r="V37" s="703" t="s">
        <v>14</v>
      </c>
      <c r="W37" s="704">
        <f t="shared" si="12"/>
        <v>100</v>
      </c>
      <c r="X37" s="1352"/>
      <c r="Y37" s="3695"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5"/>
      <c r="Q38" s="1349">
        <f t="shared" si="14"/>
        <v>111</v>
      </c>
      <c r="R38" s="703" t="s">
        <v>14</v>
      </c>
      <c r="S38" s="704">
        <f t="shared" si="10"/>
        <v>100</v>
      </c>
      <c r="T38" s="703" t="s">
        <v>14</v>
      </c>
      <c r="U38" s="704">
        <f t="shared" si="11"/>
        <v>100</v>
      </c>
      <c r="V38" s="703" t="s">
        <v>14</v>
      </c>
      <c r="W38" s="704">
        <f t="shared" si="12"/>
        <v>100</v>
      </c>
      <c r="X38" s="1352"/>
      <c r="Y38" s="369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5"/>
      <c r="Q39" s="1349">
        <f t="shared" si="14"/>
        <v>111</v>
      </c>
      <c r="R39" s="703" t="s">
        <v>14</v>
      </c>
      <c r="S39" s="704">
        <f t="shared" si="10"/>
        <v>100</v>
      </c>
      <c r="T39" s="703" t="s">
        <v>14</v>
      </c>
      <c r="U39" s="704">
        <f t="shared" si="11"/>
        <v>100</v>
      </c>
      <c r="V39" s="703" t="s">
        <v>14</v>
      </c>
      <c r="W39" s="704">
        <f t="shared" si="12"/>
        <v>100</v>
      </c>
      <c r="X39" s="1352"/>
      <c r="Y39" s="3695"/>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5"/>
      <c r="Q40" s="1349">
        <f t="shared" si="14"/>
        <v>111</v>
      </c>
      <c r="R40" s="706" t="s">
        <v>14</v>
      </c>
      <c r="S40" s="707">
        <f t="shared" si="10"/>
        <v>100</v>
      </c>
      <c r="T40" s="706" t="s">
        <v>14</v>
      </c>
      <c r="U40" s="707">
        <f t="shared" si="11"/>
        <v>100</v>
      </c>
      <c r="V40" s="706" t="s">
        <v>14</v>
      </c>
      <c r="W40" s="707">
        <f t="shared" si="12"/>
        <v>100</v>
      </c>
      <c r="X40" s="708"/>
      <c r="Y40" s="3695"/>
      <c r="Z40" s="709">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2"/>
      <c r="L41" s="2721"/>
      <c r="M41" s="2713"/>
      <c r="N41" s="2713"/>
      <c r="O41" s="2722"/>
      <c r="P41" s="3697" t="str">
        <f>A41</f>
        <v>成交单价</v>
      </c>
      <c r="Q41" s="3697"/>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97" t="str">
        <f>A42</f>
        <v>比较价值（元/平方米）</v>
      </c>
      <c r="Q42" s="3697"/>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31" t="str">
        <f>A43</f>
        <v>估价对象XX用房的比较价值（楼面单价，元/平方米）</v>
      </c>
      <c r="Q43" s="3732"/>
      <c r="R43" s="3737" t="e">
        <f>ROUND(IF(D42="简单平均",AVERAGE(R42:W42),R42*F42+T42*H42+V42*J42),0)</f>
        <v>#DIV/0!</v>
      </c>
      <c r="S43" s="3737"/>
      <c r="T43" s="3737"/>
      <c r="U43" s="3737"/>
      <c r="V43" s="3737"/>
      <c r="W43" s="3737"/>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2" t="s">
        <v>1887</v>
      </c>
      <c r="H50" s="3738"/>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421.62</v>
      </c>
      <c r="F51" s="639" t="e">
        <f t="shared" ref="F51:F60" si="15">ROUND(B51*E51/10000,0)</f>
        <v>#DIV/0!</v>
      </c>
      <c r="G51" s="3668"/>
      <c r="H51" s="3697"/>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212.2</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6" t="s">
        <v>2084</v>
      </c>
      <c r="D1" s="3747"/>
      <c r="E1" s="3747"/>
      <c r="F1" s="3747"/>
      <c r="G1" s="3747"/>
      <c r="H1" s="3747"/>
      <c r="I1" s="3747"/>
      <c r="J1" s="3747"/>
      <c r="K1" s="3747"/>
      <c r="L1" s="3747"/>
      <c r="M1" s="3747"/>
      <c r="N1" s="3747"/>
      <c r="O1" s="3747"/>
      <c r="P1" s="3747"/>
      <c r="Q1" s="3747"/>
      <c r="R1" s="3747"/>
      <c r="S1" s="3748"/>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7"/>
      <c r="F19" s="1337"/>
      <c r="G19" s="1337"/>
      <c r="H19" s="1057"/>
      <c r="I19" s="159"/>
      <c r="J19" s="159"/>
      <c r="K19" s="159"/>
      <c r="L19" s="159"/>
      <c r="M19" s="159"/>
      <c r="N19" s="159"/>
      <c r="O19" s="159"/>
      <c r="P19" s="159"/>
      <c r="Q19" s="159"/>
      <c r="R19" s="716"/>
      <c r="S19" s="129"/>
    </row>
    <row r="20" spans="1:45" ht="16.5" thickBot="1">
      <c r="A20" s="660" t="s">
        <v>2096</v>
      </c>
      <c r="B20" s="294" t="e">
        <f ca="1">IF(D20="——",S22,S22-F20)</f>
        <v>#REF!</v>
      </c>
      <c r="C20" s="159"/>
      <c r="D20" s="2148"/>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892.35</v>
      </c>
      <c r="C22" s="3743" t="s">
        <v>27</v>
      </c>
      <c r="D22" s="3744"/>
      <c r="E22" s="3744"/>
      <c r="F22" s="3744"/>
      <c r="G22" s="3744"/>
      <c r="H22" s="3744"/>
      <c r="I22" s="3744"/>
      <c r="J22" s="3744"/>
      <c r="K22" s="3744"/>
      <c r="L22" s="3744"/>
      <c r="M22" s="3744"/>
      <c r="N22" s="3744"/>
      <c r="O22" s="3744"/>
      <c r="P22" s="3744"/>
      <c r="Q22" s="3745"/>
      <c r="R22" s="661">
        <f ca="1">ROUND(S22*10000/B22,0)</f>
        <v>22345</v>
      </c>
      <c r="S22" s="21">
        <f ca="1">SUM(S24:S10000)</f>
        <v>1994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303</v>
      </c>
      <c r="B24" s="663">
        <v>320.41000000000003</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22453</v>
      </c>
      <c r="S24" s="664">
        <f t="shared" ref="S24:S54" ca="1" si="11">ROUND(R24*B24/10000,0)</f>
        <v>719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v>304</v>
      </c>
      <c r="B25" s="54">
        <v>359.27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22453</v>
      </c>
      <c r="S25" s="316">
        <f t="shared" ca="1" si="11"/>
        <v>807</v>
      </c>
    </row>
    <row r="26" spans="1:45">
      <c r="A26" s="54">
        <v>305</v>
      </c>
      <c r="B26" s="54">
        <v>145.79</v>
      </c>
      <c r="C26" s="21">
        <f t="shared" ref="C26:C89" si="12">IF(B26="",1,(LOOKUP(B26,$3:$3,$4:$4)-LOOKUP($B$24,$3:$3,$4:$4)+100)/100)</f>
        <v>0.98</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22004</v>
      </c>
      <c r="S26" s="316">
        <f t="shared" ca="1" si="11"/>
        <v>321</v>
      </c>
    </row>
    <row r="27" spans="1:45">
      <c r="A27" s="54">
        <v>306</v>
      </c>
      <c r="B27" s="54">
        <v>66.88</v>
      </c>
      <c r="C27" s="21">
        <f t="shared" si="12"/>
        <v>0.98</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22004</v>
      </c>
      <c r="S27" s="316">
        <f t="shared" ca="1" si="11"/>
        <v>147</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c r="F3" s="2001"/>
      <c r="G3" s="750">
        <f>IF(F3="宗地容积率",'数据-汇总表'!I4,IF(F3="估价对象容积率",'数据-汇总表'!I6,'数据-汇总表'!I7))</f>
        <v>0</v>
      </c>
      <c r="H3" s="170" t="s">
        <v>1943</v>
      </c>
      <c r="I3" s="773"/>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56"/>
      <c r="B4" s="3757"/>
      <c r="C4" s="3757"/>
      <c r="D4" s="3758"/>
      <c r="E4" s="3758"/>
      <c r="F4" s="3758"/>
      <c r="G4" s="3758"/>
      <c r="H4" s="3758"/>
      <c r="I4" s="3758"/>
      <c r="J4" s="3759"/>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t="e">
        <f>ROUND(IF(E2="商业",C6*C7*C17+C20,(IF(E2="住宅",C6*C13*C17+C20,IF(E2="办公",C6*C12*C17+C20,C6+C20)))),0)</f>
        <v>#DIV/0!</v>
      </c>
      <c r="D5" s="1336" t="e">
        <f>ROUND(C6*C17+C20,0)</f>
        <v>#DIV/0!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3240</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6"/>
      <c r="B8" s="170" t="s">
        <v>1957</v>
      </c>
      <c r="C8" s="2023"/>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53" t="s">
        <v>1960</v>
      </c>
      <c r="X8" s="375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5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5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3245</v>
      </c>
      <c r="B13" s="2031" t="s">
        <v>1982</v>
      </c>
      <c r="C13" s="753">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3247</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0" t="s">
        <v>3257</v>
      </c>
      <c r="B20" s="167" t="s">
        <v>1994</v>
      </c>
      <c r="C20" s="3322" t="e">
        <f>ROUND(IF(F21="与级别开发程度一致",0,(G21-E21)/C21),0)</f>
        <v>#DIV/0!</v>
      </c>
      <c r="D20" s="3338" t="s">
        <v>1998</v>
      </c>
      <c r="E20" s="3339"/>
      <c r="F20" s="3766" t="s">
        <v>1995</v>
      </c>
      <c r="G20" s="3767"/>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5" thickBot="1">
      <c r="A21" s="3761"/>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1" t="s">
        <v>2002</v>
      </c>
      <c r="E23" s="759">
        <v>44197</v>
      </c>
      <c r="F23" s="2051" t="s">
        <v>2003</v>
      </c>
      <c r="G23" s="760">
        <f>'数据-取费表'!B2</f>
        <v>45496</v>
      </c>
      <c r="H23" s="3340" t="s">
        <v>3259</v>
      </c>
      <c r="I23" s="3341" t="str">
        <f>IF(H23="季度增幅（自定义）",SUMIF(N25:N28,E2,O25:O28),"")</f>
        <v/>
      </c>
      <c r="J23" s="3443" t="s">
        <v>3258</v>
      </c>
      <c r="K23" s="1122"/>
      <c r="L23" s="2052" t="s">
        <v>2004</v>
      </c>
      <c r="M23" s="1325">
        <f>ROUND(SUMIF(地价!B2:G2,E2,地价!B16:G16),0)</f>
        <v>0</v>
      </c>
      <c r="N23" s="2053" t="s">
        <v>2005</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2">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3338</v>
      </c>
      <c r="C25" s="769">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3260</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9">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3265</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4"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1" t="e">
        <f>ROUND(C33*D33/10000,0)</f>
        <v>#DIV/0!</v>
      </c>
      <c r="F33" s="3343" t="s">
        <v>3263</v>
      </c>
      <c r="G33" s="2096"/>
      <c r="H33" s="2096"/>
      <c r="I33" s="2096"/>
      <c r="J33" s="2097"/>
      <c r="K33" s="1116"/>
      <c r="L33" s="3346" t="s">
        <v>3266</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6"/>
      <c r="L34" s="3346" t="s">
        <v>3267</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3264</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3268</v>
      </c>
      <c r="L36" s="3444">
        <f>'数据-取费表'!B40</f>
        <v>3.3500000000000002E-2</v>
      </c>
      <c r="M36" s="3355">
        <f>ROUND($L$36*(1+M31),3)</f>
        <v>4.2000000000000003E-2</v>
      </c>
      <c r="N36" s="3355">
        <f>ROUND($L$36*(1+N31),3)</f>
        <v>0.04</v>
      </c>
      <c r="O36" s="3355">
        <f>ROUND($L$36*(1+O31),3)</f>
        <v>3.9E-2</v>
      </c>
      <c r="P36" s="3355">
        <f>ROUND($L$36*(1+P31),3)</f>
        <v>3.6999999999999998E-2</v>
      </c>
      <c r="Q36" s="3355">
        <f>ROUND($L$36*(1+Q31),3)</f>
        <v>3.9E-2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4"/>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3269</v>
      </c>
      <c r="L37" s="3354">
        <f>L36+K38</f>
        <v>3.85E-2</v>
      </c>
      <c r="M37" s="3355">
        <f>ROUND($L$37*(1+M31),3)</f>
        <v>4.8000000000000001E-2</v>
      </c>
      <c r="N37" s="3355">
        <f t="shared" ref="N37:Q37" si="3">ROUND($L$37*(1+N31),3)</f>
        <v>4.5999999999999999E-2</v>
      </c>
      <c r="O37" s="3355">
        <f t="shared" si="3"/>
        <v>4.3999999999999997E-2</v>
      </c>
      <c r="P37" s="3355">
        <f t="shared" si="3"/>
        <v>4.2000000000000003E-2</v>
      </c>
      <c r="Q37" s="3355">
        <f t="shared" si="3"/>
        <v>4.3999999999999997E-2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5"/>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5"/>
      <c r="B39" s="2038" t="s">
        <v>3262</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3270</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7"/>
      <c r="AB51" s="1117"/>
      <c r="AC51" s="1117"/>
      <c r="AD51" s="1117"/>
      <c r="AE51" s="1117"/>
      <c r="AF51" s="1117"/>
      <c r="AG51" s="1117"/>
      <c r="AH51" s="1117"/>
      <c r="AI51" s="1117"/>
      <c r="AJ51" s="1117"/>
      <c r="AK51" s="1117"/>
    </row>
    <row r="52" spans="1:37" s="1116" customFormat="1" ht="36">
      <c r="A52" s="3366" t="s">
        <v>3272</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7"/>
      <c r="AB62" s="1117"/>
      <c r="AC62" s="1117"/>
      <c r="AD62" s="1117"/>
      <c r="AE62" s="1117"/>
      <c r="AF62" s="1117"/>
      <c r="AG62" s="1117"/>
      <c r="AH62" s="1117"/>
      <c r="AI62" s="1117"/>
      <c r="AJ62" s="1117"/>
      <c r="AK62" s="1117"/>
    </row>
    <row r="63" spans="1:37" s="1116" customFormat="1" ht="36">
      <c r="A63" s="3366" t="s">
        <v>3272</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7"/>
      <c r="AB73" s="1117"/>
      <c r="AC73" s="1117"/>
      <c r="AD73" s="1117"/>
      <c r="AE73" s="1117"/>
      <c r="AF73" s="1117"/>
      <c r="AG73" s="1117"/>
      <c r="AH73" s="1117"/>
      <c r="AI73" s="1117"/>
      <c r="AJ73" s="1117"/>
      <c r="AK73" s="1117"/>
    </row>
    <row r="74" spans="1:37" s="1994" customFormat="1" ht="36">
      <c r="A74" s="3366" t="s">
        <v>3272</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6"/>
      <c r="P76" s="1116"/>
      <c r="Z76" s="1995"/>
      <c r="AA76" s="2050"/>
      <c r="AG76" s="1118"/>
      <c r="AK76" s="2050"/>
    </row>
    <row r="77" spans="1:37" ht="25.5">
      <c r="A77" s="2127" t="s">
        <v>2060</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6"/>
      <c r="P77" s="1116"/>
      <c r="Z77" s="1995"/>
      <c r="AA77" s="2050"/>
      <c r="AG77" s="1118"/>
      <c r="AK77" s="2050"/>
    </row>
    <row r="78" spans="1:37" ht="24">
      <c r="A78" s="2127" t="s">
        <v>2057</v>
      </c>
      <c r="B78" s="2133" t="s">
        <v>2058</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8"/>
      <c r="AK79" s="2050"/>
    </row>
    <row r="80" spans="1:37" ht="24.75" thickBot="1">
      <c r="A80" s="2135" t="s">
        <v>2068</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8"/>
      <c r="AK80" s="2050"/>
    </row>
    <row r="81" spans="1:37" ht="15">
      <c r="A81" s="2123" t="s">
        <v>2069</v>
      </c>
      <c r="B81" s="2124">
        <f>1+E83</f>
        <v>1</v>
      </c>
      <c r="C81" s="739"/>
      <c r="D81" s="739"/>
      <c r="E81" s="740"/>
      <c r="F81" s="2126"/>
      <c r="G81" s="3"/>
      <c r="H81" s="3"/>
      <c r="I81" s="3"/>
      <c r="J81" s="4"/>
      <c r="K81" s="4"/>
      <c r="L81" s="4"/>
      <c r="M81" s="4"/>
      <c r="N81" s="4"/>
      <c r="Z81" s="1995"/>
      <c r="AA81" s="2050"/>
      <c r="AG81" s="1118"/>
      <c r="AK81" s="2050"/>
    </row>
    <row r="82" spans="1:37" ht="24.75">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8"/>
      <c r="AK84" s="2050"/>
    </row>
    <row r="85" spans="1:37" ht="36">
      <c r="A85" s="3366" t="s">
        <v>3273</v>
      </c>
      <c r="B85" s="2131">
        <f>估价对象房地状况!G17</f>
        <v>0</v>
      </c>
      <c r="C85" s="2041"/>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8"/>
      <c r="AK85" s="2050"/>
    </row>
    <row r="86" spans="1:37" ht="14.25">
      <c r="A86" s="2127" t="s">
        <v>2067</v>
      </c>
      <c r="B86" s="2131">
        <f>估价对象房地状况!G22</f>
        <v>0</v>
      </c>
      <c r="C86" s="2041"/>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8"/>
      <c r="AK86" s="2050"/>
    </row>
    <row r="87" spans="1:37" ht="25.5">
      <c r="A87" s="2127" t="s">
        <v>2059</v>
      </c>
      <c r="B87" s="1323" t="str">
        <f>估价对象房地状况!G19</f>
        <v>估价对象所在区域公共配套设施齐备情况</v>
      </c>
      <c r="C87" s="2041"/>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2060</v>
      </c>
      <c r="B88" s="1323" t="str">
        <f>估价对象房地状况!G20</f>
        <v>估价对象所在区域基础设施水平</v>
      </c>
      <c r="C88" s="2041"/>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2" t="s">
        <v>3297</v>
      </c>
      <c r="B103" s="3762"/>
      <c r="C103" s="3762"/>
      <c r="D103" s="3762"/>
      <c r="E103" s="3762"/>
      <c r="F103" s="3762"/>
      <c r="G103" s="3762"/>
      <c r="H103" s="3762"/>
      <c r="I103" s="3762"/>
      <c r="J103" s="3762"/>
      <c r="K103" s="3387"/>
      <c r="L103" s="3387"/>
      <c r="M103" s="3387"/>
      <c r="N103" s="3387"/>
    </row>
    <row r="104" spans="1:14">
      <c r="A104" s="3763" t="s">
        <v>3298</v>
      </c>
      <c r="B104" s="3763" t="s">
        <v>3299</v>
      </c>
      <c r="C104" s="3388" t="s">
        <v>3300</v>
      </c>
      <c r="D104" s="3389"/>
      <c r="E104" s="3389"/>
      <c r="F104" s="3389"/>
      <c r="G104" s="3389"/>
      <c r="H104" s="3389"/>
      <c r="I104" s="3389"/>
      <c r="J104" s="3390"/>
      <c r="K104" s="3391"/>
      <c r="L104" s="3391"/>
      <c r="M104" s="3391"/>
      <c r="N104" s="3391"/>
    </row>
    <row r="105" spans="1:14">
      <c r="A105" s="3763"/>
      <c r="B105" s="376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4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0"/>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2" t="s">
        <v>3314</v>
      </c>
      <c r="B113" s="3752"/>
      <c r="C113" s="3752"/>
      <c r="D113" s="3752"/>
      <c r="E113" s="3752"/>
      <c r="F113" s="3752"/>
      <c r="G113" s="3752"/>
      <c r="H113" s="3752"/>
      <c r="I113" s="3752"/>
      <c r="J113" s="375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0</v>
      </c>
      <c r="C116" s="3397" t="s">
        <v>3316</v>
      </c>
      <c r="D116" s="3398">
        <f>SUMPRODUCT((A118:A122=F116)*(B117:M117=H116)*B118:M122)</f>
        <v>0</v>
      </c>
      <c r="E116" s="1997" t="s">
        <v>3317</v>
      </c>
      <c r="F116" s="3399">
        <f>E2</f>
        <v>0</v>
      </c>
      <c r="G116" s="1997" t="s">
        <v>3318</v>
      </c>
      <c r="H116" s="3399">
        <f>G2</f>
        <v>0</v>
      </c>
      <c r="I116" s="1997"/>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5" t="s">
        <v>2610</v>
      </c>
      <c r="B20" s="3768" t="s">
        <v>2631</v>
      </c>
      <c r="C20" s="3100" t="s">
        <v>2442</v>
      </c>
      <c r="D20" s="3101"/>
      <c r="E20" s="3102">
        <v>1</v>
      </c>
      <c r="F20" s="3103" t="s">
        <v>2443</v>
      </c>
      <c r="G20" s="3103"/>
    </row>
    <row r="21" spans="1:13" ht="19.5" customHeight="1">
      <c r="A21" s="3776"/>
      <c r="B21" s="3769"/>
      <c r="C21" s="3104" t="s">
        <v>2444</v>
      </c>
      <c r="D21" s="3105"/>
      <c r="E21" s="3106">
        <v>1</v>
      </c>
      <c r="F21" s="3103" t="s">
        <v>2445</v>
      </c>
      <c r="G21" s="3103"/>
    </row>
    <row r="22" spans="1:13" ht="19.5" customHeight="1">
      <c r="A22" s="3776"/>
      <c r="B22" s="3769"/>
      <c r="C22" s="3104" t="s">
        <v>2446</v>
      </c>
      <c r="D22" s="3105"/>
      <c r="E22" s="3106">
        <v>0.9</v>
      </c>
      <c r="F22" s="3103" t="s">
        <v>2447</v>
      </c>
      <c r="G22" s="3103"/>
    </row>
    <row r="23" spans="1:13" ht="19.5" customHeight="1">
      <c r="A23" s="3776"/>
      <c r="B23" s="3769"/>
      <c r="C23" s="3104" t="s">
        <v>2448</v>
      </c>
      <c r="D23" s="3105"/>
      <c r="E23" s="3106">
        <v>0.9</v>
      </c>
      <c r="F23" s="3103" t="s">
        <v>2449</v>
      </c>
      <c r="G23" s="3103"/>
    </row>
    <row r="24" spans="1:13" ht="19.5" customHeight="1">
      <c r="A24" s="3776"/>
      <c r="B24" s="3769"/>
      <c r="C24" s="3104" t="s">
        <v>2450</v>
      </c>
      <c r="D24" s="3105"/>
      <c r="E24" s="3106">
        <v>0.8</v>
      </c>
      <c r="F24" s="3103" t="s">
        <v>2451</v>
      </c>
      <c r="G24" s="3103"/>
    </row>
    <row r="25" spans="1:13" ht="19.5" customHeight="1" thickBot="1">
      <c r="A25" s="3777"/>
      <c r="B25" s="3770"/>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1" t="s">
        <v>2634</v>
      </c>
      <c r="B27" s="3768" t="s">
        <v>2615</v>
      </c>
      <c r="C27" s="3100" t="s">
        <v>2455</v>
      </c>
      <c r="D27" s="3101"/>
      <c r="E27" s="3102">
        <v>1</v>
      </c>
      <c r="F27" s="3103" t="s">
        <v>2456</v>
      </c>
      <c r="G27" s="3103"/>
    </row>
    <row r="28" spans="1:13" ht="19.5" customHeight="1">
      <c r="A28" s="3772"/>
      <c r="B28" s="3769"/>
      <c r="C28" s="3104" t="s">
        <v>2457</v>
      </c>
      <c r="D28" s="3105"/>
      <c r="E28" s="3106">
        <v>1</v>
      </c>
      <c r="F28" s="3103" t="s">
        <v>2458</v>
      </c>
      <c r="G28" s="3103"/>
    </row>
    <row r="29" spans="1:13" ht="19.5" customHeight="1">
      <c r="A29" s="3772"/>
      <c r="B29" s="3769"/>
      <c r="C29" s="3104" t="s">
        <v>2459</v>
      </c>
      <c r="D29" s="3105"/>
      <c r="E29" s="3106">
        <v>0.8</v>
      </c>
      <c r="F29" s="3103" t="s">
        <v>2460</v>
      </c>
      <c r="G29" s="3103"/>
    </row>
    <row r="30" spans="1:13" ht="19.5" customHeight="1">
      <c r="A30" s="3772"/>
      <c r="B30" s="3769"/>
      <c r="C30" s="3104" t="s">
        <v>2461</v>
      </c>
      <c r="D30" s="3105"/>
      <c r="E30" s="3106">
        <v>0.8</v>
      </c>
      <c r="F30" s="3103" t="s">
        <v>2462</v>
      </c>
      <c r="G30" s="3103"/>
    </row>
    <row r="31" spans="1:13" ht="19.5" customHeight="1">
      <c r="A31" s="3772"/>
      <c r="B31" s="3769"/>
      <c r="C31" s="3104" t="s">
        <v>2463</v>
      </c>
      <c r="D31" s="3105"/>
      <c r="E31" s="3106">
        <v>0.8</v>
      </c>
      <c r="F31" s="3103" t="s">
        <v>2464</v>
      </c>
      <c r="G31" s="3103"/>
    </row>
    <row r="32" spans="1:13" ht="19.5" customHeight="1">
      <c r="A32" s="3772"/>
      <c r="B32" s="3769"/>
      <c r="C32" s="3104" t="s">
        <v>2465</v>
      </c>
      <c r="D32" s="3105"/>
      <c r="E32" s="3106">
        <v>0.7</v>
      </c>
      <c r="F32" s="3103" t="s">
        <v>2466</v>
      </c>
      <c r="G32" s="3103"/>
    </row>
    <row r="33" spans="1:7" ht="19.5" customHeight="1">
      <c r="A33" s="3772"/>
      <c r="B33" s="3769"/>
      <c r="C33" s="3104" t="s">
        <v>2467</v>
      </c>
      <c r="D33" s="3105"/>
      <c r="E33" s="3106">
        <v>0.8</v>
      </c>
      <c r="F33" s="3103" t="s">
        <v>2468</v>
      </c>
      <c r="G33" s="3103"/>
    </row>
    <row r="34" spans="1:7" ht="19.5" customHeight="1">
      <c r="A34" s="3772"/>
      <c r="B34" s="3769"/>
      <c r="C34" s="3104" t="s">
        <v>2469</v>
      </c>
      <c r="D34" s="3105"/>
      <c r="E34" s="3106">
        <v>0.6</v>
      </c>
      <c r="F34" s="3103" t="s">
        <v>2470</v>
      </c>
      <c r="G34" s="3103"/>
    </row>
    <row r="35" spans="1:7" ht="19.5" customHeight="1">
      <c r="A35" s="3772"/>
      <c r="B35" s="3769"/>
      <c r="C35" s="3104" t="s">
        <v>2471</v>
      </c>
      <c r="D35" s="3105"/>
      <c r="E35" s="3106">
        <v>0.2</v>
      </c>
      <c r="F35" s="3103" t="s">
        <v>2472</v>
      </c>
      <c r="G35" s="3103"/>
    </row>
    <row r="36" spans="1:7" ht="19.5" customHeight="1">
      <c r="A36" s="3772"/>
      <c r="B36" s="3769"/>
      <c r="C36" s="3104" t="s">
        <v>2473</v>
      </c>
      <c r="D36" s="3105"/>
      <c r="E36" s="3106">
        <v>0.2</v>
      </c>
      <c r="F36" s="3103" t="s">
        <v>2474</v>
      </c>
      <c r="G36" s="3103"/>
    </row>
    <row r="37" spans="1:7" ht="19.5" customHeight="1">
      <c r="A37" s="3772"/>
      <c r="B37" s="3774" t="s">
        <v>2635</v>
      </c>
      <c r="C37" s="3104" t="s">
        <v>2475</v>
      </c>
      <c r="D37" s="3105"/>
      <c r="E37" s="3106">
        <v>0.6</v>
      </c>
      <c r="F37" s="3103" t="s">
        <v>2476</v>
      </c>
      <c r="G37" s="3103"/>
    </row>
    <row r="38" spans="1:7" ht="19.5" customHeight="1">
      <c r="A38" s="3772"/>
      <c r="B38" s="3769"/>
      <c r="C38" s="3104" t="s">
        <v>2477</v>
      </c>
      <c r="D38" s="3105"/>
      <c r="E38" s="3106">
        <v>0.6</v>
      </c>
      <c r="F38" s="3103" t="s">
        <v>2478</v>
      </c>
      <c r="G38" s="3103"/>
    </row>
    <row r="39" spans="1:7" ht="19.5" customHeight="1" thickBot="1">
      <c r="A39" s="3773"/>
      <c r="B39" s="3770"/>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5" t="s">
        <v>2613</v>
      </c>
      <c r="B41" s="3768" t="s">
        <v>2637</v>
      </c>
      <c r="C41" s="3100" t="s">
        <v>2482</v>
      </c>
      <c r="D41" s="3101"/>
      <c r="E41" s="3102">
        <v>1</v>
      </c>
      <c r="F41" s="3103" t="s">
        <v>2483</v>
      </c>
      <c r="G41" s="3103"/>
    </row>
    <row r="42" spans="1:7" ht="19.5" customHeight="1">
      <c r="A42" s="3776"/>
      <c r="B42" s="3769"/>
      <c r="C42" s="3104" t="s">
        <v>2484</v>
      </c>
      <c r="D42" s="3105"/>
      <c r="E42" s="3106">
        <v>1</v>
      </c>
      <c r="F42" s="3103" t="s">
        <v>2485</v>
      </c>
      <c r="G42" s="3103"/>
    </row>
    <row r="43" spans="1:7" ht="19.5" customHeight="1">
      <c r="A43" s="3776"/>
      <c r="B43" s="3778"/>
      <c r="C43" s="3104" t="s">
        <v>2486</v>
      </c>
      <c r="D43" s="3105"/>
      <c r="E43" s="3106">
        <v>1.5</v>
      </c>
      <c r="F43" s="3103" t="s">
        <v>2487</v>
      </c>
      <c r="G43" s="3103"/>
    </row>
    <row r="44" spans="1:7" ht="19.5" customHeight="1">
      <c r="A44" s="3776"/>
      <c r="B44" s="3115" t="s">
        <v>2638</v>
      </c>
      <c r="C44" s="3104" t="s">
        <v>2639</v>
      </c>
      <c r="D44" s="3105"/>
      <c r="E44" s="3106">
        <v>2</v>
      </c>
      <c r="F44" s="3103" t="s">
        <v>2488</v>
      </c>
      <c r="G44" s="3103"/>
    </row>
    <row r="45" spans="1:7" ht="19.5" customHeight="1">
      <c r="A45" s="3776"/>
      <c r="B45" s="3774" t="s">
        <v>2640</v>
      </c>
      <c r="C45" s="3104" t="s">
        <v>2489</v>
      </c>
      <c r="D45" s="3105"/>
      <c r="E45" s="3106">
        <v>1</v>
      </c>
      <c r="F45" s="3103" t="s">
        <v>2490</v>
      </c>
      <c r="G45" s="3103"/>
    </row>
    <row r="46" spans="1:7" ht="19.5" customHeight="1">
      <c r="A46" s="3776"/>
      <c r="B46" s="3769"/>
      <c r="C46" s="3104" t="s">
        <v>2491</v>
      </c>
      <c r="D46" s="3105"/>
      <c r="E46" s="3106">
        <v>1</v>
      </c>
      <c r="F46" s="3103" t="s">
        <v>2492</v>
      </c>
      <c r="G46" s="3103"/>
    </row>
    <row r="47" spans="1:7" ht="19.5" customHeight="1">
      <c r="A47" s="3776"/>
      <c r="B47" s="3769"/>
      <c r="C47" s="3104" t="s">
        <v>2493</v>
      </c>
      <c r="D47" s="3105"/>
      <c r="E47" s="3106">
        <v>1</v>
      </c>
      <c r="F47" s="3103" t="s">
        <v>2494</v>
      </c>
      <c r="G47" s="3103"/>
    </row>
    <row r="48" spans="1:7" ht="19.5" customHeight="1">
      <c r="A48" s="3776"/>
      <c r="B48" s="3769"/>
      <c r="C48" s="3104" t="s">
        <v>2495</v>
      </c>
      <c r="D48" s="3105"/>
      <c r="E48" s="3106">
        <v>1</v>
      </c>
      <c r="F48" s="3103" t="s">
        <v>2496</v>
      </c>
      <c r="G48" s="3103"/>
    </row>
    <row r="49" spans="1:7" ht="19.5" customHeight="1">
      <c r="A49" s="3776"/>
      <c r="B49" s="3769"/>
      <c r="C49" s="3104" t="s">
        <v>2497</v>
      </c>
      <c r="D49" s="3105"/>
      <c r="E49" s="3106">
        <v>1</v>
      </c>
      <c r="F49" s="3103" t="s">
        <v>2498</v>
      </c>
      <c r="G49" s="3103"/>
    </row>
    <row r="50" spans="1:7" ht="19.5" customHeight="1">
      <c r="A50" s="3776"/>
      <c r="B50" s="3769"/>
      <c r="C50" s="3104" t="s">
        <v>2499</v>
      </c>
      <c r="D50" s="3105"/>
      <c r="E50" s="3106">
        <v>1</v>
      </c>
      <c r="F50" s="3103" t="s">
        <v>2500</v>
      </c>
      <c r="G50" s="3103"/>
    </row>
    <row r="51" spans="1:7" ht="19.5" customHeight="1" thickBot="1">
      <c r="A51" s="3777"/>
      <c r="B51" s="3770"/>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4" t="s">
        <v>2654</v>
      </c>
      <c r="C73" s="3089" t="s">
        <v>2655</v>
      </c>
      <c r="D73" s="3089" t="s">
        <v>2656</v>
      </c>
      <c r="E73" s="3115">
        <v>0.2</v>
      </c>
      <c r="F73" s="3115">
        <v>25</v>
      </c>
    </row>
    <row r="74" spans="1:7" ht="24">
      <c r="A74" s="3115">
        <v>2</v>
      </c>
      <c r="B74" s="3769"/>
      <c r="C74" s="3089" t="s">
        <v>2657</v>
      </c>
      <c r="D74" s="3089" t="s">
        <v>2658</v>
      </c>
      <c r="E74" s="3115">
        <v>0.2</v>
      </c>
      <c r="F74" s="3115">
        <v>25</v>
      </c>
    </row>
    <row r="75" spans="1:7" ht="24">
      <c r="A75" s="3115">
        <v>3</v>
      </c>
      <c r="B75" s="3769"/>
      <c r="C75" s="3089" t="s">
        <v>2659</v>
      </c>
      <c r="D75" s="3089" t="s">
        <v>2660</v>
      </c>
      <c r="E75" s="3115">
        <v>0.2</v>
      </c>
      <c r="F75" s="3115">
        <v>25</v>
      </c>
    </row>
    <row r="76" spans="1:7" ht="13.5">
      <c r="A76" s="3115">
        <v>4</v>
      </c>
      <c r="B76" s="3769"/>
      <c r="C76" s="3089" t="s">
        <v>2661</v>
      </c>
      <c r="D76" s="3089" t="s">
        <v>2662</v>
      </c>
      <c r="E76" s="3115">
        <v>0.15</v>
      </c>
      <c r="F76" s="3115">
        <v>20</v>
      </c>
    </row>
    <row r="77" spans="1:7" ht="24">
      <c r="A77" s="3115">
        <v>5</v>
      </c>
      <c r="B77" s="3769"/>
      <c r="C77" s="3089" t="s">
        <v>2663</v>
      </c>
      <c r="D77" s="3089" t="s">
        <v>2664</v>
      </c>
      <c r="E77" s="3115">
        <v>0.15</v>
      </c>
      <c r="F77" s="3115">
        <v>20</v>
      </c>
    </row>
    <row r="78" spans="1:7" ht="24">
      <c r="A78" s="3115">
        <v>6</v>
      </c>
      <c r="B78" s="3769"/>
      <c r="C78" s="3089" t="s">
        <v>2665</v>
      </c>
      <c r="D78" s="3089" t="s">
        <v>2666</v>
      </c>
      <c r="E78" s="3115">
        <v>0.15</v>
      </c>
      <c r="F78" s="3115">
        <v>20</v>
      </c>
    </row>
    <row r="79" spans="1:7" ht="24">
      <c r="A79" s="3115">
        <v>7</v>
      </c>
      <c r="B79" s="3769"/>
      <c r="C79" s="3089" t="s">
        <v>2667</v>
      </c>
      <c r="D79" s="3089" t="s">
        <v>2668</v>
      </c>
      <c r="E79" s="3115">
        <v>0.15</v>
      </c>
      <c r="F79" s="3115">
        <v>20</v>
      </c>
    </row>
    <row r="80" spans="1:7" ht="24">
      <c r="A80" s="3115">
        <v>8</v>
      </c>
      <c r="B80" s="3769"/>
      <c r="C80" s="3089" t="s">
        <v>2669</v>
      </c>
      <c r="D80" s="3089" t="s">
        <v>2670</v>
      </c>
      <c r="E80" s="3115">
        <v>0.1</v>
      </c>
      <c r="F80" s="3115">
        <v>15</v>
      </c>
    </row>
    <row r="81" spans="1:6" ht="24">
      <c r="A81" s="3115">
        <v>9</v>
      </c>
      <c r="B81" s="3769"/>
      <c r="C81" s="3089" t="s">
        <v>2671</v>
      </c>
      <c r="D81" s="3089" t="s">
        <v>2672</v>
      </c>
      <c r="E81" s="3115">
        <v>0.1</v>
      </c>
      <c r="F81" s="3115">
        <v>15</v>
      </c>
    </row>
    <row r="82" spans="1:6" ht="24">
      <c r="A82" s="3115">
        <v>10</v>
      </c>
      <c r="B82" s="3769"/>
      <c r="C82" s="3089" t="s">
        <v>2673</v>
      </c>
      <c r="D82" s="3089" t="s">
        <v>2674</v>
      </c>
      <c r="E82" s="3115">
        <v>0.1</v>
      </c>
      <c r="F82" s="3115">
        <v>15</v>
      </c>
    </row>
    <row r="83" spans="1:6" ht="24">
      <c r="A83" s="3115">
        <v>11</v>
      </c>
      <c r="B83" s="3769"/>
      <c r="C83" s="3089" t="s">
        <v>2675</v>
      </c>
      <c r="D83" s="3089" t="s">
        <v>2676</v>
      </c>
      <c r="E83" s="3115">
        <v>0.1</v>
      </c>
      <c r="F83" s="3115">
        <v>15</v>
      </c>
    </row>
    <row r="84" spans="1:6" ht="24">
      <c r="A84" s="3115">
        <v>12</v>
      </c>
      <c r="B84" s="3769"/>
      <c r="C84" s="3089" t="s">
        <v>2677</v>
      </c>
      <c r="D84" s="3089" t="s">
        <v>2678</v>
      </c>
      <c r="E84" s="3115">
        <v>0.1</v>
      </c>
      <c r="F84" s="3115">
        <v>15</v>
      </c>
    </row>
    <row r="85" spans="1:6" ht="13.5">
      <c r="A85" s="3115">
        <v>13</v>
      </c>
      <c r="B85" s="3769"/>
      <c r="C85" s="3089" t="s">
        <v>2679</v>
      </c>
      <c r="D85" s="3089" t="s">
        <v>2680</v>
      </c>
      <c r="E85" s="3115">
        <v>0.1</v>
      </c>
      <c r="F85" s="3115">
        <v>15</v>
      </c>
    </row>
    <row r="86" spans="1:6" ht="13.5">
      <c r="A86" s="3115">
        <v>14</v>
      </c>
      <c r="B86" s="3769"/>
      <c r="C86" s="3089" t="s">
        <v>2681</v>
      </c>
      <c r="D86" s="3089" t="s">
        <v>2682</v>
      </c>
      <c r="E86" s="3115">
        <v>0.1</v>
      </c>
      <c r="F86" s="3115">
        <v>15</v>
      </c>
    </row>
    <row r="87" spans="1:6" ht="13.5">
      <c r="A87" s="3115">
        <v>15</v>
      </c>
      <c r="B87" s="3769"/>
      <c r="C87" s="3089" t="s">
        <v>2683</v>
      </c>
      <c r="D87" s="3089" t="s">
        <v>2684</v>
      </c>
      <c r="E87" s="3115">
        <v>0.1</v>
      </c>
      <c r="F87" s="3115">
        <v>15</v>
      </c>
    </row>
    <row r="88" spans="1:6" ht="24">
      <c r="A88" s="3115">
        <v>16</v>
      </c>
      <c r="B88" s="3769"/>
      <c r="C88" s="3089" t="s">
        <v>2685</v>
      </c>
      <c r="D88" s="3089" t="s">
        <v>2686</v>
      </c>
      <c r="E88" s="3115">
        <v>0.1</v>
      </c>
      <c r="F88" s="3115">
        <v>15</v>
      </c>
    </row>
    <row r="89" spans="1:6" ht="24">
      <c r="A89" s="3115">
        <v>17</v>
      </c>
      <c r="B89" s="3778"/>
      <c r="C89" s="3089" t="s">
        <v>2687</v>
      </c>
      <c r="D89" s="3089" t="s">
        <v>2688</v>
      </c>
      <c r="E89" s="3115">
        <v>0.1</v>
      </c>
      <c r="F89" s="3115">
        <v>15</v>
      </c>
    </row>
    <row r="90" spans="1:6" ht="13.5">
      <c r="A90" s="3115">
        <v>18</v>
      </c>
      <c r="B90" s="3774" t="s">
        <v>2689</v>
      </c>
      <c r="C90" s="3089" t="s">
        <v>2690</v>
      </c>
      <c r="D90" s="3089" t="s">
        <v>2691</v>
      </c>
      <c r="E90" s="3115">
        <v>0.2</v>
      </c>
      <c r="F90" s="3115">
        <v>25</v>
      </c>
    </row>
    <row r="91" spans="1:6" ht="24">
      <c r="A91" s="3115">
        <v>19</v>
      </c>
      <c r="B91" s="3769"/>
      <c r="C91" s="3089" t="s">
        <v>2692</v>
      </c>
      <c r="D91" s="3089" t="s">
        <v>2693</v>
      </c>
      <c r="E91" s="3115">
        <v>0.2</v>
      </c>
      <c r="F91" s="3115">
        <v>25</v>
      </c>
    </row>
    <row r="92" spans="1:6" ht="13.5">
      <c r="A92" s="3115">
        <v>20</v>
      </c>
      <c r="B92" s="3769"/>
      <c r="C92" s="3089" t="s">
        <v>2694</v>
      </c>
      <c r="D92" s="3089" t="s">
        <v>2695</v>
      </c>
      <c r="E92" s="3115">
        <v>0.15</v>
      </c>
      <c r="F92" s="3115">
        <v>20</v>
      </c>
    </row>
    <row r="93" spans="1:6" ht="13.5">
      <c r="A93" s="3115">
        <v>21</v>
      </c>
      <c r="B93" s="3769"/>
      <c r="C93" s="3089" t="s">
        <v>2696</v>
      </c>
      <c r="D93" s="3089" t="s">
        <v>2697</v>
      </c>
      <c r="E93" s="3115">
        <v>0.15</v>
      </c>
      <c r="F93" s="3115">
        <v>20</v>
      </c>
    </row>
    <row r="94" spans="1:6" ht="13.5">
      <c r="A94" s="3115">
        <v>22</v>
      </c>
      <c r="B94" s="3769"/>
      <c r="C94" s="3089" t="s">
        <v>2698</v>
      </c>
      <c r="D94" s="3089" t="s">
        <v>2699</v>
      </c>
      <c r="E94" s="3115">
        <v>0.15</v>
      </c>
      <c r="F94" s="3115">
        <v>20</v>
      </c>
    </row>
    <row r="95" spans="1:6" ht="36">
      <c r="A95" s="3115">
        <v>23</v>
      </c>
      <c r="B95" s="3769"/>
      <c r="C95" s="3089" t="s">
        <v>2700</v>
      </c>
      <c r="D95" s="3089" t="s">
        <v>2701</v>
      </c>
      <c r="E95" s="3115">
        <v>0.15</v>
      </c>
      <c r="F95" s="3115">
        <v>20</v>
      </c>
    </row>
    <row r="96" spans="1:6" ht="13.5">
      <c r="A96" s="3115">
        <v>24</v>
      </c>
      <c r="B96" s="3769"/>
      <c r="C96" s="3089" t="s">
        <v>2702</v>
      </c>
      <c r="D96" s="3089" t="s">
        <v>2703</v>
      </c>
      <c r="E96" s="3115">
        <v>0.1</v>
      </c>
      <c r="F96" s="3115">
        <v>15</v>
      </c>
    </row>
    <row r="97" spans="1:6" ht="13.5">
      <c r="A97" s="3115">
        <v>25</v>
      </c>
      <c r="B97" s="3769"/>
      <c r="C97" s="3089" t="s">
        <v>2704</v>
      </c>
      <c r="D97" s="3089" t="s">
        <v>2705</v>
      </c>
      <c r="E97" s="3115">
        <v>0.1</v>
      </c>
      <c r="F97" s="3115">
        <v>15</v>
      </c>
    </row>
    <row r="98" spans="1:6" ht="24">
      <c r="A98" s="3115">
        <v>26</v>
      </c>
      <c r="B98" s="3769"/>
      <c r="C98" s="3089" t="s">
        <v>2706</v>
      </c>
      <c r="D98" s="3089" t="s">
        <v>2707</v>
      </c>
      <c r="E98" s="3115">
        <v>0.1</v>
      </c>
      <c r="F98" s="3115">
        <v>15</v>
      </c>
    </row>
    <row r="99" spans="1:6" ht="24">
      <c r="A99" s="3115">
        <v>27</v>
      </c>
      <c r="B99" s="3769"/>
      <c r="C99" s="3089" t="s">
        <v>2708</v>
      </c>
      <c r="D99" s="3089" t="s">
        <v>2709</v>
      </c>
      <c r="E99" s="3115">
        <v>0.1</v>
      </c>
      <c r="F99" s="3115">
        <v>15</v>
      </c>
    </row>
    <row r="100" spans="1:6" ht="13.5">
      <c r="A100" s="3115">
        <v>28</v>
      </c>
      <c r="B100" s="3769"/>
      <c r="C100" s="3089" t="s">
        <v>2710</v>
      </c>
      <c r="D100" s="3089" t="s">
        <v>2711</v>
      </c>
      <c r="E100" s="3115">
        <v>0.1</v>
      </c>
      <c r="F100" s="3115">
        <v>15</v>
      </c>
    </row>
    <row r="101" spans="1:6" ht="13.5">
      <c r="A101" s="3115">
        <v>29</v>
      </c>
      <c r="B101" s="3769"/>
      <c r="C101" s="3089" t="s">
        <v>2712</v>
      </c>
      <c r="D101" s="3089" t="s">
        <v>2713</v>
      </c>
      <c r="E101" s="3115">
        <v>0.1</v>
      </c>
      <c r="F101" s="3115">
        <v>15</v>
      </c>
    </row>
    <row r="102" spans="1:6" ht="13.5">
      <c r="A102" s="3115">
        <v>30</v>
      </c>
      <c r="B102" s="3769"/>
      <c r="C102" s="3089" t="s">
        <v>2714</v>
      </c>
      <c r="D102" s="3089" t="s">
        <v>2715</v>
      </c>
      <c r="E102" s="3115">
        <v>0.1</v>
      </c>
      <c r="F102" s="3115">
        <v>15</v>
      </c>
    </row>
    <row r="103" spans="1:6" ht="24">
      <c r="A103" s="3115">
        <v>31</v>
      </c>
      <c r="B103" s="3769"/>
      <c r="C103" s="3089" t="s">
        <v>2716</v>
      </c>
      <c r="D103" s="3089" t="s">
        <v>2717</v>
      </c>
      <c r="E103" s="3115">
        <v>0.1</v>
      </c>
      <c r="F103" s="3115">
        <v>15</v>
      </c>
    </row>
    <row r="104" spans="1:6" ht="24">
      <c r="A104" s="3115">
        <v>32</v>
      </c>
      <c r="B104" s="3769"/>
      <c r="C104" s="3089" t="s">
        <v>2718</v>
      </c>
      <c r="D104" s="3089" t="s">
        <v>2719</v>
      </c>
      <c r="E104" s="3115">
        <v>0.1</v>
      </c>
      <c r="F104" s="3115">
        <v>15</v>
      </c>
    </row>
    <row r="105" spans="1:6" ht="24">
      <c r="A105" s="3115">
        <v>33</v>
      </c>
      <c r="B105" s="3769"/>
      <c r="C105" s="3089" t="s">
        <v>2720</v>
      </c>
      <c r="D105" s="3089" t="s">
        <v>2721</v>
      </c>
      <c r="E105" s="3115">
        <v>0.1</v>
      </c>
      <c r="F105" s="3115">
        <v>15</v>
      </c>
    </row>
    <row r="106" spans="1:6" ht="24">
      <c r="A106" s="3115">
        <v>34</v>
      </c>
      <c r="B106" s="3778"/>
      <c r="C106" s="3089" t="s">
        <v>2722</v>
      </c>
      <c r="D106" s="3089" t="s">
        <v>2723</v>
      </c>
      <c r="E106" s="3115">
        <v>0.1</v>
      </c>
      <c r="F106" s="3115">
        <v>15</v>
      </c>
    </row>
    <row r="107" spans="1:6" ht="24">
      <c r="A107" s="3115">
        <v>35</v>
      </c>
      <c r="B107" s="3774" t="s">
        <v>2724</v>
      </c>
      <c r="C107" s="3115" t="s">
        <v>2725</v>
      </c>
      <c r="D107" s="3089" t="s">
        <v>2726</v>
      </c>
      <c r="E107" s="3115">
        <v>0.15</v>
      </c>
      <c r="F107" s="3115">
        <v>20</v>
      </c>
    </row>
    <row r="108" spans="1:6" ht="13.5">
      <c r="A108" s="3115">
        <v>36</v>
      </c>
      <c r="B108" s="3769"/>
      <c r="C108" s="3115" t="s">
        <v>2727</v>
      </c>
      <c r="D108" s="3089" t="s">
        <v>2728</v>
      </c>
      <c r="E108" s="3115">
        <v>0.15</v>
      </c>
      <c r="F108" s="3115">
        <v>20</v>
      </c>
    </row>
    <row r="109" spans="1:6" ht="13.5">
      <c r="A109" s="3115">
        <v>37</v>
      </c>
      <c r="B109" s="3769"/>
      <c r="C109" s="3115" t="s">
        <v>2729</v>
      </c>
      <c r="D109" s="3089" t="s">
        <v>2730</v>
      </c>
      <c r="E109" s="3115">
        <v>0.15</v>
      </c>
      <c r="F109" s="3115">
        <v>20</v>
      </c>
    </row>
    <row r="110" spans="1:6" ht="13.5">
      <c r="A110" s="3115">
        <v>38</v>
      </c>
      <c r="B110" s="3769"/>
      <c r="C110" s="3115" t="s">
        <v>2731</v>
      </c>
      <c r="D110" s="3089" t="s">
        <v>2732</v>
      </c>
      <c r="E110" s="3115">
        <v>0.1</v>
      </c>
      <c r="F110" s="3115">
        <v>15</v>
      </c>
    </row>
    <row r="111" spans="1:6" ht="24">
      <c r="A111" s="3115">
        <v>39</v>
      </c>
      <c r="B111" s="3769"/>
      <c r="C111" s="3115" t="s">
        <v>2733</v>
      </c>
      <c r="D111" s="3089" t="s">
        <v>2734</v>
      </c>
      <c r="E111" s="3115">
        <v>0.1</v>
      </c>
      <c r="F111" s="3115">
        <v>15</v>
      </c>
    </row>
    <row r="112" spans="1:6" ht="24">
      <c r="A112" s="3115">
        <v>40</v>
      </c>
      <c r="B112" s="3778"/>
      <c r="C112" s="3115" t="s">
        <v>2735</v>
      </c>
      <c r="D112" s="3089" t="s">
        <v>2736</v>
      </c>
      <c r="E112" s="3115">
        <v>0.1</v>
      </c>
      <c r="F112" s="3115">
        <v>15</v>
      </c>
    </row>
    <row r="113" spans="1:6" ht="13.5">
      <c r="A113" s="3115">
        <v>41</v>
      </c>
      <c r="B113" s="3779" t="s">
        <v>2737</v>
      </c>
      <c r="C113" s="3115" t="s">
        <v>2738</v>
      </c>
      <c r="D113" s="3089" t="s">
        <v>2739</v>
      </c>
      <c r="E113" s="3115">
        <v>0.1</v>
      </c>
      <c r="F113" s="3115">
        <v>15</v>
      </c>
    </row>
    <row r="114" spans="1:6" ht="13.5">
      <c r="A114" s="3115">
        <v>42</v>
      </c>
      <c r="B114" s="3779"/>
      <c r="C114" s="3115" t="s">
        <v>2740</v>
      </c>
      <c r="D114" s="3089" t="s">
        <v>2741</v>
      </c>
      <c r="E114" s="3115">
        <v>0.1</v>
      </c>
      <c r="F114" s="3115">
        <v>15</v>
      </c>
    </row>
    <row r="115" spans="1:6" ht="24">
      <c r="A115" s="3115">
        <v>43</v>
      </c>
      <c r="B115" s="3779"/>
      <c r="C115" s="3115" t="s">
        <v>2742</v>
      </c>
      <c r="D115" s="3089" t="s">
        <v>2743</v>
      </c>
      <c r="E115" s="3115">
        <v>0.1</v>
      </c>
      <c r="F115" s="3115">
        <v>15</v>
      </c>
    </row>
    <row r="116" spans="1:6" ht="13.5">
      <c r="A116" s="3115">
        <v>44</v>
      </c>
      <c r="B116" s="3774" t="s">
        <v>2744</v>
      </c>
      <c r="C116" s="3115" t="s">
        <v>2745</v>
      </c>
      <c r="D116" s="3089" t="s">
        <v>2746</v>
      </c>
      <c r="E116" s="3115">
        <v>0.1</v>
      </c>
      <c r="F116" s="3115">
        <v>15</v>
      </c>
    </row>
    <row r="117" spans="1:6" ht="24">
      <c r="A117" s="3115">
        <v>45</v>
      </c>
      <c r="B117" s="3778"/>
      <c r="C117" s="3089" t="s">
        <v>2747</v>
      </c>
      <c r="D117" s="3089" t="s">
        <v>2748</v>
      </c>
      <c r="E117" s="3115">
        <v>0.1</v>
      </c>
      <c r="F117" s="3115">
        <v>15</v>
      </c>
    </row>
    <row r="118" spans="1:6" ht="24">
      <c r="A118" s="3115">
        <v>46</v>
      </c>
      <c r="B118" s="3774" t="s">
        <v>2749</v>
      </c>
      <c r="C118" s="3115" t="s">
        <v>2750</v>
      </c>
      <c r="D118" s="3089" t="s">
        <v>2751</v>
      </c>
      <c r="E118" s="3115">
        <v>0.1</v>
      </c>
      <c r="F118" s="3115">
        <v>15</v>
      </c>
    </row>
    <row r="119" spans="1:6" ht="24">
      <c r="A119" s="3115">
        <v>47</v>
      </c>
      <c r="B119" s="3778"/>
      <c r="C119" s="3115" t="s">
        <v>2752</v>
      </c>
      <c r="D119" s="3089" t="s">
        <v>2753</v>
      </c>
      <c r="E119" s="3115">
        <v>0.1</v>
      </c>
      <c r="F119" s="3115">
        <v>15</v>
      </c>
    </row>
    <row r="120" spans="1:6" ht="13.5">
      <c r="A120" s="3115">
        <v>48</v>
      </c>
      <c r="B120" s="3774" t="s">
        <v>2754</v>
      </c>
      <c r="C120" s="3115" t="s">
        <v>2755</v>
      </c>
      <c r="D120" s="3089" t="s">
        <v>2756</v>
      </c>
      <c r="E120" s="3115">
        <v>0.1</v>
      </c>
      <c r="F120" s="3115">
        <v>15</v>
      </c>
    </row>
    <row r="121" spans="1:6" ht="13.5">
      <c r="A121" s="3115">
        <v>49</v>
      </c>
      <c r="B121" s="3778"/>
      <c r="C121" s="3115" t="s">
        <v>2757</v>
      </c>
      <c r="D121" s="3089" t="s">
        <v>2758</v>
      </c>
      <c r="E121" s="3115">
        <v>0.1</v>
      </c>
      <c r="F121" s="3115">
        <v>15</v>
      </c>
    </row>
    <row r="122" spans="1:6" ht="24">
      <c r="A122" s="3115">
        <v>50</v>
      </c>
      <c r="B122" s="3779" t="s">
        <v>2759</v>
      </c>
      <c r="C122" s="3115" t="s">
        <v>2760</v>
      </c>
      <c r="D122" s="3089" t="s">
        <v>2761</v>
      </c>
      <c r="E122" s="3115">
        <v>0.1</v>
      </c>
      <c r="F122" s="3115">
        <v>15</v>
      </c>
    </row>
    <row r="123" spans="1:6" ht="24">
      <c r="A123" s="3115">
        <v>51</v>
      </c>
      <c r="B123" s="3779"/>
      <c r="C123" s="3115" t="s">
        <v>2762</v>
      </c>
      <c r="D123" s="3089" t="s">
        <v>2763</v>
      </c>
      <c r="E123" s="3115">
        <v>0.1</v>
      </c>
      <c r="F123" s="3115">
        <v>15</v>
      </c>
    </row>
    <row r="124" spans="1:6" ht="24">
      <c r="A124" s="3115">
        <v>52</v>
      </c>
      <c r="B124" s="3779" t="s">
        <v>2764</v>
      </c>
      <c r="C124" s="3115" t="s">
        <v>2765</v>
      </c>
      <c r="D124" s="3089" t="s">
        <v>2766</v>
      </c>
      <c r="E124" s="3115">
        <v>0.1</v>
      </c>
      <c r="F124" s="3115">
        <v>15</v>
      </c>
    </row>
    <row r="125" spans="1:6" ht="24">
      <c r="A125" s="3115">
        <v>53</v>
      </c>
      <c r="B125" s="3779"/>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9" t="s">
        <v>2772</v>
      </c>
      <c r="C127" s="3115" t="s">
        <v>2773</v>
      </c>
      <c r="D127" s="3089" t="s">
        <v>2774</v>
      </c>
      <c r="E127" s="3115">
        <v>0.1</v>
      </c>
      <c r="F127" s="3115">
        <v>15</v>
      </c>
    </row>
    <row r="128" spans="1:6" ht="13.5">
      <c r="A128" s="3115">
        <v>56</v>
      </c>
      <c r="B128" s="3779"/>
      <c r="C128" s="3115" t="s">
        <v>2775</v>
      </c>
      <c r="D128" s="3089" t="s">
        <v>2776</v>
      </c>
      <c r="E128" s="3115">
        <v>0.1</v>
      </c>
      <c r="F128" s="3115">
        <v>15</v>
      </c>
    </row>
    <row r="129" spans="1:6" ht="24">
      <c r="A129" s="3115">
        <v>57</v>
      </c>
      <c r="B129" s="3779"/>
      <c r="C129" s="3115" t="s">
        <v>2777</v>
      </c>
      <c r="D129" s="3089" t="s">
        <v>2778</v>
      </c>
      <c r="E129" s="3115">
        <v>0.1</v>
      </c>
      <c r="F129" s="3115">
        <v>15</v>
      </c>
    </row>
    <row r="130" spans="1:6" ht="24">
      <c r="A130" s="3115">
        <v>58</v>
      </c>
      <c r="B130" s="3779" t="s">
        <v>2779</v>
      </c>
      <c r="C130" s="3115" t="s">
        <v>2780</v>
      </c>
      <c r="D130" s="3089" t="s">
        <v>2781</v>
      </c>
      <c r="E130" s="3115">
        <v>0.1</v>
      </c>
      <c r="F130" s="3115">
        <v>15</v>
      </c>
    </row>
    <row r="131" spans="1:6" ht="13.5">
      <c r="A131" s="3115">
        <v>59</v>
      </c>
      <c r="B131" s="3779"/>
      <c r="C131" s="3115" t="s">
        <v>2782</v>
      </c>
      <c r="D131" s="3089" t="s">
        <v>2783</v>
      </c>
      <c r="E131" s="3115">
        <v>0.1</v>
      </c>
      <c r="F131" s="3115">
        <v>15</v>
      </c>
    </row>
    <row r="132" spans="1:6" ht="13.5">
      <c r="A132" s="3115">
        <v>60</v>
      </c>
      <c r="B132" s="3774" t="s">
        <v>2784</v>
      </c>
      <c r="C132" s="3115" t="s">
        <v>2785</v>
      </c>
      <c r="D132" s="3089" t="s">
        <v>2786</v>
      </c>
      <c r="E132" s="3115">
        <v>0.1</v>
      </c>
      <c r="F132" s="3115">
        <v>15</v>
      </c>
    </row>
    <row r="133" spans="1:6" ht="13.5">
      <c r="A133" s="3115">
        <v>61</v>
      </c>
      <c r="B133" s="3778"/>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9" t="s">
        <v>2792</v>
      </c>
      <c r="C135" s="3115" t="s">
        <v>2793</v>
      </c>
      <c r="D135" s="3089" t="s">
        <v>2794</v>
      </c>
      <c r="E135" s="3115">
        <v>0.1</v>
      </c>
      <c r="F135" s="3115">
        <v>15</v>
      </c>
    </row>
    <row r="136" spans="1:6" ht="13.5">
      <c r="A136" s="3115">
        <v>64</v>
      </c>
      <c r="B136" s="3779"/>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0"/>
      <c r="B4" s="3463" t="s">
        <v>917</v>
      </c>
      <c r="C4" s="3463"/>
      <c r="D4" s="3463"/>
      <c r="E4" s="1490"/>
    </row>
    <row r="5" spans="1:5" ht="16.5" thickTop="1">
      <c r="A5" s="1488"/>
      <c r="B5" s="3461" t="s">
        <v>909</v>
      </c>
      <c r="C5" s="1491" t="s">
        <v>910</v>
      </c>
      <c r="D5" s="848">
        <f ca="1">结果表!H101</f>
        <v>947</v>
      </c>
      <c r="E5" s="1488"/>
    </row>
    <row r="6" spans="1:5" ht="15.75">
      <c r="A6" s="1488"/>
      <c r="B6" s="3461"/>
      <c r="C6" s="1491" t="s">
        <v>911</v>
      </c>
      <c r="D6" s="848" t="str">
        <f ca="1">NUMBERSTRING(INT(D5*10000),2)&amp;"元整"</f>
        <v>玖佰肆拾柒万元整</v>
      </c>
      <c r="E6" s="1488"/>
    </row>
    <row r="7" spans="1:5" ht="15.75">
      <c r="A7" s="1488"/>
      <c r="B7" s="3466"/>
      <c r="C7" s="1492" t="s">
        <v>912</v>
      </c>
      <c r="D7" s="849">
        <f ca="1">结果表!H102</f>
        <v>22453</v>
      </c>
      <c r="E7" s="1488"/>
    </row>
    <row r="8" spans="1:5" ht="15.75">
      <c r="A8" s="1488"/>
      <c r="B8" s="3467" t="str">
        <f>结果表!E103</f>
        <v>2.估价师知悉的法定优先受偿款</v>
      </c>
      <c r="C8" s="1493" t="s">
        <v>913</v>
      </c>
      <c r="D8" s="849">
        <f>结果表!H103</f>
        <v>0</v>
      </c>
      <c r="E8" s="1488"/>
    </row>
    <row r="9" spans="1:5" ht="15.75">
      <c r="A9" s="1488"/>
      <c r="B9" s="3469"/>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60" t="str">
        <f>结果表!E107</f>
        <v>3.房地产抵押价值</v>
      </c>
      <c r="C13" s="1496" t="s">
        <v>910</v>
      </c>
      <c r="D13" s="851">
        <f ca="1">结果表!H107</f>
        <v>947</v>
      </c>
      <c r="E13" s="1488"/>
    </row>
    <row r="14" spans="1:5" ht="15.75">
      <c r="A14" s="1488"/>
      <c r="B14" s="3461"/>
      <c r="C14" s="1491" t="s">
        <v>911</v>
      </c>
      <c r="D14" s="848" t="str">
        <f ca="1">NUMBERSTRING(INT(D13*10000),2)&amp;"元整"</f>
        <v>玖佰肆拾柒万元整</v>
      </c>
      <c r="E14" s="1488"/>
    </row>
    <row r="15" spans="1:5" ht="15">
      <c r="A15" s="1488"/>
      <c r="B15" s="3466"/>
      <c r="C15" s="1492" t="s">
        <v>921</v>
      </c>
      <c r="D15" s="857">
        <f ca="1">结果表!H108</f>
        <v>22453</v>
      </c>
      <c r="E15" s="1488"/>
    </row>
    <row r="16" spans="1:5" ht="15">
      <c r="A16" s="1488"/>
      <c r="B16" s="3467" t="str">
        <f>结果表!E109</f>
        <v>——</v>
      </c>
      <c r="C16" s="1496" t="s">
        <v>922</v>
      </c>
      <c r="D16" s="1497" t="str">
        <f>结果表!H109</f>
        <v>——</v>
      </c>
      <c r="E16" s="1488"/>
    </row>
    <row r="17" spans="1:5" ht="15.75">
      <c r="A17" s="1488"/>
      <c r="B17" s="3468"/>
      <c r="C17" s="1491" t="s">
        <v>923</v>
      </c>
      <c r="D17" s="848" t="e">
        <f>NUMBERSTRING(INT(D16*10000),2)&amp;"元整"</f>
        <v>#VALUE!</v>
      </c>
      <c r="E17" s="1488"/>
    </row>
    <row r="18" spans="1:5" ht="15">
      <c r="A18" s="1488"/>
      <c r="B18" s="3469"/>
      <c r="C18" s="1492" t="s">
        <v>912</v>
      </c>
      <c r="D18" s="857" t="str">
        <f>结果表!H110</f>
        <v>——</v>
      </c>
      <c r="E18" s="1488"/>
    </row>
    <row r="19" spans="1:5" ht="15.75">
      <c r="A19" s="1488"/>
      <c r="B19" s="3460" t="str">
        <f>结果表!E111</f>
        <v>——</v>
      </c>
      <c r="C19" s="1496" t="s">
        <v>910</v>
      </c>
      <c r="D19" s="849" t="str">
        <f>结果表!H111</f>
        <v>——</v>
      </c>
      <c r="E19" s="1488"/>
    </row>
    <row r="20" spans="1:5" ht="15.75">
      <c r="A20" s="1488"/>
      <c r="B20" s="3461"/>
      <c r="C20" s="1491" t="s">
        <v>923</v>
      </c>
      <c r="D20" s="848" t="e">
        <f>NUMBERSTRING(INT(D19*10000),2)&amp;"元整"</f>
        <v>#VALUE!</v>
      </c>
      <c r="E20" s="1488"/>
    </row>
    <row r="21" spans="1:5" ht="15.75" thickBot="1">
      <c r="A21" s="1488"/>
      <c r="B21" s="3462"/>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27923</v>
      </c>
      <c r="C2" s="2" t="s">
        <v>106</v>
      </c>
      <c r="D2" s="199"/>
      <c r="E2" s="199"/>
      <c r="F2" s="199"/>
      <c r="G2" s="199"/>
    </row>
    <row r="3" spans="1:7" s="200" customFormat="1" ht="18" customHeight="1" thickBot="1">
      <c r="A3" s="203" t="s">
        <v>58</v>
      </c>
      <c r="B3" s="204">
        <f>ROUND(B2*10000/'数据-汇总表'!E3,0)</f>
        <v>662279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421.62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421.62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ROUND(SUM(C23:C25),0)</f>
        <v>1419</v>
      </c>
      <c r="D22" s="235">
        <f>C26</f>
        <v>6.9999999999999999E-4</v>
      </c>
      <c r="E22" s="236" t="s">
        <v>99</v>
      </c>
      <c r="F22" s="237">
        <f>'数据-取费表'!B40</f>
        <v>3.3500000000000002E-2</v>
      </c>
      <c r="G22" s="1065" t="str">
        <f>IF('数据-取费表'!B22&lt;=1,"单利计息","复利计息")</f>
        <v>复利计息</v>
      </c>
    </row>
    <row r="23" spans="1:7" s="214" customFormat="1" ht="13.5" customHeight="1">
      <c r="A23" s="778" t="s">
        <v>349</v>
      </c>
      <c r="B23" s="215" t="s">
        <v>423</v>
      </c>
      <c r="C23" s="1102">
        <f>ROUND(IF('数据-取费表'!B22&lt;=1,C5*F22*'数据-取费表'!B23,C5*(POWER((1+F22),'数据-取费表'!B23)-1)),0)</f>
        <v>1404</v>
      </c>
      <c r="D23" s="238"/>
      <c r="E23" s="238"/>
      <c r="F23" s="239"/>
      <c r="G23" s="240" t="s">
        <v>81</v>
      </c>
    </row>
    <row r="24" spans="1:7" s="214" customFormat="1" ht="13.5" customHeight="1">
      <c r="A24" s="778" t="s">
        <v>347</v>
      </c>
      <c r="B24" s="215" t="s">
        <v>418</v>
      </c>
      <c r="C24" s="1102">
        <f>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ROUND(IF('数据-取费表'!B22&lt;=1,C20*F22*'数据-取费表'!B23/2,C20*(POWER((1+F22),'数据-取费表'!B23/2)-1)),0)</f>
        <v>14</v>
      </c>
      <c r="D25" s="238"/>
      <c r="E25" s="241"/>
      <c r="F25" s="239"/>
      <c r="G25" s="242" t="s">
        <v>83</v>
      </c>
    </row>
    <row r="26" spans="1:7" s="214" customFormat="1">
      <c r="A26" s="778" t="s">
        <v>350</v>
      </c>
      <c r="B26" s="215" t="s">
        <v>422</v>
      </c>
      <c r="C26" s="238">
        <f>ROUND(IF('数据-取费表'!B22&lt;=1,F21*F22*'数据-取费表'!B23/2,F21*(POWER((1+F22),'数据-取费表'!B23/2)-1)),4)</f>
        <v>6.9999999999999999E-4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27741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169</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421.62</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ROUND(SUM(C42:C43),0)</f>
        <v>6</v>
      </c>
      <c r="D41" s="235">
        <f>C44</f>
        <v>6.9999999999999999E-4</v>
      </c>
      <c r="E41" s="236" t="s">
        <v>102</v>
      </c>
      <c r="F41" s="237"/>
      <c r="G41" s="1065" t="str">
        <f>IF('数据-取费表'!B22&lt;=1,"单利计息","复利计息")</f>
        <v>复利计息</v>
      </c>
    </row>
    <row r="42" spans="1:7" ht="13.5" customHeight="1">
      <c r="A42" s="778" t="s">
        <v>349</v>
      </c>
      <c r="B42" s="215" t="s">
        <v>423</v>
      </c>
      <c r="C42" s="238">
        <f>ROUND(IF('数据-取费表'!B22&lt;=1,C33*F22*'数据-取费表'!B21/2,C33*(POWER((1+F22),'数据-取费表'!B21/2)-1)),0)</f>
        <v>6</v>
      </c>
      <c r="D42" s="238"/>
      <c r="E42" s="238"/>
      <c r="F42" s="239"/>
      <c r="G42" s="3642" t="s">
        <v>94</v>
      </c>
    </row>
    <row r="43" spans="1:7" ht="13.5" customHeight="1">
      <c r="A43" s="778" t="s">
        <v>347</v>
      </c>
      <c r="B43" s="215" t="s">
        <v>426</v>
      </c>
      <c r="C43" s="238">
        <f>ROUND(IF('数据-取费表'!B22&lt;=1,C39*F22*'数据-取费表'!B21/2,C39*(POWER((1+F22),'数据-取费表'!B21/2)-1)),0)</f>
        <v>0</v>
      </c>
      <c r="D43" s="238"/>
      <c r="E43" s="238"/>
      <c r="F43" s="239"/>
      <c r="G43" s="3643"/>
    </row>
    <row r="44" spans="1:7" ht="13.5" customHeight="1">
      <c r="A44" s="778" t="s">
        <v>348</v>
      </c>
      <c r="B44" s="215" t="s">
        <v>428</v>
      </c>
      <c r="C44" s="238">
        <f>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ROUND((C33+C39+C41+C45)/(1-C40-D41-D45-C48/(1+'数据-取费表'!B42)),0)</f>
        <v>242</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ROUND(C49*F50,0)</f>
        <v>182</v>
      </c>
      <c r="D51" s="232"/>
      <c r="E51" s="232"/>
      <c r="F51" s="264"/>
      <c r="G51" s="234" t="s">
        <v>37</v>
      </c>
    </row>
    <row r="52" spans="1:7" s="208" customFormat="1" ht="16.5" thickBot="1">
      <c r="A52" s="265" t="s">
        <v>38</v>
      </c>
      <c r="B52" s="266"/>
      <c r="C52" s="267">
        <f>C31+C51</f>
        <v>27923</v>
      </c>
      <c r="D52" s="266"/>
      <c r="E52" s="266"/>
      <c r="F52" s="266"/>
      <c r="G52" s="268"/>
    </row>
    <row r="55" spans="1:7" ht="15">
      <c r="B55" s="270" t="s">
        <v>39</v>
      </c>
      <c r="C55" s="271"/>
    </row>
    <row r="56" spans="1:7">
      <c r="B56" s="273" t="s">
        <v>40</v>
      </c>
      <c r="C56" s="274">
        <f>ROUND(C51/C52,3)</f>
        <v>7.0000000000000001E-3</v>
      </c>
    </row>
    <row r="57" spans="1:7">
      <c r="B57" s="273" t="s">
        <v>41</v>
      </c>
      <c r="C57" s="275">
        <f>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zoomScale="85" zoomScaleNormal="70" zoomScaleSheetLayoutView="85" workbookViewId="0">
      <selection activeCell="G64" sqref="G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30" t="s">
        <v>3393</v>
      </c>
      <c r="F1" s="1876" t="s">
        <v>3432</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4.3</v>
      </c>
      <c r="C3" s="354" t="s">
        <v>1665</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1666</v>
      </c>
      <c r="B4" s="356"/>
      <c r="C4" s="3672" t="s">
        <v>1667</v>
      </c>
      <c r="D4" s="3673"/>
      <c r="E4" s="3674" t="s">
        <v>1668</v>
      </c>
      <c r="F4" s="3675"/>
      <c r="G4" s="3672" t="s">
        <v>1669</v>
      </c>
      <c r="H4" s="3673"/>
      <c r="I4" s="3672" t="s">
        <v>1670</v>
      </c>
      <c r="J4" s="3673"/>
      <c r="K4" s="559" t="s">
        <v>1671</v>
      </c>
      <c r="L4" s="2712"/>
      <c r="M4" s="2713"/>
      <c r="N4" s="2713"/>
      <c r="O4" s="2713"/>
      <c r="P4" s="3676" t="s">
        <v>1672</v>
      </c>
      <c r="Q4" s="3677"/>
      <c r="R4" s="3655" t="s">
        <v>1668</v>
      </c>
      <c r="S4" s="3656"/>
      <c r="T4" s="3655" t="s">
        <v>1669</v>
      </c>
      <c r="U4" s="3656"/>
      <c r="V4" s="3684" t="s">
        <v>1670</v>
      </c>
      <c r="W4" s="3684"/>
      <c r="X4" s="3453"/>
      <c r="Y4" s="3655" t="s">
        <v>1672</v>
      </c>
      <c r="Z4" s="3656"/>
      <c r="AA4" s="3650" t="s">
        <v>1668</v>
      </c>
      <c r="AB4" s="3650" t="s">
        <v>1669</v>
      </c>
      <c r="AC4" s="3669" t="s">
        <v>1670</v>
      </c>
    </row>
    <row r="5" spans="1:29" ht="15">
      <c r="A5" s="358"/>
      <c r="B5" s="359"/>
      <c r="C5" s="3661" t="s">
        <v>1673</v>
      </c>
      <c r="D5" s="3662"/>
      <c r="E5" s="3726" t="s">
        <v>1674</v>
      </c>
      <c r="F5" s="3660"/>
      <c r="G5" s="3661" t="s">
        <v>1675</v>
      </c>
      <c r="H5" s="3662"/>
      <c r="I5" s="3661" t="s">
        <v>1676</v>
      </c>
      <c r="J5" s="3662"/>
      <c r="K5" s="559"/>
      <c r="L5" s="2712"/>
      <c r="M5" s="2713"/>
      <c r="N5" s="2713"/>
      <c r="O5" s="2713"/>
      <c r="P5" s="3678"/>
      <c r="Q5" s="3679"/>
      <c r="R5" s="3657"/>
      <c r="S5" s="3658"/>
      <c r="T5" s="3657"/>
      <c r="U5" s="3658"/>
      <c r="V5" s="3685"/>
      <c r="W5" s="3685"/>
      <c r="X5" s="3451"/>
      <c r="Y5" s="3657"/>
      <c r="Z5" s="3658"/>
      <c r="AA5" s="3651"/>
      <c r="AB5" s="3651"/>
      <c r="AC5" s="3670"/>
    </row>
    <row r="6" spans="1:29" ht="15.75" thickBot="1">
      <c r="A6" s="360"/>
      <c r="B6" s="361"/>
      <c r="C6" s="3663" t="s">
        <v>1677</v>
      </c>
      <c r="D6" s="3664"/>
      <c r="E6" s="3666" t="s">
        <v>1677</v>
      </c>
      <c r="F6" s="3667"/>
      <c r="G6" s="3663" t="s">
        <v>1677</v>
      </c>
      <c r="H6" s="3664"/>
      <c r="I6" s="3663" t="s">
        <v>1677</v>
      </c>
      <c r="J6" s="3664"/>
      <c r="K6" s="559" t="s">
        <v>1678</v>
      </c>
      <c r="L6" s="2712"/>
      <c r="M6" s="2713"/>
      <c r="N6" s="2713"/>
      <c r="O6" s="2713"/>
      <c r="P6" s="3680"/>
      <c r="Q6" s="3681"/>
      <c r="R6" s="3657"/>
      <c r="S6" s="3658"/>
      <c r="T6" s="3682"/>
      <c r="U6" s="3683"/>
      <c r="V6" s="3685"/>
      <c r="W6" s="3685"/>
      <c r="X6" s="3451"/>
      <c r="Y6" s="3682"/>
      <c r="Z6" s="3683"/>
      <c r="AA6" s="3652"/>
      <c r="AB6" s="3652"/>
      <c r="AC6" s="3671"/>
    </row>
    <row r="7" spans="1:29" s="108" customFormat="1" ht="15.75" thickBot="1">
      <c r="A7" s="362" t="s">
        <v>1679</v>
      </c>
      <c r="B7" s="363"/>
      <c r="C7" s="364">
        <f>'数据-取费表'!B2</f>
        <v>45496</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86" t="s">
        <v>1680</v>
      </c>
      <c r="Q7" s="3687"/>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6">
        <f>D7/J7</f>
        <v>1</v>
      </c>
    </row>
    <row r="8" spans="1:29" s="108" customFormat="1" ht="15.75" thickBot="1">
      <c r="A8" s="362" t="s">
        <v>1681</v>
      </c>
      <c r="B8" s="363"/>
      <c r="C8" s="368" t="s">
        <v>3394</v>
      </c>
      <c r="D8" s="365">
        <v>100</v>
      </c>
      <c r="E8" s="368" t="s">
        <v>3395</v>
      </c>
      <c r="F8" s="367">
        <f>SUMIF(62:62,E8,63:63)-SUMIF(62:62,C8,63:63)+100</f>
        <v>103</v>
      </c>
      <c r="G8" s="368" t="s">
        <v>3395</v>
      </c>
      <c r="H8" s="365">
        <f>SUMIF(62:62,G8,63:63)-SUMIF(62:62,C8,63:63)+100</f>
        <v>103</v>
      </c>
      <c r="I8" s="368" t="s">
        <v>3395</v>
      </c>
      <c r="J8" s="365">
        <f>SUMIF(62:62,I8,63:63)-SUMIF(62:62,C8,63:63)+100</f>
        <v>103</v>
      </c>
      <c r="K8" s="560"/>
      <c r="L8" s="2714"/>
      <c r="M8" s="2715"/>
      <c r="N8" s="2715"/>
      <c r="O8" s="2715"/>
      <c r="P8" s="3686" t="s">
        <v>1683</v>
      </c>
      <c r="Q8" s="3654"/>
      <c r="R8" s="699" t="s">
        <v>14</v>
      </c>
      <c r="S8" s="700">
        <f t="shared" si="0"/>
        <v>103</v>
      </c>
      <c r="T8" s="699" t="s">
        <v>14</v>
      </c>
      <c r="U8" s="700">
        <f t="shared" si="1"/>
        <v>103</v>
      </c>
      <c r="V8" s="699" t="s">
        <v>14</v>
      </c>
      <c r="W8" s="700">
        <f t="shared" si="2"/>
        <v>103</v>
      </c>
      <c r="X8" s="701"/>
      <c r="Y8" s="3653" t="s">
        <v>1683</v>
      </c>
      <c r="Z8" s="3654"/>
      <c r="AA8" s="702">
        <f t="shared" ref="AA8:AA47" si="3">D8/F8</f>
        <v>0.970873786407767</v>
      </c>
      <c r="AB8" s="702">
        <f t="shared" ref="AB8:AB47" si="4">D8/H8</f>
        <v>0.970873786407767</v>
      </c>
      <c r="AC8" s="1956">
        <f t="shared" ref="AC8:AC47" si="5">D8/J8</f>
        <v>0.970873786407767</v>
      </c>
    </row>
    <row r="9" spans="1:29" s="108" customFormat="1">
      <c r="A9" s="369" t="s">
        <v>1684</v>
      </c>
      <c r="B9" s="63" t="s">
        <v>1685</v>
      </c>
      <c r="C9" s="3457"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8" t="s">
        <v>1686</v>
      </c>
      <c r="Q9" s="3447" t="str">
        <f t="shared" ref="Q9:Q15" si="6">B9</f>
        <v>用途</v>
      </c>
      <c r="R9" s="699" t="s">
        <v>14</v>
      </c>
      <c r="S9" s="700">
        <f t="shared" si="0"/>
        <v>100</v>
      </c>
      <c r="T9" s="699" t="s">
        <v>14</v>
      </c>
      <c r="U9" s="700">
        <f t="shared" si="1"/>
        <v>100</v>
      </c>
      <c r="V9" s="699" t="s">
        <v>14</v>
      </c>
      <c r="W9" s="700">
        <f t="shared" si="2"/>
        <v>100</v>
      </c>
      <c r="X9" s="701"/>
      <c r="Y9" s="3618" t="s">
        <v>1687</v>
      </c>
      <c r="Z9" s="3446" t="str">
        <f t="shared" ref="Z9:Z15" si="7">Q9</f>
        <v>用途</v>
      </c>
      <c r="AA9" s="702">
        <f t="shared" si="3"/>
        <v>1</v>
      </c>
      <c r="AB9" s="702">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8"/>
      <c r="Q10" s="3447" t="str">
        <f t="shared" si="6"/>
        <v>土地使用年限（年）</v>
      </c>
      <c r="R10" s="699" t="s">
        <v>14</v>
      </c>
      <c r="S10" s="700">
        <f t="shared" si="0"/>
        <v>100</v>
      </c>
      <c r="T10" s="699" t="s">
        <v>14</v>
      </c>
      <c r="U10" s="700">
        <f t="shared" si="1"/>
        <v>100</v>
      </c>
      <c r="V10" s="699" t="s">
        <v>14</v>
      </c>
      <c r="W10" s="700">
        <f t="shared" si="2"/>
        <v>100</v>
      </c>
      <c r="X10" s="701"/>
      <c r="Y10" s="3618"/>
      <c r="Z10" s="3446"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8"/>
      <c r="Q11" s="3447" t="str">
        <f t="shared" si="6"/>
        <v>容积率</v>
      </c>
      <c r="R11" s="699" t="s">
        <v>14</v>
      </c>
      <c r="S11" s="700">
        <f t="shared" si="0"/>
        <v>100</v>
      </c>
      <c r="T11" s="699" t="s">
        <v>14</v>
      </c>
      <c r="U11" s="700">
        <f t="shared" si="1"/>
        <v>100</v>
      </c>
      <c r="V11" s="699" t="s">
        <v>14</v>
      </c>
      <c r="W11" s="700">
        <f t="shared" si="2"/>
        <v>100</v>
      </c>
      <c r="X11" s="701"/>
      <c r="Y11" s="3618"/>
      <c r="Z11" s="3446"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68"/>
      <c r="Q12" s="3447">
        <f t="shared" si="6"/>
        <v>111</v>
      </c>
      <c r="R12" s="699" t="s">
        <v>14</v>
      </c>
      <c r="S12" s="700">
        <f t="shared" si="0"/>
        <v>100</v>
      </c>
      <c r="T12" s="699" t="s">
        <v>14</v>
      </c>
      <c r="U12" s="700">
        <f t="shared" si="1"/>
        <v>100</v>
      </c>
      <c r="V12" s="699" t="s">
        <v>14</v>
      </c>
      <c r="W12" s="700">
        <f t="shared" si="2"/>
        <v>100</v>
      </c>
      <c r="X12" s="701"/>
      <c r="Y12" s="3618"/>
      <c r="Z12" s="3446">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68"/>
      <c r="Q13" s="3447">
        <f t="shared" si="6"/>
        <v>111</v>
      </c>
      <c r="R13" s="699" t="s">
        <v>14</v>
      </c>
      <c r="S13" s="700">
        <f t="shared" si="0"/>
        <v>100</v>
      </c>
      <c r="T13" s="699" t="s">
        <v>14</v>
      </c>
      <c r="U13" s="700">
        <f t="shared" si="1"/>
        <v>100</v>
      </c>
      <c r="V13" s="699" t="s">
        <v>14</v>
      </c>
      <c r="W13" s="700">
        <f t="shared" si="2"/>
        <v>100</v>
      </c>
      <c r="X13" s="701"/>
      <c r="Y13" s="3618"/>
      <c r="Z13" s="3446">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68"/>
      <c r="Q14" s="3447">
        <f t="shared" si="6"/>
        <v>111</v>
      </c>
      <c r="R14" s="699" t="s">
        <v>14</v>
      </c>
      <c r="S14" s="700">
        <f t="shared" si="0"/>
        <v>100</v>
      </c>
      <c r="T14" s="699" t="s">
        <v>14</v>
      </c>
      <c r="U14" s="700">
        <f t="shared" si="1"/>
        <v>100</v>
      </c>
      <c r="V14" s="699" t="s">
        <v>14</v>
      </c>
      <c r="W14" s="700">
        <f t="shared" si="2"/>
        <v>100</v>
      </c>
      <c r="X14" s="701"/>
      <c r="Y14" s="3618"/>
      <c r="Z14" s="3446">
        <f t="shared" si="7"/>
        <v>111</v>
      </c>
      <c r="AA14" s="702">
        <f t="shared" si="3"/>
        <v>1</v>
      </c>
      <c r="AB14" s="702">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88" t="s">
        <v>1691</v>
      </c>
      <c r="Q15" s="3449" t="str">
        <f t="shared" si="6"/>
        <v>办公集聚程度</v>
      </c>
      <c r="R15" s="703" t="s">
        <v>14</v>
      </c>
      <c r="S15" s="704">
        <f t="shared" si="0"/>
        <v>100</v>
      </c>
      <c r="T15" s="703" t="s">
        <v>14</v>
      </c>
      <c r="U15" s="704">
        <f t="shared" si="1"/>
        <v>100</v>
      </c>
      <c r="V15" s="703" t="s">
        <v>14</v>
      </c>
      <c r="W15" s="704">
        <f t="shared" si="2"/>
        <v>100</v>
      </c>
      <c r="X15" s="3451"/>
      <c r="Y15" s="3690" t="s">
        <v>1691</v>
      </c>
      <c r="Z15" s="3452" t="str">
        <f t="shared" si="7"/>
        <v>办公集聚程度</v>
      </c>
      <c r="AA15" s="3450">
        <f t="shared" si="3"/>
        <v>1</v>
      </c>
      <c r="AB15" s="3450">
        <f t="shared" si="4"/>
        <v>1</v>
      </c>
      <c r="AC15" s="1959">
        <f t="shared" si="5"/>
        <v>1</v>
      </c>
    </row>
    <row r="16" spans="1:29" ht="15">
      <c r="A16" s="379"/>
      <c r="B16" s="578"/>
      <c r="C16" s="1901" t="s">
        <v>3426</v>
      </c>
      <c r="D16" s="399"/>
      <c r="E16" s="1901" t="s">
        <v>3426</v>
      </c>
      <c r="F16" s="399"/>
      <c r="G16" s="1901" t="s">
        <v>3426</v>
      </c>
      <c r="H16" s="401"/>
      <c r="I16" s="1901" t="s">
        <v>3426</v>
      </c>
      <c r="J16" s="399"/>
      <c r="K16" s="564"/>
      <c r="L16" s="2719"/>
      <c r="M16" s="2713"/>
      <c r="N16" s="2713"/>
      <c r="O16" s="2713"/>
      <c r="P16" s="3689"/>
      <c r="Q16" s="3449"/>
      <c r="R16" s="703"/>
      <c r="S16" s="704"/>
      <c r="T16" s="703"/>
      <c r="U16" s="704"/>
      <c r="V16" s="703"/>
      <c r="W16" s="704"/>
      <c r="X16" s="3451"/>
      <c r="Y16" s="3691"/>
      <c r="Z16" s="3452"/>
      <c r="AA16" s="3450">
        <v>1</v>
      </c>
      <c r="AB16" s="34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89"/>
      <c r="Q17" s="3449" t="str">
        <f>B17</f>
        <v>交通便捷度</v>
      </c>
      <c r="R17" s="703" t="s">
        <v>14</v>
      </c>
      <c r="S17" s="704">
        <f>F17</f>
        <v>100</v>
      </c>
      <c r="T17" s="703" t="s">
        <v>14</v>
      </c>
      <c r="U17" s="704">
        <f>H17</f>
        <v>100</v>
      </c>
      <c r="V17" s="703" t="s">
        <v>14</v>
      </c>
      <c r="W17" s="704">
        <f>J17</f>
        <v>100</v>
      </c>
      <c r="X17" s="3451"/>
      <c r="Y17" s="3691"/>
      <c r="Z17" s="3452" t="str">
        <f>Q17</f>
        <v>交通便捷度</v>
      </c>
      <c r="AA17" s="3450">
        <f t="shared" si="3"/>
        <v>1</v>
      </c>
      <c r="AB17" s="3450">
        <f t="shared" si="4"/>
        <v>1</v>
      </c>
      <c r="AC17" s="1959">
        <f t="shared" si="5"/>
        <v>1</v>
      </c>
    </row>
    <row r="18" spans="1:29" ht="15">
      <c r="A18" s="379"/>
      <c r="B18" s="580"/>
      <c r="C18" s="1961" t="s">
        <v>3426</v>
      </c>
      <c r="D18" s="401"/>
      <c r="E18" s="1901" t="s">
        <v>3426</v>
      </c>
      <c r="F18" s="401"/>
      <c r="G18" s="1901" t="s">
        <v>3426</v>
      </c>
      <c r="H18" s="399"/>
      <c r="I18" s="1901" t="s">
        <v>3426</v>
      </c>
      <c r="J18" s="399"/>
      <c r="K18" s="564"/>
      <c r="L18" s="2719"/>
      <c r="M18" s="2713"/>
      <c r="N18" s="2713"/>
      <c r="O18" s="2713"/>
      <c r="P18" s="3689"/>
      <c r="Q18" s="3449"/>
      <c r="R18" s="703"/>
      <c r="S18" s="704"/>
      <c r="T18" s="703"/>
      <c r="U18" s="704"/>
      <c r="V18" s="703"/>
      <c r="W18" s="704"/>
      <c r="X18" s="3451"/>
      <c r="Y18" s="3691"/>
      <c r="Z18" s="3452"/>
      <c r="AA18" s="3450">
        <v>1</v>
      </c>
      <c r="AB18" s="34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89"/>
      <c r="Q19" s="3449" t="str">
        <f>B19</f>
        <v>公共配套设施</v>
      </c>
      <c r="R19" s="703" t="s">
        <v>14</v>
      </c>
      <c r="S19" s="704">
        <f>F19</f>
        <v>100</v>
      </c>
      <c r="T19" s="703" t="s">
        <v>14</v>
      </c>
      <c r="U19" s="704">
        <f>H19</f>
        <v>100</v>
      </c>
      <c r="V19" s="703" t="s">
        <v>14</v>
      </c>
      <c r="W19" s="704">
        <f>J19</f>
        <v>100</v>
      </c>
      <c r="X19" s="3451"/>
      <c r="Y19" s="3691"/>
      <c r="Z19" s="3452" t="str">
        <f>Q19</f>
        <v>公共配套设施</v>
      </c>
      <c r="AA19" s="3450">
        <f t="shared" si="3"/>
        <v>1</v>
      </c>
      <c r="AB19" s="3450">
        <f t="shared" si="4"/>
        <v>1</v>
      </c>
      <c r="AC19" s="1959">
        <f t="shared" si="5"/>
        <v>1</v>
      </c>
    </row>
    <row r="20" spans="1:29" ht="15">
      <c r="A20" s="379"/>
      <c r="B20" s="580"/>
      <c r="C20" s="1901" t="s">
        <v>3426</v>
      </c>
      <c r="D20" s="399"/>
      <c r="E20" s="1901" t="s">
        <v>3426</v>
      </c>
      <c r="F20" s="399"/>
      <c r="G20" s="1901" t="s">
        <v>3426</v>
      </c>
      <c r="H20" s="399"/>
      <c r="I20" s="1901" t="s">
        <v>3426</v>
      </c>
      <c r="J20" s="399"/>
      <c r="K20" s="564"/>
      <c r="L20" s="2719"/>
      <c r="M20" s="2713"/>
      <c r="N20" s="2713"/>
      <c r="O20" s="2713"/>
      <c r="P20" s="3689"/>
      <c r="Q20" s="3449"/>
      <c r="R20" s="703"/>
      <c r="S20" s="704"/>
      <c r="T20" s="703"/>
      <c r="U20" s="704"/>
      <c r="V20" s="703"/>
      <c r="W20" s="704"/>
      <c r="X20" s="3451"/>
      <c r="Y20" s="3691"/>
      <c r="Z20" s="3452"/>
      <c r="AA20" s="3450">
        <v>1</v>
      </c>
      <c r="AB20" s="34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89"/>
      <c r="Q21" s="3449" t="str">
        <f>B21</f>
        <v>基础设施水平</v>
      </c>
      <c r="R21" s="703" t="s">
        <v>14</v>
      </c>
      <c r="S21" s="704">
        <f>F21</f>
        <v>100</v>
      </c>
      <c r="T21" s="703" t="s">
        <v>14</v>
      </c>
      <c r="U21" s="704">
        <f>H21</f>
        <v>100</v>
      </c>
      <c r="V21" s="703" t="s">
        <v>14</v>
      </c>
      <c r="W21" s="704">
        <f>J21</f>
        <v>100</v>
      </c>
      <c r="X21" s="3451"/>
      <c r="Y21" s="3691"/>
      <c r="Z21" s="3452" t="str">
        <f>Q21</f>
        <v>基础设施水平</v>
      </c>
      <c r="AA21" s="3450">
        <f t="shared" ref="AA21" si="8">D21/F21</f>
        <v>1</v>
      </c>
      <c r="AB21" s="3450">
        <f t="shared" ref="AB21" si="9">D21/H21</f>
        <v>1</v>
      </c>
      <c r="AC21" s="1959">
        <f t="shared" ref="AC21" si="10">D21/J21</f>
        <v>1</v>
      </c>
    </row>
    <row r="22" spans="1:29" ht="15">
      <c r="A22" s="379"/>
      <c r="B22" s="581"/>
      <c r="C22" s="1961" t="s">
        <v>3417</v>
      </c>
      <c r="D22" s="399"/>
      <c r="E22" s="1961" t="s">
        <v>3417</v>
      </c>
      <c r="F22" s="399"/>
      <c r="G22" s="1961" t="s">
        <v>3417</v>
      </c>
      <c r="H22" s="399"/>
      <c r="I22" s="1961" t="s">
        <v>3417</v>
      </c>
      <c r="J22" s="399"/>
      <c r="K22" s="1127"/>
      <c r="L22" s="2719"/>
      <c r="M22" s="2713"/>
      <c r="N22" s="2713"/>
      <c r="O22" s="2713"/>
      <c r="P22" s="3689"/>
      <c r="Q22" s="3449"/>
      <c r="R22" s="703"/>
      <c r="S22" s="704"/>
      <c r="T22" s="703"/>
      <c r="U22" s="704"/>
      <c r="V22" s="703"/>
      <c r="W22" s="704"/>
      <c r="X22" s="3451"/>
      <c r="Y22" s="3691"/>
      <c r="Z22" s="3452"/>
      <c r="AA22" s="3450">
        <v>1</v>
      </c>
      <c r="AB22" s="34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89"/>
      <c r="Q23" s="3449" t="str">
        <f>B23</f>
        <v>环境质量</v>
      </c>
      <c r="R23" s="703" t="s">
        <v>14</v>
      </c>
      <c r="S23" s="704">
        <f>F23</f>
        <v>100</v>
      </c>
      <c r="T23" s="703" t="s">
        <v>14</v>
      </c>
      <c r="U23" s="704">
        <f>H23</f>
        <v>100</v>
      </c>
      <c r="V23" s="703" t="s">
        <v>14</v>
      </c>
      <c r="W23" s="704">
        <f>J23</f>
        <v>100</v>
      </c>
      <c r="X23" s="3451"/>
      <c r="Y23" s="3691"/>
      <c r="Z23" s="3452" t="str">
        <f>Q23</f>
        <v>环境质量</v>
      </c>
      <c r="AA23" s="3450">
        <f t="shared" si="3"/>
        <v>1</v>
      </c>
      <c r="AB23" s="34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89"/>
      <c r="Q24" s="3449"/>
      <c r="R24" s="703"/>
      <c r="S24" s="704"/>
      <c r="T24" s="703"/>
      <c r="U24" s="704"/>
      <c r="V24" s="703"/>
      <c r="W24" s="704"/>
      <c r="X24" s="3451"/>
      <c r="Y24" s="3691"/>
      <c r="Z24" s="3452"/>
      <c r="AA24" s="3450">
        <v>1</v>
      </c>
      <c r="AB24" s="34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89"/>
      <c r="Q25" s="3449" t="str">
        <f>B25</f>
        <v>毗邻道路的类型与等级</v>
      </c>
      <c r="R25" s="703" t="s">
        <v>14</v>
      </c>
      <c r="S25" s="704">
        <f>F25</f>
        <v>100</v>
      </c>
      <c r="T25" s="703" t="s">
        <v>14</v>
      </c>
      <c r="U25" s="704">
        <f>H25</f>
        <v>100</v>
      </c>
      <c r="V25" s="703" t="s">
        <v>14</v>
      </c>
      <c r="W25" s="704">
        <f>J25</f>
        <v>100</v>
      </c>
      <c r="X25" s="3451"/>
      <c r="Y25" s="3691"/>
      <c r="Z25" s="3452" t="str">
        <f>Q25</f>
        <v>毗邻道路的类型与等级</v>
      </c>
      <c r="AA25" s="3450">
        <f t="shared" si="3"/>
        <v>1</v>
      </c>
      <c r="AB25" s="3450">
        <f t="shared" si="4"/>
        <v>1</v>
      </c>
      <c r="AC25" s="1959">
        <f t="shared" si="5"/>
        <v>1</v>
      </c>
    </row>
    <row r="26" spans="1:29" ht="15">
      <c r="A26" s="358"/>
      <c r="B26" s="580"/>
      <c r="C26" s="582" t="s">
        <v>3397</v>
      </c>
      <c r="D26" s="386"/>
      <c r="E26" s="565" t="s">
        <v>3397</v>
      </c>
      <c r="F26" s="386"/>
      <c r="G26" s="565" t="s">
        <v>3397</v>
      </c>
      <c r="H26" s="386"/>
      <c r="I26" s="565" t="s">
        <v>3397</v>
      </c>
      <c r="J26" s="386"/>
      <c r="K26" s="564"/>
      <c r="L26" s="2719"/>
      <c r="M26" s="2713"/>
      <c r="N26" s="2713"/>
      <c r="O26" s="2713"/>
      <c r="P26" s="3689"/>
      <c r="Q26" s="3449"/>
      <c r="R26" s="703"/>
      <c r="S26" s="704"/>
      <c r="T26" s="703"/>
      <c r="U26" s="704"/>
      <c r="V26" s="703"/>
      <c r="W26" s="704"/>
      <c r="X26" s="3451"/>
      <c r="Y26" s="3691"/>
      <c r="Z26" s="3452"/>
      <c r="AA26" s="3450">
        <v>1</v>
      </c>
      <c r="AB26" s="3450">
        <v>1</v>
      </c>
      <c r="AC26" s="1959">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v>1</v>
      </c>
      <c r="L27" s="2719"/>
      <c r="M27" s="2713"/>
      <c r="N27" s="2713"/>
      <c r="O27" s="2713"/>
      <c r="P27" s="3689"/>
      <c r="Q27" s="3449" t="str">
        <f t="shared" ref="Q27:Q47" si="11">B27</f>
        <v>楼层</v>
      </c>
      <c r="R27" s="703" t="s">
        <v>14</v>
      </c>
      <c r="S27" s="704">
        <f>F27</f>
        <v>100</v>
      </c>
      <c r="T27" s="703" t="s">
        <v>14</v>
      </c>
      <c r="U27" s="704">
        <f>H27</f>
        <v>100</v>
      </c>
      <c r="V27" s="703" t="s">
        <v>14</v>
      </c>
      <c r="W27" s="704">
        <f>J27</f>
        <v>100</v>
      </c>
      <c r="X27" s="3451"/>
      <c r="Y27" s="3691"/>
      <c r="Z27" s="3452" t="str">
        <f>Q27</f>
        <v>楼层</v>
      </c>
      <c r="AA27" s="3450">
        <f t="shared" si="3"/>
        <v>1</v>
      </c>
      <c r="AB27" s="34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9"/>
      <c r="Q28" s="3447" t="str">
        <f t="shared" si="11"/>
        <v>朝向</v>
      </c>
      <c r="R28" s="699" t="s">
        <v>14</v>
      </c>
      <c r="S28" s="700">
        <f>F28</f>
        <v>100</v>
      </c>
      <c r="T28" s="699" t="s">
        <v>14</v>
      </c>
      <c r="U28" s="700">
        <f>H28</f>
        <v>100</v>
      </c>
      <c r="V28" s="699" t="s">
        <v>14</v>
      </c>
      <c r="W28" s="700">
        <f>J28</f>
        <v>100</v>
      </c>
      <c r="X28" s="701"/>
      <c r="Y28" s="3691"/>
      <c r="Z28" s="3446" t="str">
        <f>Q28</f>
        <v>朝向</v>
      </c>
      <c r="AA28" s="3450">
        <f>D28/F28</f>
        <v>1</v>
      </c>
      <c r="AB28" s="34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9"/>
      <c r="Q29" s="3449">
        <f t="shared" si="11"/>
        <v>111</v>
      </c>
      <c r="R29" s="703" t="s">
        <v>14</v>
      </c>
      <c r="S29" s="704">
        <f t="shared" ref="S29:S47" si="12">F29</f>
        <v>100</v>
      </c>
      <c r="T29" s="703" t="s">
        <v>14</v>
      </c>
      <c r="U29" s="704">
        <f t="shared" ref="U29:U47" si="13">H29</f>
        <v>100</v>
      </c>
      <c r="V29" s="703" t="s">
        <v>14</v>
      </c>
      <c r="W29" s="704">
        <f t="shared" ref="W29:W47" si="14">J29</f>
        <v>100</v>
      </c>
      <c r="X29" s="3451"/>
      <c r="Y29" s="3691"/>
      <c r="Z29" s="3452">
        <f t="shared" ref="Z29:Z47" si="15">Q29</f>
        <v>111</v>
      </c>
      <c r="AA29" s="3450">
        <f t="shared" si="3"/>
        <v>1</v>
      </c>
      <c r="AB29" s="34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9"/>
      <c r="Q30" s="3449">
        <f t="shared" si="11"/>
        <v>111</v>
      </c>
      <c r="R30" s="703" t="s">
        <v>14</v>
      </c>
      <c r="S30" s="704">
        <f t="shared" si="12"/>
        <v>100</v>
      </c>
      <c r="T30" s="703" t="s">
        <v>14</v>
      </c>
      <c r="U30" s="704">
        <f t="shared" si="13"/>
        <v>100</v>
      </c>
      <c r="V30" s="703" t="s">
        <v>14</v>
      </c>
      <c r="W30" s="704">
        <f t="shared" si="14"/>
        <v>100</v>
      </c>
      <c r="X30" s="3451"/>
      <c r="Y30" s="3691"/>
      <c r="Z30" s="3452">
        <f t="shared" si="15"/>
        <v>111</v>
      </c>
      <c r="AA30" s="3450">
        <f t="shared" si="3"/>
        <v>1</v>
      </c>
      <c r="AB30" s="34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9"/>
      <c r="Q31" s="3449">
        <f t="shared" si="11"/>
        <v>111</v>
      </c>
      <c r="R31" s="703" t="s">
        <v>14</v>
      </c>
      <c r="S31" s="704">
        <f t="shared" si="12"/>
        <v>100</v>
      </c>
      <c r="T31" s="703" t="s">
        <v>14</v>
      </c>
      <c r="U31" s="704">
        <f t="shared" si="13"/>
        <v>100</v>
      </c>
      <c r="V31" s="703" t="s">
        <v>14</v>
      </c>
      <c r="W31" s="704">
        <f t="shared" si="14"/>
        <v>100</v>
      </c>
      <c r="X31" s="3451"/>
      <c r="Y31" s="3691"/>
      <c r="Z31" s="3452">
        <f t="shared" si="15"/>
        <v>111</v>
      </c>
      <c r="AA31" s="3450">
        <f t="shared" si="3"/>
        <v>1</v>
      </c>
      <c r="AB31" s="34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9"/>
      <c r="Q32" s="3449">
        <f t="shared" si="11"/>
        <v>111</v>
      </c>
      <c r="R32" s="703" t="s">
        <v>14</v>
      </c>
      <c r="S32" s="704">
        <f t="shared" si="12"/>
        <v>100</v>
      </c>
      <c r="T32" s="703" t="s">
        <v>14</v>
      </c>
      <c r="U32" s="704">
        <f t="shared" si="13"/>
        <v>100</v>
      </c>
      <c r="V32" s="703" t="s">
        <v>14</v>
      </c>
      <c r="W32" s="704">
        <f t="shared" si="14"/>
        <v>100</v>
      </c>
      <c r="X32" s="3451"/>
      <c r="Y32" s="3691"/>
      <c r="Z32" s="3452">
        <f t="shared" si="15"/>
        <v>111</v>
      </c>
      <c r="AA32" s="3450">
        <f t="shared" si="3"/>
        <v>1</v>
      </c>
      <c r="AB32" s="3450">
        <f t="shared" si="4"/>
        <v>1</v>
      </c>
      <c r="AC32" s="1959">
        <f t="shared" si="5"/>
        <v>1</v>
      </c>
    </row>
    <row r="33" spans="1:29" ht="15">
      <c r="A33" s="391" t="s">
        <v>1694</v>
      </c>
      <c r="B33" s="63" t="s">
        <v>1817</v>
      </c>
      <c r="C33" s="1964" t="s">
        <v>3408</v>
      </c>
      <c r="D33" s="418">
        <v>100</v>
      </c>
      <c r="E33" s="1964" t="s">
        <v>3408</v>
      </c>
      <c r="F33" s="412">
        <f>SUMIF(101:101,E33,102:102)-SUMIF(101:101,C33,102:102)+100</f>
        <v>100</v>
      </c>
      <c r="G33" s="1964" t="s">
        <v>3408</v>
      </c>
      <c r="H33" s="386">
        <f>SUMIF(101:101,G33,102:102)-SUMIF(101:101,C33,102:102)+100</f>
        <v>100</v>
      </c>
      <c r="I33" s="1964" t="s">
        <v>3408</v>
      </c>
      <c r="J33" s="418">
        <f>SUMIF(101:101,I33,102:102)-SUMIF(101:101,C33,102:102)+100</f>
        <v>100</v>
      </c>
      <c r="K33" s="561">
        <v>1</v>
      </c>
      <c r="L33" s="2719"/>
      <c r="M33" s="2713"/>
      <c r="N33" s="2713"/>
      <c r="O33" s="2713"/>
      <c r="P33" s="3692" t="s">
        <v>1696</v>
      </c>
      <c r="Q33" s="3449" t="str">
        <f t="shared" si="11"/>
        <v>建筑类型</v>
      </c>
      <c r="R33" s="703" t="s">
        <v>14</v>
      </c>
      <c r="S33" s="704">
        <f t="shared" si="12"/>
        <v>100</v>
      </c>
      <c r="T33" s="703" t="s">
        <v>14</v>
      </c>
      <c r="U33" s="704">
        <f t="shared" si="13"/>
        <v>100</v>
      </c>
      <c r="V33" s="703" t="s">
        <v>14</v>
      </c>
      <c r="W33" s="704">
        <f t="shared" si="14"/>
        <v>100</v>
      </c>
      <c r="X33" s="3451"/>
      <c r="Y33" s="3695" t="s">
        <v>1696</v>
      </c>
      <c r="Z33" s="3452" t="str">
        <f t="shared" si="15"/>
        <v>建筑类型</v>
      </c>
      <c r="AA33" s="3450">
        <f t="shared" si="3"/>
        <v>1</v>
      </c>
      <c r="AB33" s="3450">
        <f t="shared" si="4"/>
        <v>1</v>
      </c>
      <c r="AC33" s="1959">
        <f t="shared" si="5"/>
        <v>1</v>
      </c>
    </row>
    <row r="34" spans="1:29" s="422" customFormat="1" ht="15">
      <c r="A34" s="419"/>
      <c r="B34" s="375" t="s">
        <v>1697</v>
      </c>
      <c r="C34" s="420">
        <f>'数据-汇总表'!F19</f>
        <v>421.62</v>
      </c>
      <c r="D34" s="127">
        <v>100</v>
      </c>
      <c r="E34" s="420">
        <v>200</v>
      </c>
      <c r="F34" s="376">
        <f>LOOKUP(E34,104:104,105:105)-LOOKUP(C34,104:104,105:105)+100</f>
        <v>98</v>
      </c>
      <c r="G34" s="420">
        <v>200</v>
      </c>
      <c r="H34" s="127">
        <f>LOOKUP(G34,104:104,105:105)-LOOKUP(C34,104:104,105:105)+100</f>
        <v>98</v>
      </c>
      <c r="I34" s="420">
        <v>660</v>
      </c>
      <c r="J34" s="127">
        <f>LOOKUP(I34,104:104,105:105)-LOOKUP(C34,104:104,105:105)+100</f>
        <v>98</v>
      </c>
      <c r="K34" s="562"/>
      <c r="L34" s="2718"/>
      <c r="M34" s="2720"/>
      <c r="N34" s="2720"/>
      <c r="O34" s="2720"/>
      <c r="P34" s="3693"/>
      <c r="Q34" s="705" t="str">
        <f t="shared" si="11"/>
        <v>项目建筑规模</v>
      </c>
      <c r="R34" s="706" t="s">
        <v>14</v>
      </c>
      <c r="S34" s="707">
        <f t="shared" si="12"/>
        <v>98</v>
      </c>
      <c r="T34" s="706" t="s">
        <v>14</v>
      </c>
      <c r="U34" s="707">
        <f t="shared" si="13"/>
        <v>98</v>
      </c>
      <c r="V34" s="706" t="s">
        <v>14</v>
      </c>
      <c r="W34" s="707">
        <f t="shared" si="14"/>
        <v>98</v>
      </c>
      <c r="X34" s="708"/>
      <c r="Y34" s="3695"/>
      <c r="Z34" s="709" t="str">
        <f t="shared" si="15"/>
        <v>项目建筑规模</v>
      </c>
      <c r="AA34" s="3450">
        <f t="shared" si="3"/>
        <v>1.0204081632653061</v>
      </c>
      <c r="AB34" s="3450">
        <f t="shared" si="4"/>
        <v>1.0204081632653061</v>
      </c>
      <c r="AC34" s="1959">
        <f t="shared" si="5"/>
        <v>1.0204081632653061</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9"/>
      <c r="M35" s="2713"/>
      <c r="N35" s="2713"/>
      <c r="O35" s="2713"/>
      <c r="P35" s="3693"/>
      <c r="Q35" s="3449" t="str">
        <f t="shared" si="11"/>
        <v>建筑结构</v>
      </c>
      <c r="R35" s="703" t="s">
        <v>14</v>
      </c>
      <c r="S35" s="704">
        <f t="shared" si="12"/>
        <v>100</v>
      </c>
      <c r="T35" s="703" t="s">
        <v>14</v>
      </c>
      <c r="U35" s="704">
        <f t="shared" si="13"/>
        <v>100</v>
      </c>
      <c r="V35" s="703" t="s">
        <v>14</v>
      </c>
      <c r="W35" s="704">
        <f t="shared" si="14"/>
        <v>100</v>
      </c>
      <c r="X35" s="3451"/>
      <c r="Y35" s="3695"/>
      <c r="Z35" s="3452" t="str">
        <f t="shared" si="15"/>
        <v>建筑结构</v>
      </c>
      <c r="AA35" s="3450">
        <f t="shared" si="3"/>
        <v>1</v>
      </c>
      <c r="AB35" s="3450">
        <f t="shared" si="4"/>
        <v>1</v>
      </c>
      <c r="AC35" s="1959">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19"/>
      <c r="M36" s="2713"/>
      <c r="N36" s="2713"/>
      <c r="O36" s="2713"/>
      <c r="P36" s="3693"/>
      <c r="Q36" s="3449" t="str">
        <f t="shared" si="11"/>
        <v>公共部分装修</v>
      </c>
      <c r="R36" s="703" t="s">
        <v>14</v>
      </c>
      <c r="S36" s="704">
        <f t="shared" si="12"/>
        <v>100</v>
      </c>
      <c r="T36" s="703" t="s">
        <v>14</v>
      </c>
      <c r="U36" s="704">
        <f t="shared" si="13"/>
        <v>100</v>
      </c>
      <c r="V36" s="703" t="s">
        <v>14</v>
      </c>
      <c r="W36" s="704">
        <f t="shared" si="14"/>
        <v>100</v>
      </c>
      <c r="X36" s="3451"/>
      <c r="Y36" s="3695"/>
      <c r="Z36" s="3452" t="str">
        <f t="shared" si="15"/>
        <v>公共部分装修</v>
      </c>
      <c r="AA36" s="3450">
        <f t="shared" si="3"/>
        <v>1</v>
      </c>
      <c r="AB36" s="3450">
        <f t="shared" si="4"/>
        <v>1</v>
      </c>
      <c r="AC36" s="1959">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93"/>
      <c r="Q37" s="3449" t="str">
        <f t="shared" si="11"/>
        <v>成新度</v>
      </c>
      <c r="R37" s="703" t="s">
        <v>14</v>
      </c>
      <c r="S37" s="704">
        <f t="shared" si="12"/>
        <v>100</v>
      </c>
      <c r="T37" s="703" t="s">
        <v>14</v>
      </c>
      <c r="U37" s="704">
        <f t="shared" si="13"/>
        <v>100</v>
      </c>
      <c r="V37" s="703" t="s">
        <v>14</v>
      </c>
      <c r="W37" s="704">
        <f t="shared" si="14"/>
        <v>100</v>
      </c>
      <c r="X37" s="3451"/>
      <c r="Y37" s="3695"/>
      <c r="Z37" s="3452" t="str">
        <f t="shared" si="15"/>
        <v>成新度</v>
      </c>
      <c r="AA37" s="3450">
        <f t="shared" si="3"/>
        <v>1</v>
      </c>
      <c r="AB37" s="34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3"/>
      <c r="Q38" s="3447" t="str">
        <f t="shared" si="11"/>
        <v>写字楼等级</v>
      </c>
      <c r="R38" s="699" t="s">
        <v>14</v>
      </c>
      <c r="S38" s="700">
        <f t="shared" si="12"/>
        <v>100</v>
      </c>
      <c r="T38" s="699" t="s">
        <v>14</v>
      </c>
      <c r="U38" s="700">
        <f t="shared" si="13"/>
        <v>100</v>
      </c>
      <c r="V38" s="699" t="s">
        <v>14</v>
      </c>
      <c r="W38" s="700">
        <f t="shared" si="14"/>
        <v>100</v>
      </c>
      <c r="X38" s="701"/>
      <c r="Y38" s="3695"/>
      <c r="Z38" s="3446" t="str">
        <f t="shared" si="15"/>
        <v>写字楼等级</v>
      </c>
      <c r="AA38" s="702">
        <f t="shared" si="3"/>
        <v>1</v>
      </c>
      <c r="AB38" s="702">
        <f t="shared" si="4"/>
        <v>1</v>
      </c>
      <c r="AC38" s="1956">
        <f t="shared" si="5"/>
        <v>1</v>
      </c>
    </row>
    <row r="39" spans="1:29" ht="15">
      <c r="A39" s="423"/>
      <c r="B39" s="375" t="s">
        <v>1819</v>
      </c>
      <c r="C39" s="411" t="s">
        <v>3415</v>
      </c>
      <c r="D39" s="386">
        <v>100</v>
      </c>
      <c r="E39" s="411" t="s">
        <v>3415</v>
      </c>
      <c r="F39" s="412">
        <f>SUMIF(115:115,E39,116:116)-SUMIF(115:115,C39,116:116)+100</f>
        <v>100</v>
      </c>
      <c r="G39" s="411" t="s">
        <v>3415</v>
      </c>
      <c r="H39" s="386">
        <f>SUMIF(115:115,G39,116:116)-SUMIF(115:115,C39,116:116)+100</f>
        <v>100</v>
      </c>
      <c r="I39" s="411" t="s">
        <v>3415</v>
      </c>
      <c r="J39" s="386">
        <f>SUMIF(115:115,I39,116:116)-SUMIF(115:115,C39,116:116)+100</f>
        <v>100</v>
      </c>
      <c r="K39" s="561">
        <v>1</v>
      </c>
      <c r="L39" s="2719"/>
      <c r="M39" s="2713"/>
      <c r="N39" s="2713"/>
      <c r="O39" s="2713"/>
      <c r="P39" s="3693" t="s">
        <v>1696</v>
      </c>
      <c r="Q39" s="3449" t="str">
        <f t="shared" si="11"/>
        <v>物业管理</v>
      </c>
      <c r="R39" s="703" t="s">
        <v>14</v>
      </c>
      <c r="S39" s="704">
        <f t="shared" si="12"/>
        <v>100</v>
      </c>
      <c r="T39" s="703" t="s">
        <v>14</v>
      </c>
      <c r="U39" s="704">
        <f t="shared" si="13"/>
        <v>100</v>
      </c>
      <c r="V39" s="703" t="s">
        <v>14</v>
      </c>
      <c r="W39" s="704">
        <f t="shared" si="14"/>
        <v>100</v>
      </c>
      <c r="X39" s="3451"/>
      <c r="Y39" s="3695" t="s">
        <v>1696</v>
      </c>
      <c r="Z39" s="3452" t="str">
        <f t="shared" si="15"/>
        <v>物业管理</v>
      </c>
      <c r="AA39" s="3450">
        <f t="shared" si="3"/>
        <v>1</v>
      </c>
      <c r="AB39" s="3450">
        <f t="shared" si="4"/>
        <v>1</v>
      </c>
      <c r="AC39" s="1959">
        <f t="shared" si="5"/>
        <v>1</v>
      </c>
    </row>
    <row r="40" spans="1:29" ht="15">
      <c r="A40" s="423"/>
      <c r="B40" s="375" t="s">
        <v>1787</v>
      </c>
      <c r="C40" s="411" t="s">
        <v>3417</v>
      </c>
      <c r="D40" s="386">
        <v>100</v>
      </c>
      <c r="E40" s="411" t="s">
        <v>3417</v>
      </c>
      <c r="F40" s="412">
        <f>SUMIF(117:117,E40,118:118)-SUMIF(117:117,C40,118:118)+100</f>
        <v>100</v>
      </c>
      <c r="G40" s="411" t="s">
        <v>3417</v>
      </c>
      <c r="H40" s="386">
        <f>SUMIF(117:117,G40,118:118)-SUMIF(117:117,C40,118:118)+100</f>
        <v>100</v>
      </c>
      <c r="I40" s="411" t="s">
        <v>3417</v>
      </c>
      <c r="J40" s="386">
        <f>SUMIF(117:117,I40,118:118)-SUMIF(117:117,C40,118:118)+100</f>
        <v>100</v>
      </c>
      <c r="K40" s="561">
        <v>1</v>
      </c>
      <c r="L40" s="2719"/>
      <c r="M40" s="2713"/>
      <c r="N40" s="2713"/>
      <c r="O40" s="2713"/>
      <c r="P40" s="3693"/>
      <c r="Q40" s="3449" t="str">
        <f t="shared" si="11"/>
        <v>市政基础设施</v>
      </c>
      <c r="R40" s="703" t="s">
        <v>14</v>
      </c>
      <c r="S40" s="704">
        <f t="shared" si="12"/>
        <v>100</v>
      </c>
      <c r="T40" s="703" t="s">
        <v>14</v>
      </c>
      <c r="U40" s="704">
        <f t="shared" si="13"/>
        <v>100</v>
      </c>
      <c r="V40" s="703" t="s">
        <v>14</v>
      </c>
      <c r="W40" s="704">
        <f t="shared" si="14"/>
        <v>100</v>
      </c>
      <c r="X40" s="3451"/>
      <c r="Y40" s="3695"/>
      <c r="Z40" s="3452" t="str">
        <f t="shared" si="15"/>
        <v>市政基础设施</v>
      </c>
      <c r="AA40" s="3450">
        <f t="shared" si="3"/>
        <v>1</v>
      </c>
      <c r="AB40" s="34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3"/>
      <c r="Q41" s="3449" t="str">
        <f t="shared" si="11"/>
        <v>层高</v>
      </c>
      <c r="R41" s="703" t="s">
        <v>14</v>
      </c>
      <c r="S41" s="704">
        <f t="shared" si="12"/>
        <v>100</v>
      </c>
      <c r="T41" s="703" t="s">
        <v>14</v>
      </c>
      <c r="U41" s="704">
        <f t="shared" si="13"/>
        <v>100</v>
      </c>
      <c r="V41" s="703" t="s">
        <v>14</v>
      </c>
      <c r="W41" s="704">
        <f t="shared" si="14"/>
        <v>100</v>
      </c>
      <c r="X41" s="3451"/>
      <c r="Y41" s="3695"/>
      <c r="Z41" s="3452" t="str">
        <f t="shared" si="15"/>
        <v>层高</v>
      </c>
      <c r="AA41" s="3450">
        <f t="shared" si="3"/>
        <v>1</v>
      </c>
      <c r="AB41" s="3450">
        <f t="shared" si="4"/>
        <v>1</v>
      </c>
      <c r="AC41" s="1959">
        <f t="shared" si="5"/>
        <v>1</v>
      </c>
    </row>
    <row r="42" spans="1:29" s="422" customFormat="1" ht="15">
      <c r="A42" s="419"/>
      <c r="B42" s="34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3"/>
      <c r="Q42" s="705" t="str">
        <f t="shared" si="11"/>
        <v>单套建筑面积</v>
      </c>
      <c r="R42" s="706" t="s">
        <v>14</v>
      </c>
      <c r="S42" s="707">
        <f t="shared" si="12"/>
        <v>100</v>
      </c>
      <c r="T42" s="706" t="s">
        <v>14</v>
      </c>
      <c r="U42" s="707">
        <f t="shared" si="13"/>
        <v>100</v>
      </c>
      <c r="V42" s="706" t="s">
        <v>14</v>
      </c>
      <c r="W42" s="707">
        <f t="shared" si="14"/>
        <v>100</v>
      </c>
      <c r="X42" s="708"/>
      <c r="Y42" s="3695"/>
      <c r="Z42" s="709" t="str">
        <f t="shared" si="15"/>
        <v>单套建筑面积</v>
      </c>
      <c r="AA42" s="3450">
        <f t="shared" si="3"/>
        <v>1</v>
      </c>
      <c r="AB42" s="3450">
        <f t="shared" si="4"/>
        <v>1</v>
      </c>
      <c r="AC42" s="1959">
        <f t="shared" si="5"/>
        <v>1</v>
      </c>
    </row>
    <row r="43" spans="1:29" ht="15">
      <c r="A43" s="423"/>
      <c r="B43" s="375" t="s">
        <v>1792</v>
      </c>
      <c r="C43" s="411" t="s">
        <v>3422</v>
      </c>
      <c r="D43" s="386">
        <v>100</v>
      </c>
      <c r="E43" s="411" t="s">
        <v>3422</v>
      </c>
      <c r="F43" s="412">
        <f>SUMIF(123:123,E43,124:124)-SUMIF(123:123,C43,124:124)+100</f>
        <v>100</v>
      </c>
      <c r="G43" s="411" t="s">
        <v>3422</v>
      </c>
      <c r="H43" s="386">
        <f>SUMIF(123:123,G43,124:124)-SUMIF(123:123,C43,124:124)+100</f>
        <v>100</v>
      </c>
      <c r="I43" s="411" t="s">
        <v>3422</v>
      </c>
      <c r="J43" s="386">
        <f>SUMIF(123:123,I43,124:124)-SUMIF(123:123,C43,124:124)+100</f>
        <v>100</v>
      </c>
      <c r="K43" s="561">
        <v>2</v>
      </c>
      <c r="L43" s="2719"/>
      <c r="M43" s="2713"/>
      <c r="N43" s="2713"/>
      <c r="O43" s="2713"/>
      <c r="P43" s="3693"/>
      <c r="Q43" s="3449" t="str">
        <f t="shared" si="11"/>
        <v>内部装修</v>
      </c>
      <c r="R43" s="703" t="s">
        <v>14</v>
      </c>
      <c r="S43" s="704">
        <f t="shared" si="12"/>
        <v>100</v>
      </c>
      <c r="T43" s="703" t="s">
        <v>14</v>
      </c>
      <c r="U43" s="704">
        <f t="shared" si="13"/>
        <v>100</v>
      </c>
      <c r="V43" s="703" t="s">
        <v>14</v>
      </c>
      <c r="W43" s="704">
        <f t="shared" si="14"/>
        <v>100</v>
      </c>
      <c r="X43" s="3451"/>
      <c r="Y43" s="3695"/>
      <c r="Z43" s="3452" t="str">
        <f t="shared" si="15"/>
        <v>内部装修</v>
      </c>
      <c r="AA43" s="3450">
        <f t="shared" si="3"/>
        <v>1</v>
      </c>
      <c r="AB43" s="3450">
        <f t="shared" si="4"/>
        <v>1</v>
      </c>
      <c r="AC43" s="1959">
        <f t="shared" si="5"/>
        <v>1</v>
      </c>
    </row>
    <row r="44" spans="1:29" ht="15">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19"/>
      <c r="M44" s="2713"/>
      <c r="N44" s="2713"/>
      <c r="O44" s="2713"/>
      <c r="P44" s="3693"/>
      <c r="Q44" s="3449" t="str">
        <f t="shared" si="11"/>
        <v>内部装修维护情况</v>
      </c>
      <c r="R44" s="703" t="s">
        <v>14</v>
      </c>
      <c r="S44" s="704">
        <f t="shared" si="12"/>
        <v>100</v>
      </c>
      <c r="T44" s="703" t="s">
        <v>14</v>
      </c>
      <c r="U44" s="704">
        <f t="shared" si="13"/>
        <v>100</v>
      </c>
      <c r="V44" s="703" t="s">
        <v>14</v>
      </c>
      <c r="W44" s="704">
        <f t="shared" si="14"/>
        <v>100</v>
      </c>
      <c r="X44" s="3451"/>
      <c r="Y44" s="3695"/>
      <c r="Z44" s="3452" t="str">
        <f t="shared" si="15"/>
        <v>内部装修维护情况</v>
      </c>
      <c r="AA44" s="3450">
        <f t="shared" si="3"/>
        <v>1</v>
      </c>
      <c r="AB44" s="34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3"/>
      <c r="Q45" s="3447">
        <f t="shared" si="11"/>
        <v>111</v>
      </c>
      <c r="R45" s="699" t="s">
        <v>14</v>
      </c>
      <c r="S45" s="700">
        <f t="shared" si="12"/>
        <v>100</v>
      </c>
      <c r="T45" s="699" t="s">
        <v>14</v>
      </c>
      <c r="U45" s="700">
        <f t="shared" si="13"/>
        <v>100</v>
      </c>
      <c r="V45" s="699" t="s">
        <v>14</v>
      </c>
      <c r="W45" s="700">
        <f t="shared" si="14"/>
        <v>100</v>
      </c>
      <c r="X45" s="701"/>
      <c r="Y45" s="3695"/>
      <c r="Z45" s="3446">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3"/>
      <c r="Q46" s="3449">
        <f t="shared" si="11"/>
        <v>111</v>
      </c>
      <c r="R46" s="703" t="s">
        <v>14</v>
      </c>
      <c r="S46" s="704">
        <f t="shared" si="12"/>
        <v>100</v>
      </c>
      <c r="T46" s="703" t="s">
        <v>14</v>
      </c>
      <c r="U46" s="704">
        <f t="shared" si="13"/>
        <v>100</v>
      </c>
      <c r="V46" s="703" t="s">
        <v>14</v>
      </c>
      <c r="W46" s="704">
        <f t="shared" si="14"/>
        <v>100</v>
      </c>
      <c r="X46" s="3451"/>
      <c r="Y46" s="3695"/>
      <c r="Z46" s="3452">
        <f t="shared" si="15"/>
        <v>111</v>
      </c>
      <c r="AA46" s="3450">
        <f t="shared" si="3"/>
        <v>1</v>
      </c>
      <c r="AB46" s="34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4"/>
      <c r="Q47" s="3449">
        <f t="shared" si="11"/>
        <v>111</v>
      </c>
      <c r="R47" s="703" t="s">
        <v>14</v>
      </c>
      <c r="S47" s="704">
        <f t="shared" si="12"/>
        <v>100</v>
      </c>
      <c r="T47" s="703" t="s">
        <v>14</v>
      </c>
      <c r="U47" s="704">
        <f t="shared" si="13"/>
        <v>100</v>
      </c>
      <c r="V47" s="703" t="s">
        <v>14</v>
      </c>
      <c r="W47" s="704">
        <f t="shared" si="14"/>
        <v>100</v>
      </c>
      <c r="X47" s="3451"/>
      <c r="Y47" s="3696"/>
      <c r="Z47" s="3452">
        <f t="shared" si="15"/>
        <v>111</v>
      </c>
      <c r="AA47" s="3450">
        <f t="shared" si="3"/>
        <v>1</v>
      </c>
      <c r="AB47" s="3450">
        <f t="shared" si="4"/>
        <v>1</v>
      </c>
      <c r="AC47" s="1959">
        <f t="shared" si="5"/>
        <v>1</v>
      </c>
    </row>
    <row r="48" spans="1:29" ht="15">
      <c r="A48" s="430" t="s">
        <v>1708</v>
      </c>
      <c r="B48" s="431"/>
      <c r="C48" s="1151" t="s">
        <v>0</v>
      </c>
      <c r="D48" s="1152"/>
      <c r="E48" s="1153">
        <v>4.3</v>
      </c>
      <c r="F48" s="1154"/>
      <c r="G48" s="1155">
        <v>4</v>
      </c>
      <c r="H48" s="1156"/>
      <c r="I48" s="1153">
        <v>4.5</v>
      </c>
      <c r="J48" s="436"/>
      <c r="K48" s="712"/>
      <c r="L48" s="2721"/>
      <c r="M48" s="2713"/>
      <c r="N48" s="2713"/>
      <c r="O48" s="2713"/>
      <c r="P48" s="3668" t="str">
        <f>A48</f>
        <v>成交单价（元/平方米）</v>
      </c>
      <c r="Q48" s="3697"/>
      <c r="R48" s="3698">
        <f>E48</f>
        <v>4.3</v>
      </c>
      <c r="S48" s="3698"/>
      <c r="T48" s="3698">
        <f>G48</f>
        <v>4</v>
      </c>
      <c r="U48" s="3698"/>
      <c r="V48" s="3698">
        <f>I48</f>
        <v>4.5</v>
      </c>
      <c r="W48" s="3698"/>
      <c r="X48" s="397"/>
      <c r="Y48" s="710"/>
      <c r="Z48" s="397"/>
      <c r="AA48" s="397"/>
      <c r="AB48" s="397"/>
      <c r="AC48" s="578"/>
    </row>
    <row r="49" spans="1:29" ht="15.75" thickBot="1">
      <c r="A49" s="437" t="s">
        <v>1709</v>
      </c>
      <c r="B49" s="438"/>
      <c r="C49" s="1157">
        <f>R50</f>
        <v>4.3</v>
      </c>
      <c r="D49" s="2314" t="s">
        <v>2137</v>
      </c>
      <c r="E49" s="1158">
        <f>R49</f>
        <v>4.3</v>
      </c>
      <c r="F49" s="2315"/>
      <c r="G49" s="1157">
        <f>T49</f>
        <v>4</v>
      </c>
      <c r="H49" s="2315"/>
      <c r="I49" s="1158">
        <f>V49</f>
        <v>4.5</v>
      </c>
      <c r="J49" s="2315"/>
      <c r="K49" s="2317">
        <f>F49+H49+J49</f>
        <v>0</v>
      </c>
      <c r="L49" s="2721"/>
      <c r="M49" s="2713"/>
      <c r="N49" s="2713"/>
      <c r="O49" s="2713"/>
      <c r="P49" s="3668" t="str">
        <f>A49</f>
        <v>比较价值（元/平方米）</v>
      </c>
      <c r="Q49" s="3697"/>
      <c r="R49" s="3698">
        <f>IF(F1="售价",ROUND(PRODUCT(R48,AA7:AA47),0),ROUND(PRODUCT(R48,AA7:AA47),1))</f>
        <v>4.3</v>
      </c>
      <c r="S49" s="3698"/>
      <c r="T49" s="3698">
        <f>IF(F1="售价",ROUND(PRODUCT(T48,AB7:AB47),0),ROUND(PRODUCT(T48,AB7:AB47),1))</f>
        <v>4</v>
      </c>
      <c r="U49" s="3698"/>
      <c r="V49" s="3698">
        <f>IF(F1="售价",ROUND(PRODUCT(V48,AC7:AC47),0),ROUND(PRODUCT(V48,AC7:AC47),1))</f>
        <v>4.5</v>
      </c>
      <c r="W49" s="3698"/>
      <c r="X49" s="397"/>
      <c r="Y49" s="397"/>
      <c r="Z49" s="397"/>
      <c r="AA49" s="397"/>
      <c r="AB49" s="397"/>
      <c r="AC49" s="578"/>
    </row>
    <row r="50" spans="1:29" ht="15.75" thickBot="1">
      <c r="A50" s="441" t="s">
        <v>1710</v>
      </c>
      <c r="B50" s="442"/>
      <c r="C50" s="1160">
        <f>R50</f>
        <v>4.3</v>
      </c>
      <c r="D50" s="1160"/>
      <c r="E50" s="1160"/>
      <c r="F50" s="1160"/>
      <c r="G50" s="1160"/>
      <c r="H50" s="1160"/>
      <c r="I50" s="1160"/>
      <c r="J50" s="443"/>
      <c r="K50" s="713"/>
      <c r="L50" s="2721"/>
      <c r="M50" s="2713"/>
      <c r="N50" s="2713"/>
      <c r="O50" s="2713"/>
      <c r="P50" s="3699" t="str">
        <f>A50</f>
        <v>估价对象XX用房的比较价值（楼面单价，元/平方米）</v>
      </c>
      <c r="Q50" s="3700"/>
      <c r="R50" s="3701">
        <f>IF(F1="售价",ROUND(IF(D49="简单平均",AVERAGE(R49:V49),R49*F49+T49*H49+V49*J49),0),ROUND(IF(D49="简单平均",AVERAGE(R49:V49),R49*F49+T49*H49+V49*J49),1))</f>
        <v>4.3</v>
      </c>
      <c r="S50" s="3701"/>
      <c r="T50" s="3701"/>
      <c r="U50" s="3701"/>
      <c r="V50" s="3701"/>
      <c r="W50" s="370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7.4999999999999956E-2</v>
      </c>
      <c r="F54" s="449" t="str">
        <f>IF(OR(E54&gt;=0.2,E54&lt;=-0.2),"超过20%","")</f>
        <v/>
      </c>
      <c r="G54" s="448">
        <f>IF(G49&lt;I49,I49/G49-1,G49/I49-1)</f>
        <v>0.125</v>
      </c>
      <c r="H54" s="449" t="str">
        <f>IF(OR(G54&gt;=0.2,G54&lt;=-0.2),"超过20%","")</f>
        <v/>
      </c>
      <c r="I54" s="448">
        <f>IF(I49&lt;E49,E49/I49-1,I49/E49-1)</f>
        <v>4.6511627906976827E-2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7.4999999999999956E-2</v>
      </c>
      <c r="F55" s="449" t="str">
        <f>IF(OR(E55&gt;=0.3,E55&lt;=-0.3),"超过30%","")</f>
        <v/>
      </c>
      <c r="G55" s="448">
        <f>IF(G48&lt;I48,I48/G48-1,G48/I48-1)</f>
        <v>0.125</v>
      </c>
      <c r="H55" s="449" t="str">
        <f>IF(OR(G55&gt;=0.3,G55&lt;=-0.3),"超过30%","")</f>
        <v/>
      </c>
      <c r="I55" s="448">
        <f>IF(I48&lt;E48,E48/I48-1,I48/E48-1)</f>
        <v>4.6511627906976827E-2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1714</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1718</v>
      </c>
      <c r="D62" s="3454" t="s">
        <v>3396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55" t="s">
        <v>3398</v>
      </c>
      <c r="D87" s="3455" t="s">
        <v>3399</v>
      </c>
      <c r="E87" s="3455" t="s">
        <v>3400</v>
      </c>
      <c r="F87" s="3455" t="s">
        <v>3401</v>
      </c>
      <c r="G87" s="3455" t="s">
        <v>3402</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5" t="s">
        <v>3404</v>
      </c>
      <c r="D89" s="3455" t="s">
        <v>3405</v>
      </c>
      <c r="E89" s="3455" t="s">
        <v>3407</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6" t="s">
        <v>3409</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5" t="s">
        <v>3413</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5" t="s">
        <v>3414</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3416</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3413</v>
      </c>
      <c r="D123" s="3455" t="s">
        <v>3423</v>
      </c>
      <c r="E123" s="3455" t="s">
        <v>3424</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2" t="s">
        <v>2842</v>
      </c>
      <c r="B1" s="3782"/>
      <c r="C1" s="3782"/>
      <c r="D1" s="3782"/>
      <c r="E1" s="3782"/>
      <c r="F1" s="3782"/>
      <c r="G1" s="378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80"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8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4" t="s">
        <v>3184</v>
      </c>
      <c r="B1" s="3784"/>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85" t="s">
        <v>3235</v>
      </c>
      <c r="B1" s="3785"/>
      <c r="C1" s="3785"/>
      <c r="D1" s="3785"/>
      <c r="E1" s="3785"/>
      <c r="F1" s="3786"/>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8">
        <f>基准地价修正!G23</f>
        <v>45496</v>
      </c>
      <c r="B1" s="3207" t="s">
        <v>3374</v>
      </c>
      <c r="C1" s="3208"/>
      <c r="D1" s="3208"/>
      <c r="E1" s="3208"/>
      <c r="F1" s="3208"/>
      <c r="G1" s="3208"/>
      <c r="H1" s="3208"/>
      <c r="I1" s="3208"/>
      <c r="J1" s="3162"/>
      <c r="K1" s="3208" t="s">
        <v>454</v>
      </c>
      <c r="L1" s="3208"/>
      <c r="M1" s="3208"/>
      <c r="N1" s="3208"/>
      <c r="O1" s="3208"/>
      <c r="P1" s="3208"/>
      <c r="Q1" s="3162"/>
      <c r="R1" s="3787" t="s">
        <v>456</v>
      </c>
      <c r="S1" s="3788"/>
      <c r="T1" s="3788"/>
      <c r="U1" s="3788"/>
      <c r="V1" s="3788"/>
      <c r="W1" s="3788"/>
      <c r="X1" s="3162"/>
      <c r="Y1" s="3787" t="s">
        <v>457</v>
      </c>
      <c r="Z1" s="3788"/>
      <c r="AA1" s="3788"/>
      <c r="AB1" s="3788"/>
      <c r="AC1" s="3788"/>
      <c r="AD1" s="3788"/>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ROUND(AVERAGEIF(D4:D19,"&lt;&gt;0"),2)</f>
        <v>0.68</v>
      </c>
      <c r="E3" s="3148">
        <f t="shared" ref="E3:H3" si="0">ROUND(AVERAGEIF(E4:E19,"&lt;&gt;0"),2)</f>
        <v>0.4</v>
      </c>
      <c r="F3" s="3148">
        <f t="shared" si="0"/>
        <v>0.17</v>
      </c>
      <c r="G3" s="3148">
        <f t="shared" si="0"/>
        <v>0.74</v>
      </c>
      <c r="H3" s="3148">
        <f t="shared" si="0"/>
        <v>0.62</v>
      </c>
      <c r="I3" s="3148">
        <f>F3</f>
        <v>0.17</v>
      </c>
      <c r="J3" s="3149"/>
      <c r="K3" s="3150">
        <f>ROUND(AVERAGEIF(K4:K19,"&lt;&gt;0"),4)</f>
        <v>6.7999999999999996E-3</v>
      </c>
      <c r="L3" s="3151">
        <f t="shared" ref="L3:O3" si="1">ROUND(AVERAGEIF(L4:L19,"&lt;&gt;0"),4)</f>
        <v>4.0000000000000001E-3</v>
      </c>
      <c r="M3" s="3151">
        <f t="shared" si="1"/>
        <v>1.6999999999999999E-3</v>
      </c>
      <c r="N3" s="3151">
        <f t="shared" si="1"/>
        <v>7.4000000000000003E-3</v>
      </c>
      <c r="O3" s="3151">
        <f t="shared" si="1"/>
        <v>6.1999999999999998E-3</v>
      </c>
      <c r="P3" s="3151">
        <f>M3</f>
        <v>1.6999999999999999E-3</v>
      </c>
      <c r="Q3" s="3149"/>
      <c r="R3" s="3152">
        <f>ROUND(SUMPRODUCT(PRODUCT(1+K4:K19)),4)</f>
        <v>1.0916999999999999</v>
      </c>
      <c r="S3" s="3153">
        <f t="shared" ref="S3:V3" si="2">ROUND(SUMPRODUCT(PRODUCT(1+L4:L19)),4)</f>
        <v>1.0537000000000001</v>
      </c>
      <c r="T3" s="3153">
        <f t="shared" si="2"/>
        <v>1.0224</v>
      </c>
      <c r="U3" s="3153">
        <f t="shared" si="2"/>
        <v>1.1008</v>
      </c>
      <c r="V3" s="3153">
        <f t="shared" si="2"/>
        <v>1.0843</v>
      </c>
      <c r="W3" s="3152">
        <f>T3</f>
        <v>1.0224</v>
      </c>
      <c r="X3" s="3149"/>
      <c r="Y3" s="3154">
        <f>ROUND(AVERAGEIF(Y6:Y19,"&lt;&gt;0"),4)</f>
        <v>8.6999999999999994E-3</v>
      </c>
      <c r="Z3" s="3155">
        <f t="shared" ref="Z3:AC3" si="3">ROUND(AVERAGEIF(Z6:Z19,"&lt;&gt;0"),4)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3382</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1.0811999999999999</v>
      </c>
      <c r="S5" s="3180">
        <f>ROUND(IF(项目基本情况!$B$8="出让",SUMPRODUCT(PRODUCT(1+L5:$L$19)),SUMPRODUCT(PRODUCT(1+L5:$L$18))),4)</f>
        <v>1.052</v>
      </c>
      <c r="T5" s="3180">
        <f>ROUND(IF(项目基本情况!$B$8="出让",SUMPRODUCT(PRODUCT(1+M5:$M$19)),SUMPRODUCT(PRODUCT(1+M5:$M$18))),4)</f>
        <v>1.0249999999999999</v>
      </c>
      <c r="U5" s="3180">
        <f>ROUND(IF(项目基本情况!$B$8="出让",SUMPRODUCT(PRODUCT(1+N5:$N$19)),SUMPRODUCT(PRODUCT(1+N5:$N$18))),4)</f>
        <v>1.0888</v>
      </c>
      <c r="V5" s="3180">
        <f>ROUND(IF(项目基本情况!$B$8="出让",SUMPRODUCT(PRODUCT(1+O5:$O$19)),SUMPRODUCT(PRODUCT(1+O5:$O$18))),4)</f>
        <v>1.0804</v>
      </c>
      <c r="W5" s="3180">
        <f>T5</f>
        <v>1.0249999999999999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82" customFormat="1" ht="12.75">
      <c r="A6" s="2202" t="s">
        <v>3377</v>
      </c>
      <c r="B6" s="3174">
        <v>2024</v>
      </c>
      <c r="C6" s="3175">
        <v>2</v>
      </c>
      <c r="D6" s="3176">
        <v>0</v>
      </c>
      <c r="E6" s="3176">
        <v>0</v>
      </c>
      <c r="F6" s="3176">
        <v>0</v>
      </c>
      <c r="G6" s="3176">
        <v>0</v>
      </c>
      <c r="H6" s="3176">
        <v>0</v>
      </c>
      <c r="I6" s="3177">
        <f t="shared" ref="I6:I19" si="15">F6</f>
        <v>0</v>
      </c>
      <c r="J6" s="3178"/>
      <c r="K6" s="3179">
        <f t="shared" ref="K6:O19" si="16">D6/100</f>
        <v>0</v>
      </c>
      <c r="L6" s="3169">
        <f t="shared" si="16"/>
        <v>0</v>
      </c>
      <c r="M6" s="3169">
        <f t="shared" si="16"/>
        <v>0</v>
      </c>
      <c r="N6" s="3169">
        <f t="shared" si="16"/>
        <v>0</v>
      </c>
      <c r="O6" s="3169">
        <f t="shared" si="16"/>
        <v>0</v>
      </c>
      <c r="P6" s="3169">
        <f>M6</f>
        <v>0</v>
      </c>
      <c r="Q6" s="3178"/>
      <c r="R6" s="3180">
        <f>ROUND(IF(项目基本情况!$B$8="出让",SUMPRODUCT(PRODUCT(1+K6:$K$19)),SUMPRODUCT(PRODUCT(1+K6:$K$18))),4)</f>
        <v>1.0811999999999999</v>
      </c>
      <c r="S6" s="3180">
        <f>ROUND(IF(项目基本情况!$B$8="出让",SUMPRODUCT(PRODUCT(1+L6:$L$19)),SUMPRODUCT(PRODUCT(1+L6:$L$18))),4)</f>
        <v>1.052</v>
      </c>
      <c r="T6" s="3180">
        <f>ROUND(IF(项目基本情况!$B$8="出让",SUMPRODUCT(PRODUCT(1+M6:$M$19)),SUMPRODUCT(PRODUCT(1+M6:$M$18))),4)</f>
        <v>1.0249999999999999</v>
      </c>
      <c r="U6" s="3180">
        <f>ROUND(IF(项目基本情况!$B$8="出让",SUMPRODUCT(PRODUCT(1+N6:$N$19)),SUMPRODUCT(PRODUCT(1+N6:$N$18))),4)</f>
        <v>1.0888</v>
      </c>
      <c r="V6" s="3180">
        <f>ROUND(IF(项目基本情况!$B$8="出让",SUMPRODUCT(PRODUCT(1+O6:$O$19)),SUMPRODUCT(PRODUCT(1+O6:$O$18))),4)</f>
        <v>1.0804</v>
      </c>
      <c r="W6" s="3180">
        <f>T6</f>
        <v>1.0249999999999999</v>
      </c>
      <c r="X6" s="3178"/>
      <c r="Y6" s="3181">
        <f>IF(D6=0,0,ROUND(AVERAGE(D6:D19)/100,4))</f>
        <v>0</v>
      </c>
      <c r="Z6" s="3181">
        <f t="shared" ref="Z6:AC6" si="17">IF(E6=0,0,ROUND(AVERAGE(E6:E19)/100,4))</f>
        <v>0</v>
      </c>
      <c r="AA6" s="3181">
        <f t="shared" si="17"/>
        <v>0</v>
      </c>
      <c r="AB6" s="3181">
        <f t="shared" si="17"/>
        <v>0</v>
      </c>
      <c r="AC6" s="3181">
        <f t="shared" si="17"/>
        <v>0</v>
      </c>
      <c r="AD6" s="3181">
        <f t="shared" ref="AD6:AD18" si="18">AA6</f>
        <v>0</v>
      </c>
    </row>
    <row r="7" spans="1:30" s="3192" customFormat="1" ht="12.75">
      <c r="A7" s="3183" t="s">
        <v>3379</v>
      </c>
      <c r="B7" s="3184">
        <v>2024</v>
      </c>
      <c r="C7" s="3185">
        <v>1</v>
      </c>
      <c r="D7" s="3186">
        <v>0.08</v>
      </c>
      <c r="E7" s="3186">
        <v>0.46</v>
      </c>
      <c r="F7" s="3186">
        <v>-0.16</v>
      </c>
      <c r="G7" s="3186">
        <v>0.26</v>
      </c>
      <c r="H7" s="3187">
        <v>0.59</v>
      </c>
      <c r="I7" s="3188">
        <v>0</v>
      </c>
      <c r="J7" s="3189"/>
      <c r="K7" s="3190">
        <f t="shared" ref="K7" si="19">D7/100</f>
        <v>8.0000000000000004E-4</v>
      </c>
      <c r="L7" s="3191">
        <f t="shared" ref="L7" si="20">E7/100</f>
        <v>4.5999999999999999E-3</v>
      </c>
      <c r="M7" s="3191">
        <f t="shared" ref="M7" si="21">F7/100</f>
        <v>-1.6000000000000001E-3</v>
      </c>
      <c r="N7" s="3191">
        <f t="shared" ref="N7" si="22">G7/100</f>
        <v>2.5999999999999999E-3</v>
      </c>
      <c r="O7" s="3191">
        <f t="shared" ref="O7" si="23">H7/100</f>
        <v>5.8999999999999999E-3</v>
      </c>
      <c r="P7" s="3191">
        <f t="shared" ref="P7" si="24">M7</f>
        <v>-1.6000000000000001E-3</v>
      </c>
      <c r="Q7" s="3189"/>
      <c r="R7" s="3189">
        <f>ROUND(IF(项目基本情况!$B$8="出让",SUMPRODUCT(PRODUCT(1+K7:$K$19)),SUMPRODUCT(PRODUCT(1+K7:$K$18))),4)</f>
        <v>1.0811999999999999</v>
      </c>
      <c r="S7" s="3189">
        <f>ROUND(IF(项目基本情况!$B$8="出让",SUMPRODUCT(PRODUCT(1+L7:$L$19)),SUMPRODUCT(PRODUCT(1+L7:$L$18))),4)</f>
        <v>1.052</v>
      </c>
      <c r="T7" s="3189">
        <f>ROUND(IF(项目基本情况!$B$8="出让",SUMPRODUCT(PRODUCT(1+M7:$M$19)),SUMPRODUCT(PRODUCT(1+M7:$M$18))),4)</f>
        <v>1.0249999999999999</v>
      </c>
      <c r="U7" s="3189">
        <f>ROUND(IF(项目基本情况!$B$8="出让",SUMPRODUCT(PRODUCT(1+N7:$N$19)),SUMPRODUCT(PRODUCT(1+N7:$N$18))),4)</f>
        <v>1.0888</v>
      </c>
      <c r="V7" s="3189">
        <f>ROUND(IF(项目基本情况!$B$8="出让",SUMPRODUCT(PRODUCT(1+O7:$O$19)),SUMPRODUCT(PRODUCT(1+O7:$O$18))),4)</f>
        <v>1.0804</v>
      </c>
      <c r="W7" s="3189">
        <f t="shared" ref="W7" si="25">T7</f>
        <v>1.0249999999999999</v>
      </c>
      <c r="X7" s="3189"/>
      <c r="Y7" s="3191"/>
      <c r="Z7" s="3191"/>
      <c r="AA7" s="3191"/>
      <c r="AB7" s="3191"/>
      <c r="AC7" s="3191"/>
      <c r="AD7" s="3191"/>
    </row>
    <row r="8" spans="1:30" s="3182" customFormat="1" ht="12.75">
      <c r="A8" s="3173" t="s">
        <v>3380</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2.75">
      <c r="A9" s="3173" t="s">
        <v>3378</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2.75">
      <c r="A10" s="3173" t="s">
        <v>3373</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2.75">
      <c r="A11" s="3173" t="s">
        <v>3372</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2.75">
      <c r="A12" s="3173" t="s">
        <v>3371</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2.75">
      <c r="A13" s="3173" t="s">
        <v>3367</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2.75">
      <c r="A14" s="3173" t="s">
        <v>3358</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2.75">
      <c r="A15" s="3173" t="s">
        <v>2823</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2.75">
      <c r="A16" s="3173" t="s">
        <v>2824</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2.75">
      <c r="A17" s="3173" t="s">
        <v>2825</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2.75">
      <c r="A18" s="3173" t="s">
        <v>2826</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thickBot="1">
      <c r="A19" s="3194" t="s">
        <v>2827</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4.25" thickTop="1"/>
    <row r="21" spans="1:30" s="3006" customFormat="1">
      <c r="A21" s="3445" t="s">
        <v>3369</v>
      </c>
    </row>
    <row r="22" spans="1:30" s="3006" customFormat="1">
      <c r="I22" s="3205" t="s">
        <v>2828</v>
      </c>
    </row>
    <row r="23" spans="1:30" s="3006" customFormat="1"/>
    <row r="24" spans="1:30" s="3206" customFormat="1" ht="12.75">
      <c r="B24" s="3207" t="s">
        <v>3375</v>
      </c>
      <c r="C24" s="3208"/>
      <c r="D24" s="3208"/>
      <c r="E24" s="3208"/>
      <c r="F24" s="3208"/>
      <c r="G24" s="3208"/>
      <c r="H24" s="3208"/>
      <c r="I24" s="3208"/>
      <c r="J24" s="3162"/>
      <c r="K24" s="3208" t="s">
        <v>2829</v>
      </c>
      <c r="L24" s="3208"/>
      <c r="M24" s="3208"/>
      <c r="N24" s="3208"/>
      <c r="O24" s="3208"/>
      <c r="P24" s="3208"/>
      <c r="Q24" s="3162"/>
      <c r="R24" s="3787" t="s">
        <v>2830</v>
      </c>
      <c r="S24" s="3788"/>
      <c r="T24" s="3788"/>
      <c r="U24" s="3788"/>
      <c r="V24" s="3788"/>
      <c r="W24" s="3788"/>
      <c r="X24" s="3162"/>
      <c r="Y24" s="3787" t="s">
        <v>2831</v>
      </c>
      <c r="Z24" s="3788"/>
      <c r="AA24" s="3788"/>
      <c r="AB24" s="3788"/>
      <c r="AC24" s="3788"/>
      <c r="AD24" s="3788"/>
    </row>
    <row r="25" spans="1:30" s="3140" customFormat="1" ht="14.25" thickBot="1">
      <c r="B25" s="3141"/>
      <c r="C25" s="3142"/>
      <c r="D25" s="3143" t="s">
        <v>2832</v>
      </c>
      <c r="E25" s="3144" t="s">
        <v>2833</v>
      </c>
      <c r="F25" s="3144" t="s">
        <v>2834</v>
      </c>
      <c r="G25" s="3144" t="s">
        <v>2835</v>
      </c>
      <c r="H25" s="3144"/>
      <c r="I25" s="3144" t="s">
        <v>2836</v>
      </c>
      <c r="J25" s="3145"/>
      <c r="K25" s="3143" t="s">
        <v>2832</v>
      </c>
      <c r="L25" s="3144" t="s">
        <v>2833</v>
      </c>
      <c r="M25" s="3144" t="s">
        <v>2834</v>
      </c>
      <c r="N25" s="3144" t="s">
        <v>2835</v>
      </c>
      <c r="O25" s="3144"/>
      <c r="P25" s="3144" t="s">
        <v>2836</v>
      </c>
      <c r="Q25" s="3145"/>
      <c r="R25" s="3143" t="s">
        <v>2832</v>
      </c>
      <c r="S25" s="3144" t="s">
        <v>2833</v>
      </c>
      <c r="T25" s="3144" t="s">
        <v>2834</v>
      </c>
      <c r="U25" s="3144" t="s">
        <v>2835</v>
      </c>
      <c r="V25" s="3144"/>
      <c r="W25" s="3144" t="s">
        <v>2836</v>
      </c>
      <c r="X25" s="3145"/>
      <c r="Y25" s="3143" t="s">
        <v>2832</v>
      </c>
      <c r="Z25" s="3144" t="s">
        <v>2833</v>
      </c>
      <c r="AA25" s="3144" t="s">
        <v>2834</v>
      </c>
      <c r="AB25" s="3144" t="s">
        <v>2835</v>
      </c>
      <c r="AC25" s="3144"/>
      <c r="AD25" s="3144" t="s">
        <v>2836</v>
      </c>
    </row>
    <row r="26" spans="1:30" s="3158" customFormat="1" ht="12.75">
      <c r="A26" s="3146" t="s">
        <v>2837</v>
      </c>
      <c r="B26" s="3147"/>
      <c r="C26" s="3148"/>
      <c r="D26" s="3148"/>
      <c r="E26" s="3148">
        <f t="shared" ref="E26:G26" si="43">ROUND(AVERAGEIF(E27:E42,"&lt;&gt;0"),2)</f>
        <v>0.38</v>
      </c>
      <c r="F26" s="3148">
        <f t="shared" si="43"/>
        <v>0.28999999999999998</v>
      </c>
      <c r="G26" s="3148">
        <f t="shared" si="43"/>
        <v>0.56999999999999995</v>
      </c>
      <c r="H26" s="3148"/>
      <c r="I26" s="3148">
        <f>F26</f>
        <v>0.28999999999999998</v>
      </c>
      <c r="J26" s="3149"/>
      <c r="K26" s="3150"/>
      <c r="L26" s="3151">
        <f t="shared" ref="L26:N26" si="44">ROUND(AVERAGEIF(L27:L42,"&lt;&gt;0"),4)</f>
        <v>3.8E-3</v>
      </c>
      <c r="M26" s="3151">
        <f t="shared" si="44"/>
        <v>2.8999999999999998E-3</v>
      </c>
      <c r="N26" s="3151">
        <f t="shared" si="44"/>
        <v>5.7000000000000002E-3</v>
      </c>
      <c r="O26" s="3151"/>
      <c r="P26" s="3151">
        <f>M26</f>
        <v>2.8999999999999998E-3</v>
      </c>
      <c r="Q26" s="3149"/>
      <c r="R26" s="3152"/>
      <c r="S26" s="3153">
        <f>ROUND(SUMPRODUCT(PRODUCT(1+L27:L42)),4)</f>
        <v>1.0502</v>
      </c>
      <c r="T26" s="3153">
        <f t="shared" ref="T26:U26" si="45">ROUND(SUMPRODUCT(PRODUCT(1+M27:M42)),4)</f>
        <v>1.0387999999999999</v>
      </c>
      <c r="U26" s="3153">
        <f t="shared" si="45"/>
        <v>1.0763</v>
      </c>
      <c r="V26" s="3153"/>
      <c r="W26" s="3152">
        <f>T26</f>
        <v>1.0387999999999999</v>
      </c>
      <c r="X26" s="3149"/>
      <c r="Y26" s="3154"/>
      <c r="Z26" s="3155">
        <f t="shared" ref="Z26:AB26" si="46">ROUND(AVERAGEIF(Z27:Z42,"&lt;&gt;0"),4)</f>
        <v>4.3E-3</v>
      </c>
      <c r="AA26" s="3156">
        <f t="shared" si="46"/>
        <v>3.5999999999999999E-3</v>
      </c>
      <c r="AB26" s="3154">
        <f t="shared" si="46"/>
        <v>8.8999999999999999E-3</v>
      </c>
      <c r="AC26" s="3157"/>
      <c r="AD26" s="3154">
        <f>AA26</f>
        <v>3.5999999999999999E-3</v>
      </c>
    </row>
    <row r="27" spans="1:30" s="3159" customFormat="1" ht="12.75">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2.75">
      <c r="A28" s="2202" t="s">
        <v>3382</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1.0465</v>
      </c>
      <c r="T28" s="3180">
        <f>ROUND(IF(项目基本情况!$B$8="出让",SUMPRODUCT(PRODUCT(1+M28:M$42)),SUMPRODUCT(PRODUCT(1+M28:M$41))),4)</f>
        <v>1.0338000000000001</v>
      </c>
      <c r="U28" s="3180">
        <f>ROUND(IF(项目基本情况!$B$8="出让",SUMPRODUCT(PRODUCT(1+N28:N$42)),SUMPRODUCT(PRODUCT(1+N28:N$41))),4)</f>
        <v>1.0659000000000001</v>
      </c>
      <c r="V28" s="3180"/>
      <c r="W28" s="3180">
        <f>T28</f>
        <v>1.0338000000000001</v>
      </c>
      <c r="X28" s="3178"/>
      <c r="Y28" s="3181"/>
      <c r="Z28" s="3209">
        <f t="shared" ref="Z28:AB29" si="51">IF(E28=0,0,ROUND(AVERAGE(E28:E41)/100,4))</f>
        <v>0</v>
      </c>
      <c r="AA28" s="3209">
        <f t="shared" si="51"/>
        <v>0</v>
      </c>
      <c r="AB28" s="3209">
        <f t="shared" si="51"/>
        <v>0</v>
      </c>
      <c r="AC28" s="3210"/>
      <c r="AD28" s="3181">
        <f>IF(I28=0,0,ROUND(AVERAGE(I28:I41)/100,4))</f>
        <v>0</v>
      </c>
    </row>
    <row r="29" spans="1:30" s="3182" customFormat="1" ht="12.75">
      <c r="A29" s="2202" t="s">
        <v>3377</v>
      </c>
      <c r="B29" s="3174">
        <v>2024</v>
      </c>
      <c r="C29" s="3175">
        <v>2</v>
      </c>
      <c r="D29" s="3176"/>
      <c r="E29" s="3176">
        <v>0</v>
      </c>
      <c r="F29" s="3176">
        <v>0</v>
      </c>
      <c r="G29" s="3176">
        <v>0</v>
      </c>
      <c r="H29" s="3176"/>
      <c r="I29" s="3177">
        <f t="shared" ref="I29:I42" si="52">F29</f>
        <v>0</v>
      </c>
      <c r="J29" s="3178"/>
      <c r="K29" s="3179"/>
      <c r="L29" s="3169">
        <f t="shared" ref="L29:N42" si="53">E29/100</f>
        <v>0</v>
      </c>
      <c r="M29" s="3169">
        <f t="shared" si="53"/>
        <v>0</v>
      </c>
      <c r="N29" s="3169">
        <f t="shared" si="53"/>
        <v>0</v>
      </c>
      <c r="O29" s="3169"/>
      <c r="P29" s="3169">
        <f>M29</f>
        <v>0</v>
      </c>
      <c r="Q29" s="3178"/>
      <c r="R29" s="3180"/>
      <c r="S29" s="3180">
        <f>ROUND(IF(项目基本情况!$B$8="出让",SUMPRODUCT(PRODUCT(1+L29:L$42)),SUMPRODUCT(PRODUCT(1+L29:L$41))),4)</f>
        <v>1.0465</v>
      </c>
      <c r="T29" s="3180">
        <f>ROUND(IF(项目基本情况!$B$8="出让",SUMPRODUCT(PRODUCT(1+M29:M$42)),SUMPRODUCT(PRODUCT(1+M29:M$41))),4)</f>
        <v>1.0338000000000001</v>
      </c>
      <c r="U29" s="3180">
        <f>ROUND(IF(项目基本情况!$B$8="出让",SUMPRODUCT(PRODUCT(1+N29:N$42)),SUMPRODUCT(PRODUCT(1+N29:N$41))),4)</f>
        <v>1.0659000000000001</v>
      </c>
      <c r="V29" s="3180"/>
      <c r="W29" s="3180">
        <f>T29</f>
        <v>1.0338000000000001</v>
      </c>
      <c r="X29" s="3178"/>
      <c r="Y29" s="3181"/>
      <c r="Z29" s="3209">
        <f t="shared" si="51"/>
        <v>0</v>
      </c>
      <c r="AA29" s="3209">
        <f t="shared" si="51"/>
        <v>0</v>
      </c>
      <c r="AB29" s="3209">
        <f t="shared" si="51"/>
        <v>0</v>
      </c>
      <c r="AC29" s="3210"/>
      <c r="AD29" s="3181">
        <f>IF(I29=0,0,ROUND(AVERAGE(I29:I42)/100,4))</f>
        <v>0</v>
      </c>
    </row>
    <row r="30" spans="1:30" s="3192" customFormat="1" ht="12.75">
      <c r="A30" s="3183" t="s">
        <v>3379</v>
      </c>
      <c r="B30" s="3184">
        <v>2024</v>
      </c>
      <c r="C30" s="3185">
        <v>1</v>
      </c>
      <c r="D30" s="3186"/>
      <c r="E30" s="3186">
        <v>0.25</v>
      </c>
      <c r="F30" s="3186">
        <v>0.4</v>
      </c>
      <c r="G30" s="3186">
        <v>-0.63</v>
      </c>
      <c r="H30" s="3187"/>
      <c r="I30" s="3188">
        <f t="shared" ref="I30:I31" si="54">F30</f>
        <v>0.4</v>
      </c>
      <c r="J30" s="3189"/>
      <c r="K30" s="3190"/>
      <c r="L30" s="3191">
        <f t="shared" ref="L30" si="55">E30/100</f>
        <v>2.5000000000000001E-3</v>
      </c>
      <c r="M30" s="3191">
        <f t="shared" ref="M30" si="56">F30/100</f>
        <v>4.0000000000000001E-3</v>
      </c>
      <c r="N30" s="3191">
        <f t="shared" ref="N30" si="57">G30/100</f>
        <v>-6.3E-3</v>
      </c>
      <c r="O30" s="3191"/>
      <c r="P30" s="3191">
        <f t="shared" ref="P30" si="58">M30</f>
        <v>4.0000000000000001E-3</v>
      </c>
      <c r="Q30" s="3189"/>
      <c r="R30" s="3189"/>
      <c r="S30" s="3189">
        <f>ROUND(IF(项目基本情况!$B$8="出让",SUMPRODUCT(PRODUCT(1+L30:L$42)),SUMPRODUCT(PRODUCT(1+L30:L$41))),4)</f>
        <v>1.0465</v>
      </c>
      <c r="T30" s="3189">
        <f>ROUND(IF(项目基本情况!$B$8="出让",SUMPRODUCT(PRODUCT(1+M30:M$42)),SUMPRODUCT(PRODUCT(1+M30:M$41))),4)</f>
        <v>1.0338000000000001</v>
      </c>
      <c r="U30" s="3189">
        <f>ROUND(IF(项目基本情况!$B$8="出让",SUMPRODUCT(PRODUCT(1+N30:N$42)),SUMPRODUCT(PRODUCT(1+N30:N$41))),4)</f>
        <v>1.0659000000000001</v>
      </c>
      <c r="V30" s="3189"/>
      <c r="W30" s="3189">
        <f t="shared" ref="W30" si="59">T30</f>
        <v>1.0338000000000001</v>
      </c>
      <c r="X30" s="3189"/>
      <c r="Y30" s="3191"/>
      <c r="Z30" s="3212"/>
      <c r="AA30" s="3213"/>
      <c r="AB30" s="3191"/>
      <c r="AC30" s="3214"/>
      <c r="AD30" s="3191"/>
    </row>
    <row r="31" spans="1:30" s="3182" customFormat="1" ht="12.75">
      <c r="A31" s="3173" t="s">
        <v>3381</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2.75">
      <c r="A32" s="3173" t="s">
        <v>3378</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2.75">
      <c r="A33" s="3173" t="s">
        <v>3376</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2.75">
      <c r="A34" s="3173" t="s">
        <v>3372</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2.75">
      <c r="A35" s="3173" t="s">
        <v>3371</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2.75">
      <c r="A36" s="3173" t="s">
        <v>3368</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2.75">
      <c r="A37" s="3173" t="s">
        <v>3358</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2.75">
      <c r="A38" s="3173" t="s">
        <v>2838</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2.75">
      <c r="A39" s="3173" t="s">
        <v>2839</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2.75">
      <c r="A40" s="3173" t="s">
        <v>2840</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2.75">
      <c r="A41" s="3173" t="s">
        <v>2841</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thickBot="1">
      <c r="A42" s="3194" t="s">
        <v>2827</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4.25" thickTop="1"/>
    <row r="44" spans="1:30">
      <c r="A44" s="3445"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2" t="s">
        <v>925</v>
      </c>
      <c r="E3" s="852" t="s">
        <v>931</v>
      </c>
      <c r="F3" s="852" t="s">
        <v>925</v>
      </c>
      <c r="G3" s="852" t="s">
        <v>926</v>
      </c>
      <c r="H3" s="852" t="s">
        <v>925</v>
      </c>
      <c r="I3" s="852" t="s">
        <v>926</v>
      </c>
    </row>
    <row r="4" spans="1:9" ht="15">
      <c r="A4" s="1502" t="str">
        <f>项目基本情况!S2</f>
        <v>北京市房地产</v>
      </c>
      <c r="B4" s="852">
        <f>项目基本情况!C17</f>
        <v>421.62</v>
      </c>
      <c r="C4" s="852">
        <f>项目基本情况!C18</f>
        <v>212.2</v>
      </c>
      <c r="D4" s="852">
        <f ca="1">结果表!D118</f>
        <v>694</v>
      </c>
      <c r="E4" s="852">
        <f ca="1">结果表!E118</f>
        <v>16458</v>
      </c>
      <c r="F4" s="852">
        <f ca="1">结果表!F118</f>
        <v>253</v>
      </c>
      <c r="G4" s="852">
        <f ca="1">结果表!G118</f>
        <v>5995</v>
      </c>
      <c r="H4" s="852">
        <f ca="1">结果表!H118</f>
        <v>947</v>
      </c>
      <c r="I4" s="852">
        <f ca="1">结果表!I118</f>
        <v>22453</v>
      </c>
    </row>
    <row r="5" spans="1:9" ht="30" customHeight="1">
      <c r="A5" s="3472" t="s">
        <v>927</v>
      </c>
      <c r="B5" s="3472"/>
      <c r="C5" s="3472"/>
      <c r="D5" s="3472" t="str">
        <f ca="1">结果表!D119</f>
        <v>陆佰玖拾肆万元整</v>
      </c>
      <c r="E5" s="3472"/>
      <c r="F5" s="3472" t="str">
        <f ca="1">结果表!F119</f>
        <v>贰佰伍拾叁万元整</v>
      </c>
      <c r="G5" s="3472"/>
      <c r="H5" s="3472" t="str">
        <f ca="1">结果表!H119</f>
        <v>玖佰肆拾柒万元整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947</v>
      </c>
      <c r="E8" s="3473"/>
      <c r="F8" s="3473"/>
      <c r="G8" s="3473"/>
      <c r="H8" s="3473"/>
      <c r="I8" s="3473"/>
    </row>
    <row r="9" spans="1:9" ht="15">
      <c r="A9" s="3472" t="s">
        <v>927</v>
      </c>
      <c r="B9" s="3472"/>
      <c r="C9" s="3472"/>
      <c r="D9" s="3472" t="str">
        <f ca="1">结果表!D123</f>
        <v>玖佰肆拾柒万元整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79" t="s">
        <v>949</v>
      </c>
      <c r="B1" s="3479"/>
      <c r="C1" s="3479"/>
      <c r="D1" s="3479"/>
    </row>
    <row r="2" spans="1:4" ht="18">
      <c r="A2" s="3480" t="s">
        <v>933</v>
      </c>
      <c r="B2" s="3480"/>
      <c r="C2" s="3480"/>
      <c r="D2" s="348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80" t="s">
        <v>939</v>
      </c>
      <c r="B6" s="3480"/>
      <c r="C6" s="3480"/>
      <c r="D6" s="348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3" t="s">
        <v>956</v>
      </c>
      <c r="B15" s="3488" t="s">
        <v>109</v>
      </c>
      <c r="C15" s="3489"/>
    </row>
    <row r="16" spans="1:7" ht="13.5">
      <c r="A16" s="3494"/>
      <c r="B16" s="3488" t="s">
        <v>42</v>
      </c>
      <c r="C16" s="3489"/>
    </row>
    <row r="17" spans="1:3" ht="13.5">
      <c r="A17" s="3494"/>
      <c r="B17" s="3491" t="s">
        <v>957</v>
      </c>
      <c r="C17" s="1529" t="s">
        <v>956</v>
      </c>
    </row>
    <row r="18" spans="1:3" ht="13.5">
      <c r="A18" s="3494"/>
      <c r="B18" s="3491"/>
      <c r="C18" s="1529" t="s">
        <v>958</v>
      </c>
    </row>
    <row r="19" spans="1:3" ht="13.5">
      <c r="A19" s="3494"/>
      <c r="B19" s="3491"/>
      <c r="C19" s="1529" t="s">
        <v>959</v>
      </c>
    </row>
    <row r="20" spans="1:3" ht="13.5">
      <c r="A20" s="3495"/>
      <c r="B20" s="3490" t="s">
        <v>960</v>
      </c>
      <c r="C20" s="3489"/>
    </row>
    <row r="21" spans="1:3" ht="13.5">
      <c r="A21" s="1530" t="s">
        <v>961</v>
      </c>
      <c r="B21" s="1531"/>
      <c r="C21" s="1532"/>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29" t="s">
        <v>967</v>
      </c>
    </row>
    <row r="26" spans="1:3" ht="13.5">
      <c r="A26" s="3492"/>
      <c r="B26" s="3491"/>
      <c r="C26" s="1529" t="s">
        <v>968</v>
      </c>
    </row>
    <row r="27" spans="1:3" ht="13.5">
      <c r="A27" s="3492"/>
      <c r="B27" s="3491"/>
      <c r="C27" s="1529" t="s">
        <v>969</v>
      </c>
    </row>
    <row r="28" spans="1:3" ht="13.5">
      <c r="A28" s="3492"/>
      <c r="B28" s="3491"/>
      <c r="C28" s="1529" t="s">
        <v>970</v>
      </c>
    </row>
    <row r="29" spans="1:3" ht="13.5">
      <c r="A29" s="3492"/>
      <c r="B29" s="3491"/>
      <c r="C29" s="1529" t="s">
        <v>971</v>
      </c>
    </row>
    <row r="30" spans="1:3" ht="13.5">
      <c r="A30" s="3492"/>
      <c r="B30" s="3491"/>
      <c r="C30" s="1529" t="s">
        <v>972</v>
      </c>
    </row>
    <row r="31" spans="1:3" ht="13.5">
      <c r="A31" s="3492"/>
      <c r="B31" s="3491"/>
      <c r="C31" s="1529" t="s">
        <v>973</v>
      </c>
    </row>
    <row r="32" spans="1:3" ht="13.5">
      <c r="A32" s="3492"/>
      <c r="B32" s="3491"/>
      <c r="C32" s="1529" t="s">
        <v>974</v>
      </c>
    </row>
    <row r="33" spans="1:3" ht="13.5">
      <c r="A33" s="3492"/>
      <c r="B33" s="349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45499</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0"/>
      <c r="E18" s="3498" t="s">
        <v>2161</v>
      </c>
      <c r="F18" s="3497"/>
      <c r="G18" s="3497"/>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2024-07-26T02:47:20Z</dcterms:modified>
</cp:coreProperties>
</file>