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535" yWindow="0" windowWidth="8955" windowHeight="9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 name="面积表" sheetId="77" r:id="rId46"/>
    <sheet name="清单" sheetId="80" r:id="rId47"/>
    <sheet name="询价结果" sheetId="79"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6">'[1]不动产比较法-办公'!$B$119:$M$119</definedName>
    <definedName name="办公层高">'比较法-办公'!$B$119:$M$119</definedName>
    <definedName name="办公朝向" localSheetId="46">'[1]不动产比较法-办公'!$B$91:$M$91</definedName>
    <definedName name="办公朝向">'比较法-办公'!$B$91:$M$91</definedName>
    <definedName name="办公道路级别" localSheetId="46">'[1]不动产比较法-办公'!$B$87:$M$87</definedName>
    <definedName name="办公道路级别">'比较法-办公'!$B$87:$M$87</definedName>
    <definedName name="办公公共部分装修" localSheetId="46">'[1]不动产比较法-办公'!$B$108:$M$108</definedName>
    <definedName name="办公公共部分装修">'比较法-办公'!$B$108:$M$108</definedName>
    <definedName name="办公基础设施水平" localSheetId="46">'[1]不动产比较法-办公'!$B$117:$M$117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'比较法-办公'!$B$106:$M$106</definedName>
    <definedName name="办公建筑类型" localSheetId="46">'[1]不动产比较法-办公'!$B$101:$M$101</definedName>
    <definedName name="办公建筑类型">'比较法-办公'!$B$101:$M$101</definedName>
    <definedName name="办公交易情况" localSheetId="46">'[1]不动产比较法-办公'!$A$62:$M$62</definedName>
    <definedName name="办公交易情况">'比较法-办公'!$A$62:$M$62</definedName>
    <definedName name="办公楼层" localSheetId="46">'[1]不动产比较法-办公'!$B$89:$M$89</definedName>
    <definedName name="办公楼层">'比较法-办公'!$B$89:$M$89</definedName>
    <definedName name="办公内部装修" localSheetId="46">'[1]不动产比较法-办公'!$B$123:$M$123</definedName>
    <definedName name="办公内部装修">'比较法-办公'!$B$123:$M$123</definedName>
    <definedName name="办公物业管理" localSheetId="46">'[1]不动产比较法-办公'!$B$115:$M$115</definedName>
    <definedName name="办公物业管理">'比较法-办公'!$B$115:$M$115</definedName>
    <definedName name="办公用途" localSheetId="46">'[1]不动产比较法-办公'!$B$64:$M$64</definedName>
    <definedName name="办公用途">'比较法-办公'!$B$64:$M$64</definedName>
    <definedName name="仓储公共部分装修" localSheetId="46">'[1]不动产比较法-仓储'!$B$77:$M$77</definedName>
    <definedName name="仓储公共部分装修">'比较法-仓储'!$B$77:$M$77</definedName>
    <definedName name="仓储交易情况" localSheetId="46">'[1]不动产比较法-仓储'!$A$49:$M$49</definedName>
    <definedName name="仓储交易情况">'比较法-仓储'!$A$49:$M$49</definedName>
    <definedName name="仓储楼层" localSheetId="46">'[1]不动产比较法-仓储'!$B$69:$M$69</definedName>
    <definedName name="仓储楼层">'比较法-仓储'!$B$69:$M$69</definedName>
    <definedName name="仓储物业等级" localSheetId="46">'[1]不动产比较法-仓储'!$B$82:$M$82</definedName>
    <definedName name="仓储物业等级">'比较法-仓储'!$B$82:$M$82</definedName>
    <definedName name="仓储用途" localSheetId="46">'[1]不动产比较法-仓储'!$B$51:$M$51</definedName>
    <definedName name="仓储用途">'比较法-仓储'!$B$51:$M$51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'比较法-车位'!$B$83:$M$83</definedName>
    <definedName name="车位交易情况" localSheetId="46">'[1]不动产比较法-车位'!$A$51:$M$51</definedName>
    <definedName name="车位交易情况">'比较法-车位'!$A$51:$M$51</definedName>
    <definedName name="车位类型" localSheetId="46">'[1]不动产比较法-车位'!$B$93:$M$93</definedName>
    <definedName name="车位类型">'比较法-车位'!$B$93:$M$93</definedName>
    <definedName name="车位楼层" localSheetId="46">'[1]不动产比较法-车位'!$B$71:$M$71</definedName>
    <definedName name="车位楼层">'比较法-车位'!$B$71:$M$71</definedName>
    <definedName name="车位配套类型" localSheetId="46">'[1]不动产比较法-车位'!$B$79:$M$79</definedName>
    <definedName name="车位配套类型">'比较法-车位'!$B$79:$M$79</definedName>
    <definedName name="车位物业等级" localSheetId="46">'[1]不动产比较法-车位'!$B$88:$M$88</definedName>
    <definedName name="车位物业等级">'比较法-车位'!$B$88:$M$88</definedName>
    <definedName name="车位用途" localSheetId="46">'[1]不动产比较法-车位'!$B$53:$M$53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[1]定义!$G$2:$G$4</definedName>
    <definedName name="法定最高年限">定义!$G$1:$G$4</definedName>
    <definedName name="工业公共部分装修" localSheetId="46">'[1]不动产比较法-工业'!$B$95:$M$95</definedName>
    <definedName name="工业公共部分装修">'比较法-工业'!$B$95:$M$95</definedName>
    <definedName name="工业基础设施水平" localSheetId="46">'[1]不动产比较法-工业'!$B$102:$M$102</definedName>
    <definedName name="工业基础设施水平">'比较法-工业'!$B$102:$M$102</definedName>
    <definedName name="工业建筑结构" localSheetId="46">'[1]不动产比较法-工业'!$B$93:$M$93</definedName>
    <definedName name="工业建筑结构">'比较法-工业'!$B$93:$M$93</definedName>
    <definedName name="工业建筑类型" localSheetId="46">'[1]不动产比较法-工业'!$B$88:$M$88</definedName>
    <definedName name="工业建筑类型">'比较法-工业'!$B$88:$M$88</definedName>
    <definedName name="工业交易情况" localSheetId="46">'[1]不动产比较法-工业'!$A$55:$M$55</definedName>
    <definedName name="工业交易情况">'比较法-工业'!$A$55:$M$55</definedName>
    <definedName name="工业内部装修" localSheetId="46">'[1]不动产比较法-工业'!$B$104:$M$104</definedName>
    <definedName name="工业内部装修">'比较法-工业'!$B$104:$M$104</definedName>
    <definedName name="工业物业管理" localSheetId="46">'[1]不动产比较法-工业'!$B$100:$M$100</definedName>
    <definedName name="工业物业管理">'比较法-工业'!$B$100:$M$100</definedName>
    <definedName name="工业用途" localSheetId="46">'[1]不动产比较法-工业'!$B$57:$M$57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'[1]不动产比较法-商业'!$B$116:$M$116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'比较法-商业'!$B$107:$M$107</definedName>
    <definedName name="商业基础设施水平" localSheetId="46">'[1]不动产比较法-商业'!$B$112:$M$112</definedName>
    <definedName name="商业基础设施水平">'比较法-商业'!$B$112:$M$112</definedName>
    <definedName name="商业建筑结构" localSheetId="46">'[1]不动产比较法-商业'!$B$105:$M$105</definedName>
    <definedName name="商业建筑结构">'比较法-商业'!$B$105:$M$105</definedName>
    <definedName name="商业交易情况" localSheetId="46">'[1]不动产比较法-商业'!$A$61:$M$61</definedName>
    <definedName name="商业交易情况">'比较法-商业'!$A$61:$M$61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'比较法-商业'!$B$120:$M$120</definedName>
    <definedName name="商业类型" localSheetId="46">'[1]不动产比较法-商业'!$B$100:$M$100</definedName>
    <definedName name="商业类型">'比较法-商业'!$B$100:$M$100</definedName>
    <definedName name="商业临街状况" localSheetId="46">'[1]不动产比较法-商业'!$B$86:$M$86</definedName>
    <definedName name="商业临街状况">'比较法-商业'!$B$86:$M$86</definedName>
    <definedName name="商业楼层" localSheetId="46">'[1]不动产比较法-商业'!$B$92:$M$92</definedName>
    <definedName name="商业楼层">'比较法-商业'!$B$92:$M$92</definedName>
    <definedName name="商业内部装修" localSheetId="46">'[1]不动产比较法-商业'!$B$122:$M$122</definedName>
    <definedName name="商业内部装修">'比较法-商业'!$B$122:$M$122</definedName>
    <definedName name="商业人流量" localSheetId="46">'[1]不动产比较法-商业'!$B$90:$M$90</definedName>
    <definedName name="商业人流量">'比较法-商业'!$B$90:$M$90</definedName>
    <definedName name="商业业态" localSheetId="46">'[1]不动产比较法-商业'!$B$114:$M$114</definedName>
    <definedName name="商业业态">'比较法-商业'!$B$114:$M$114</definedName>
    <definedName name="商业用途" localSheetId="4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'[1]不动产比较法-仓储'!$B$89:$M$89</definedName>
    <definedName name="是否封闭">'比较法-仓储'!$B$89:$M$89</definedName>
    <definedName name="是否直接入户" localSheetId="4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46">'[1]比较法-住宅、综合'!$A$75:$M$75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46">'[1]比较法-工业'!$B$101:$M$101</definedName>
    <definedName name="套工土地级别">'土地比较法-工业'!$B$99:$M$99</definedName>
    <definedName name="套工用途" localSheetId="46">'[1]比较法-工业'!$B$72:$M$72</definedName>
    <definedName name="套工用途">'土地比较法-工业'!$B$70:$M$70</definedName>
    <definedName name="套工宗地开发程度">'土地比较法-工业'!$B$112:$M$112</definedName>
    <definedName name="套工宗地形状" localSheetId="46">'[1]比较法-工业'!$B$112:$M$112</definedName>
    <definedName name="套工宗地形状">'土地比较法-工业'!$B$110:$M$110</definedName>
    <definedName name="套综道路等级" localSheetId="46">'[1]比较法-住宅、综合'!$B$108:$M$108</definedName>
    <definedName name="套综道路等级">'土地比较法-住宅、综合'!$B$106:$M$106</definedName>
    <definedName name="套综工程地质条件" localSheetId="46">'[1]比较法-住宅、综合'!$B$127:$M$127</definedName>
    <definedName name="套综工程地质条件">'土地比较法-住宅、综合'!$B$125:$M$125</definedName>
    <definedName name="套综交易情况" localSheetId="46">'[1]比较法-住宅、综合'!$A$75:$M$75</definedName>
    <definedName name="套综交易情况">'土地比较法-住宅、综合'!$A$73:$M$73</definedName>
    <definedName name="套综临街宽度及深度" localSheetId="46">'[1]比较法-住宅、综合'!$B$123:$M$123</definedName>
    <definedName name="套综临街宽度及深度">'土地比较法-住宅、综合'!$B$121:$M$121</definedName>
    <definedName name="套综土地级别" localSheetId="46">'[1]比较法-住宅、综合'!$B$110:$M$110</definedName>
    <definedName name="套综土地级别">'土地比较法-住宅、综合'!$B$108:$M$108</definedName>
    <definedName name="套综用途" localSheetId="46">'[1]比较法-住宅、综合'!$B$77:$M$77</definedName>
    <definedName name="套综用途">'土地比较法-住宅、综合'!$B$75:$M$75</definedName>
    <definedName name="套综宗地内开发程度" localSheetId="46">'[1]比较法-住宅、综合'!$B$125:$M$125</definedName>
    <definedName name="套综宗地内开发程度">'土地比较法-住宅、综合'!$B$123:$M$123</definedName>
    <definedName name="套综宗地形状" localSheetId="46">'[1]比较法-住宅、综合'!$B$121:$M$121</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'[1]不动产比较法-办公'!$B$113:$M$113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[1]定义!$A$1:$A$50</definedName>
    <definedName name="用途明细">定义!$A$1:$A$50</definedName>
    <definedName name="有无电梯" localSheetId="46">'[1]不动产比较法-仓储'!$B$84:$M$84</definedName>
    <definedName name="有无电梯">'比较法-仓储'!$B$84:$M$84</definedName>
    <definedName name="主用途" localSheetId="46">[1]定义!$F$1:$F$10</definedName>
    <definedName name="主用途">定义!$F$1:$F$10</definedName>
    <definedName name="住宅朝向" localSheetId="46">'[1]不动产比较法-住宅'!$B$88:$M$88</definedName>
    <definedName name="住宅朝向">'比较法-住宅'!$B$88:$M$88</definedName>
    <definedName name="住宅房型" localSheetId="46">'[1]不动产比较法-住宅'!$B$118:$M$118</definedName>
    <definedName name="住宅房型">'比较法-住宅'!$B$118:$M$118</definedName>
    <definedName name="住宅公共部分装修" localSheetId="46">'[1]不动产比较法-住宅'!$B$109:$M$109</definedName>
    <definedName name="住宅公共部分装修">'比较法-住宅'!$B$109:$M$109</definedName>
    <definedName name="住宅基础设施水平" localSheetId="46">'[1]不动产比较法-住宅'!$B$116:$M$116</definedName>
    <definedName name="住宅基础设施水平">'比较法-住宅'!$B$116:$M$116</definedName>
    <definedName name="住宅建筑结构" localSheetId="46">'[1]不动产比较法-住宅'!$B$105:$M$105</definedName>
    <definedName name="住宅建筑结构">'比较法-住宅'!$B$105:$M$105</definedName>
    <definedName name="住宅建筑类型" localSheetId="46">'[1]不动产比较法-住宅'!$B$100:$M$100</definedName>
    <definedName name="住宅建筑类型">'比较法-住宅'!$B$100:$M$100</definedName>
    <definedName name="住宅建筑品质" localSheetId="46">'[1]不动产比较法-住宅'!$B$107:$M$107</definedName>
    <definedName name="住宅建筑品质">'比较法-住宅'!$B$107:$M$107</definedName>
    <definedName name="住宅交易情况" localSheetId="46">'[1]不动产比较法-住宅'!$A$61:$M$61</definedName>
    <definedName name="住宅交易情况">'比较法-住宅'!$A$61:$M$61</definedName>
    <definedName name="住宅楼层" localSheetId="46">'[1]不动产比较法-住宅'!$B$86:$M$86</definedName>
    <definedName name="住宅楼层">'比较法-住宅'!$B$86:$M$86</definedName>
    <definedName name="住宅内部装修" localSheetId="46">'[1]不动产比较法-住宅'!$B$122:$M$122</definedName>
    <definedName name="住宅内部装修">'比较法-住宅'!$B$122:$M$122</definedName>
    <definedName name="住宅物业管理" localSheetId="46">'[1]不动产比较法-住宅'!$B$114:$M$114</definedName>
    <definedName name="住宅物业管理">'比较法-住宅'!$B$114:$M$114</definedName>
    <definedName name="住宅用途" localSheetId="4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9" i="77" l="1"/>
  <c r="K15" i="77"/>
  <c r="E21" i="77"/>
  <c r="U26" i="1"/>
  <c r="U25" i="1"/>
  <c r="U24" i="1"/>
  <c r="V19" i="1" l="1"/>
  <c r="V20" i="1"/>
  <c r="V21" i="1"/>
  <c r="V22" i="1"/>
  <c r="V23" i="1"/>
  <c r="V24" i="1"/>
  <c r="V25" i="1"/>
  <c r="V26" i="1"/>
  <c r="V18" i="1"/>
  <c r="D3" i="4"/>
  <c r="V27" i="1" l="1"/>
  <c r="U6" i="1" s="1"/>
  <c r="I11" i="39"/>
  <c r="G11" i="39"/>
  <c r="E11" i="39"/>
  <c r="E118" i="39"/>
  <c r="F118" i="39" s="1"/>
  <c r="G118" i="39" s="1"/>
  <c r="H118" i="39" s="1"/>
  <c r="I118" i="39" s="1"/>
  <c r="D118" i="39"/>
  <c r="E71" i="39"/>
  <c r="F71" i="39" s="1"/>
  <c r="G71" i="39" s="1"/>
  <c r="H71" i="39" s="1"/>
  <c r="I71" i="39" s="1"/>
  <c r="J71" i="39" s="1"/>
  <c r="K71" i="39" s="1"/>
  <c r="L71" i="39" s="1"/>
  <c r="M71" i="39" s="1"/>
  <c r="N71" i="39" s="1"/>
  <c r="O71" i="39" s="1"/>
  <c r="D71" i="39"/>
  <c r="I46" i="39"/>
  <c r="G46" i="39"/>
  <c r="E46" i="39"/>
  <c r="I38" i="39"/>
  <c r="G38" i="39"/>
  <c r="E38" i="39"/>
  <c r="I7" i="39"/>
  <c r="G7" i="39"/>
  <c r="E7" i="39"/>
  <c r="I5" i="39"/>
  <c r="G5" i="39"/>
  <c r="E5" i="39"/>
  <c r="E20" i="80" l="1"/>
  <c r="B19" i="80"/>
  <c r="D19" i="80" s="1"/>
  <c r="A19" i="80"/>
  <c r="D18" i="80"/>
  <c r="B18" i="80"/>
  <c r="A18" i="80"/>
  <c r="B17" i="80"/>
  <c r="D17" i="80" s="1"/>
  <c r="A17" i="80"/>
  <c r="D16" i="80"/>
  <c r="B16" i="80"/>
  <c r="A16" i="80"/>
  <c r="B15" i="80"/>
  <c r="D15" i="80" s="1"/>
  <c r="A15" i="80"/>
  <c r="D14" i="80"/>
  <c r="B14" i="80"/>
  <c r="A14" i="80"/>
  <c r="B13" i="80"/>
  <c r="D13" i="80" s="1"/>
  <c r="A13" i="80"/>
  <c r="D12" i="80"/>
  <c r="B12" i="80"/>
  <c r="A12" i="80"/>
  <c r="B11" i="80"/>
  <c r="D11" i="80" s="1"/>
  <c r="A11" i="80"/>
  <c r="I10" i="80"/>
  <c r="B10" i="80"/>
  <c r="D10" i="80" s="1"/>
  <c r="A10" i="80"/>
  <c r="I9" i="80"/>
  <c r="B9" i="80"/>
  <c r="D9" i="80" s="1"/>
  <c r="A9" i="80"/>
  <c r="I8" i="80"/>
  <c r="B8" i="80"/>
  <c r="D8" i="80" s="1"/>
  <c r="A8" i="80"/>
  <c r="I7" i="80"/>
  <c r="B7" i="80"/>
  <c r="D7" i="80" s="1"/>
  <c r="A7" i="80"/>
  <c r="I6" i="80"/>
  <c r="E6" i="80"/>
  <c r="D6" i="80"/>
  <c r="H8" i="80" s="1"/>
  <c r="B6" i="80"/>
  <c r="A6" i="80"/>
  <c r="I5" i="80"/>
  <c r="D5" i="80"/>
  <c r="B5" i="80"/>
  <c r="A5" i="80"/>
  <c r="I4" i="80"/>
  <c r="D4" i="80"/>
  <c r="B4" i="80"/>
  <c r="A4" i="80"/>
  <c r="I3" i="80"/>
  <c r="D3" i="80"/>
  <c r="B3" i="80"/>
  <c r="A3" i="80"/>
  <c r="I2" i="80"/>
  <c r="H2" i="80"/>
  <c r="D2" i="80"/>
  <c r="D20" i="80" s="1"/>
  <c r="B2" i="80"/>
  <c r="A2" i="80"/>
  <c r="B7" i="4"/>
  <c r="H4" i="80" l="1"/>
  <c r="H3" i="80"/>
  <c r="H5" i="80"/>
  <c r="H9" i="80"/>
  <c r="H6" i="80"/>
  <c r="B20" i="80"/>
  <c r="G4" i="79"/>
  <c r="G3" i="79"/>
  <c r="E6" i="79"/>
  <c r="G6" i="79" s="1"/>
  <c r="E7" i="79"/>
  <c r="G7" i="79" s="1"/>
  <c r="E5" i="79"/>
  <c r="G5" i="79" s="1"/>
  <c r="H7" i="80" l="1"/>
  <c r="H10" i="80"/>
  <c r="E8" i="79"/>
  <c r="G8" i="79"/>
  <c r="H25" i="77"/>
  <c r="G32" i="77"/>
  <c r="H32" i="77" s="1"/>
  <c r="G31" i="77"/>
  <c r="H31" i="77" s="1"/>
  <c r="G30" i="77"/>
  <c r="H30" i="77" s="1"/>
  <c r="G29" i="77"/>
  <c r="H29" i="77" s="1"/>
  <c r="G28" i="77"/>
  <c r="H28" i="77" s="1"/>
  <c r="G27" i="77"/>
  <c r="H27" i="77" s="1"/>
  <c r="G26" i="77"/>
  <c r="H26" i="77" s="1"/>
  <c r="G24" i="77"/>
  <c r="H24" i="77" s="1"/>
  <c r="H33" i="77" s="1"/>
  <c r="G33" i="77" s="1"/>
  <c r="E24" i="77"/>
  <c r="H19" i="77"/>
  <c r="H18" i="77"/>
  <c r="H17" i="77"/>
  <c r="H16" i="77"/>
  <c r="H15" i="77"/>
  <c r="H14" i="77"/>
  <c r="H13" i="77"/>
  <c r="H12" i="77"/>
  <c r="H11" i="77"/>
  <c r="H10" i="77"/>
  <c r="H9" i="77"/>
  <c r="H8" i="77"/>
  <c r="H7" i="77"/>
  <c r="H6" i="77"/>
  <c r="H5" i="77"/>
  <c r="H4" i="77"/>
  <c r="E30" i="77" s="1"/>
  <c r="H3" i="77"/>
  <c r="H2" i="77"/>
  <c r="N7" i="1"/>
  <c r="L3" i="77"/>
  <c r="L4" i="77"/>
  <c r="L5" i="77"/>
  <c r="L6" i="77"/>
  <c r="L7" i="77"/>
  <c r="L8" i="77"/>
  <c r="L9" i="77"/>
  <c r="L10" i="77"/>
  <c r="L11" i="77"/>
  <c r="L12" i="77"/>
  <c r="L13" i="77"/>
  <c r="L14" i="77"/>
  <c r="L15" i="77"/>
  <c r="L16" i="77"/>
  <c r="L17" i="77"/>
  <c r="L18" i="77"/>
  <c r="L19" i="77"/>
  <c r="L2" i="77"/>
  <c r="H11" i="80" l="1"/>
  <c r="E27" i="77"/>
  <c r="E32" i="77"/>
  <c r="E31" i="77"/>
  <c r="E29" i="77"/>
  <c r="E28" i="77"/>
  <c r="E25" i="77"/>
  <c r="E26" i="77" s="1"/>
  <c r="J8" i="80" l="1"/>
  <c r="J2" i="80"/>
  <c r="J6" i="80"/>
  <c r="J9" i="80"/>
  <c r="J5" i="80"/>
  <c r="J4" i="80"/>
  <c r="J3" i="80"/>
  <c r="J10" i="80"/>
  <c r="J7" i="80"/>
  <c r="E33" i="77"/>
  <c r="J11" i="80" l="1"/>
  <c r="G13" i="4"/>
  <c r="L21" i="77"/>
  <c r="G21" i="77"/>
  <c r="F21" i="77"/>
  <c r="E20" i="77"/>
  <c r="E19" i="77"/>
  <c r="E18" i="77"/>
  <c r="E17" i="77"/>
  <c r="E16" i="77"/>
  <c r="E15" i="77"/>
  <c r="E14" i="77"/>
  <c r="L22" i="77" l="1"/>
  <c r="N6" i="1" s="1"/>
  <c r="E13" i="77"/>
  <c r="E12" i="77"/>
  <c r="E11" i="77"/>
  <c r="E10" i="77"/>
  <c r="E9" i="77"/>
  <c r="E8" i="77"/>
  <c r="E7" i="77"/>
  <c r="E6" i="77"/>
  <c r="E5" i="77"/>
  <c r="E4" i="77"/>
  <c r="F4" i="77"/>
  <c r="E3" i="77"/>
  <c r="E2" i="77"/>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20"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27" i="39"/>
  <c r="AC27" i="39" s="1"/>
  <c r="F27" i="39"/>
  <c r="S27" i="39" s="1"/>
  <c r="F11" i="21"/>
  <c r="S11" i="21"/>
  <c r="S40" i="21"/>
  <c r="U34" i="21"/>
  <c r="S34" i="21"/>
  <c r="C27"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J14" i="39"/>
  <c r="AC14" i="39" s="1"/>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G101" i="39"/>
  <c r="H37" i="39"/>
  <c r="AB37" i="39" s="1"/>
  <c r="AC37" i="39"/>
  <c r="W37" i="39"/>
  <c r="F15" i="39"/>
  <c r="AA15" i="39" s="1"/>
  <c r="H15" i="39"/>
  <c r="U15" i="39" s="1"/>
  <c r="J15" i="39"/>
  <c r="W15" i="39" s="1"/>
  <c r="H41" i="39"/>
  <c r="U41" i="39" s="1"/>
  <c r="AB34" i="39"/>
  <c r="W14" i="39"/>
  <c r="W8" i="39"/>
  <c r="J19" i="40"/>
  <c r="AC19" i="40"/>
  <c r="J50" i="40"/>
  <c r="H103" i="9"/>
  <c r="D8" i="53"/>
  <c r="B16" i="53"/>
  <c r="B33" i="72" s="1"/>
  <c r="C7" i="37"/>
  <c r="C7" i="34"/>
  <c r="C7" i="36"/>
  <c r="W35" i="40"/>
  <c r="A118" i="9"/>
  <c r="A4" i="52"/>
  <c r="B41" i="72"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31" i="39"/>
  <c r="W19" i="39"/>
  <c r="U19" i="39"/>
  <c r="S15" i="39"/>
  <c r="AB15" i="39"/>
  <c r="AA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G13" i="3"/>
  <c r="BA13" i="3"/>
  <c r="AZ13" i="3" s="1"/>
  <c r="E10" i="6"/>
  <c r="E11" i="6"/>
  <c r="BL17" i="3"/>
  <c r="AZ17" i="3" s="1"/>
  <c r="BL13" i="3"/>
  <c r="J56" i="9"/>
  <c r="J57" i="9" s="1"/>
  <c r="J59" i="9" s="1"/>
  <c r="J61" i="9" s="1"/>
  <c r="A24" i="51"/>
  <c r="B18" i="72"/>
  <c r="U29" i="34"/>
  <c r="E14" i="6"/>
  <c r="E64" i="39" s="1"/>
  <c r="E5" i="6"/>
  <c r="D9" i="11" s="1"/>
  <c r="C9" i="11" s="1"/>
  <c r="P10" i="1"/>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H62" i="43"/>
  <c r="H66" i="43"/>
  <c r="H61" i="43"/>
  <c r="H65" i="43"/>
  <c r="H60" i="43"/>
  <c r="H64" i="43"/>
  <c r="H59" i="43"/>
  <c r="H63" i="43"/>
  <c r="H67" i="43"/>
  <c r="H55" i="43"/>
  <c r="H51" i="43"/>
  <c r="H56" i="43"/>
  <c r="H76" i="43"/>
  <c r="H72" i="43"/>
  <c r="H77"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A13" i="39"/>
  <c r="S13" i="39"/>
  <c r="S14" i="39"/>
  <c r="AB43" i="39"/>
  <c r="AA27"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3" i="43"/>
  <c r="B67" i="43"/>
  <c r="D23" i="15"/>
  <c r="D22" i="15"/>
  <c r="AQ13" i="1"/>
  <c r="F52" i="9"/>
  <c r="AQ9" i="1"/>
  <c r="T13" i="1"/>
  <c r="E7" i="70"/>
  <c r="AA39" i="40"/>
  <c r="S39" i="40"/>
  <c r="S12" i="33"/>
  <c r="AA12" i="33"/>
  <c r="J32" i="39"/>
  <c r="H32" i="39"/>
  <c r="U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50" i="11"/>
  <c r="F50" i="69"/>
  <c r="F50" i="68"/>
  <c r="R8" i="1"/>
  <c r="AE7" i="1"/>
  <c r="AE8" i="1"/>
  <c r="AG6" i="1"/>
  <c r="H109" i="9"/>
  <c r="H110" i="9"/>
  <c r="D18" i="53" s="1"/>
  <c r="B35" i="72" s="1"/>
  <c r="D124" i="9"/>
  <c r="H14" i="74" s="1"/>
  <c r="B7" i="74" s="1"/>
  <c r="D16" i="53"/>
  <c r="B34" i="72" s="1"/>
  <c r="D10" i="52"/>
  <c r="D125" i="9"/>
  <c r="D11" i="52" s="1"/>
  <c r="F7" i="33"/>
  <c r="S7" i="33" s="1"/>
  <c r="H112" i="9"/>
  <c r="D21" i="53"/>
  <c r="B39" i="72" s="1"/>
  <c r="H111" i="9"/>
  <c r="D126" i="9" s="1"/>
  <c r="D59" i="9"/>
  <c r="M55" i="9" s="1"/>
  <c r="AD3" i="71"/>
  <c r="J15" i="67"/>
  <c r="M26" i="15"/>
  <c r="F7" i="73"/>
  <c r="M22" i="15"/>
  <c r="M24" i="15"/>
  <c r="E2" i="69"/>
  <c r="B9" i="76"/>
  <c r="F9" i="15"/>
  <c r="F40" i="15"/>
  <c r="F6" i="15"/>
  <c r="F40" i="67"/>
  <c r="M9" i="15"/>
  <c r="E12" i="76"/>
  <c r="M29" i="67"/>
  <c r="M9" i="67"/>
  <c r="F37" i="67"/>
  <c r="E8" i="76"/>
  <c r="F42" i="15"/>
  <c r="F26" i="67"/>
  <c r="D2" i="36"/>
  <c r="F42" i="67"/>
  <c r="M23" i="67"/>
  <c r="F38" i="15"/>
  <c r="D2" i="37"/>
  <c r="AO8" i="1"/>
  <c r="L48" i="15"/>
  <c r="C76" i="67"/>
  <c r="L47" i="67"/>
  <c r="F37" i="15"/>
  <c r="F13" i="67"/>
  <c r="F5" i="73"/>
  <c r="AO7" i="1"/>
  <c r="F7" i="67"/>
  <c r="M24" i="67"/>
  <c r="M22" i="67"/>
  <c r="L47" i="15"/>
  <c r="M27" i="67"/>
  <c r="E7" i="76"/>
  <c r="E2" i="68"/>
  <c r="M26" i="67"/>
  <c r="F13" i="15"/>
  <c r="E13" i="76"/>
  <c r="J15" i="15"/>
  <c r="B10" i="76"/>
  <c r="F35" i="67"/>
  <c r="L48" i="67"/>
  <c r="F6" i="67"/>
  <c r="F8" i="67"/>
  <c r="D2" i="34"/>
  <c r="C76" i="15"/>
  <c r="F36" i="15"/>
  <c r="E11" i="76"/>
  <c r="F16" i="15"/>
  <c r="B7" i="76"/>
  <c r="F41" i="67"/>
  <c r="F16" i="67"/>
  <c r="D2" i="21"/>
  <c r="AO11" i="1"/>
  <c r="F36" i="67"/>
  <c r="M23" i="15"/>
  <c r="D2" i="35"/>
  <c r="M27" i="15"/>
  <c r="B11" i="76"/>
  <c r="AO9" i="1"/>
  <c r="D2" i="33"/>
  <c r="M8" i="67"/>
  <c r="F43" i="67"/>
  <c r="E10" i="76"/>
  <c r="B8" i="76"/>
  <c r="M6" i="67"/>
  <c r="F9" i="67"/>
  <c r="AO12" i="1"/>
  <c r="AO13" i="1"/>
  <c r="F26" i="15"/>
  <c r="F3" i="73"/>
  <c r="F38" i="67"/>
  <c r="M21" i="67"/>
  <c r="B12" i="76"/>
  <c r="B13" i="76"/>
  <c r="M28" i="15"/>
  <c r="F6" i="73"/>
  <c r="F4" i="73"/>
  <c r="F8" i="15"/>
  <c r="AO10" i="1"/>
  <c r="F20" i="31"/>
  <c r="M8" i="15"/>
  <c r="M6" i="15"/>
  <c r="M28" i="67"/>
  <c r="E9" i="76"/>
  <c r="D19" i="12" l="1"/>
  <c r="C19" i="12" s="1"/>
  <c r="E28" i="6"/>
  <c r="K14" i="1" s="1"/>
  <c r="M14" i="1" s="1"/>
  <c r="G30" i="6"/>
  <c r="AR8" i="1"/>
  <c r="D9" i="68"/>
  <c r="C9" i="68" s="1"/>
  <c r="D9" i="69"/>
  <c r="C9" i="69" s="1"/>
  <c r="H7" i="33"/>
  <c r="AB7" i="33" s="1"/>
  <c r="T48" i="33" s="1"/>
  <c r="G48" i="33" s="1"/>
  <c r="J7" i="33"/>
  <c r="W7" i="33" s="1"/>
  <c r="G7" i="1"/>
  <c r="C10" i="39"/>
  <c r="AA7" i="33"/>
  <c r="R48" i="33" s="1"/>
  <c r="E48" i="33" s="1"/>
  <c r="D17" i="53"/>
  <c r="B36" i="72" s="1"/>
  <c r="U40" i="39"/>
  <c r="AC41" i="39"/>
  <c r="S42" i="39"/>
  <c r="AB41" i="39"/>
  <c r="AA41" i="39"/>
  <c r="S40" i="39"/>
  <c r="S9" i="39"/>
  <c r="W9" i="39"/>
  <c r="U9" i="39"/>
  <c r="AC43" i="39"/>
  <c r="W43" i="39"/>
  <c r="U45" i="39"/>
  <c r="AB45" i="39"/>
  <c r="AB44" i="39"/>
  <c r="U44" i="39"/>
  <c r="AA45" i="39"/>
  <c r="AC45" i="39"/>
  <c r="AB32" i="39"/>
  <c r="S31" i="39"/>
  <c r="H25" i="39"/>
  <c r="AB25" i="39" s="1"/>
  <c r="F25" i="39"/>
  <c r="F99" i="39"/>
  <c r="G99" i="39" s="1"/>
  <c r="J25" i="39"/>
  <c r="AB23" i="39"/>
  <c r="F95" i="39"/>
  <c r="G95" i="39" s="1"/>
  <c r="J21" i="39"/>
  <c r="F21" i="39"/>
  <c r="H21" i="39"/>
  <c r="U21" i="39" s="1"/>
  <c r="S29" i="39"/>
  <c r="AB27" i="39"/>
  <c r="W27" i="39"/>
  <c r="U25" i="39"/>
  <c r="AB21" i="39"/>
  <c r="S19" i="39"/>
  <c r="AC15" i="39"/>
  <c r="F91" i="39"/>
  <c r="G91" i="39" s="1"/>
  <c r="F17" i="39"/>
  <c r="AA17" i="39" s="1"/>
  <c r="H17" i="39"/>
  <c r="AB17" i="39" s="1"/>
  <c r="J17" i="39"/>
  <c r="S17" i="39"/>
  <c r="AC12" i="39"/>
  <c r="W12" i="39"/>
  <c r="AB14" i="39"/>
  <c r="U14" i="39"/>
  <c r="AC13" i="39"/>
  <c r="H12" i="39"/>
  <c r="P61" i="15"/>
  <c r="J53" i="15"/>
  <c r="F1" i="15" s="1"/>
  <c r="G17" i="43"/>
  <c r="C16" i="43" s="1"/>
  <c r="B56" i="43"/>
  <c r="B49" i="43"/>
  <c r="B54" i="43"/>
  <c r="C19" i="39"/>
  <c r="C21" i="39"/>
  <c r="C25" i="39"/>
  <c r="G27" i="6"/>
  <c r="G31" i="6" s="1"/>
  <c r="E19" i="6"/>
  <c r="C7" i="12" s="1"/>
  <c r="BL22" i="3"/>
  <c r="BL15" i="3"/>
  <c r="BL5" i="3" s="1"/>
  <c r="A13" i="51"/>
  <c r="B11" i="72" s="1"/>
  <c r="R49" i="33"/>
  <c r="C65" i="40"/>
  <c r="D63" i="40"/>
  <c r="C68" i="39"/>
  <c r="C70" i="39" s="1"/>
  <c r="U7" i="33"/>
  <c r="AC7" i="33"/>
  <c r="V48" i="33" s="1"/>
  <c r="I48" i="33" s="1"/>
  <c r="I52" i="33" s="1"/>
  <c r="J52" i="33" s="1"/>
  <c r="C13" i="12"/>
  <c r="C77" i="9"/>
  <c r="C74" i="9" s="1"/>
  <c r="J1" i="73"/>
  <c r="K7" i="1"/>
  <c r="M7" i="1" s="1"/>
  <c r="O7" i="1" s="1"/>
  <c r="P7" i="1" s="1"/>
  <c r="D7" i="12"/>
  <c r="G13" i="1"/>
  <c r="G9" i="1"/>
  <c r="C36" i="69"/>
  <c r="T8" i="1"/>
  <c r="L27" i="6"/>
  <c r="AR11" i="1"/>
  <c r="T11" i="1"/>
  <c r="AR10" i="1"/>
  <c r="E59" i="40"/>
  <c r="AZ14" i="3"/>
  <c r="AZ15" i="3"/>
  <c r="AZ22" i="3"/>
  <c r="E30" i="6"/>
  <c r="K15" i="1"/>
  <c r="E13" i="6"/>
  <c r="E15" i="6"/>
  <c r="BA5" i="3"/>
  <c r="AZ18" i="3"/>
  <c r="AZ5" i="3" s="1"/>
  <c r="G5" i="3"/>
  <c r="B3" i="3" s="1"/>
  <c r="F27" i="6"/>
  <c r="F31" i="6" s="1"/>
  <c r="E51" i="40"/>
  <c r="E56" i="39"/>
  <c r="E12" i="6"/>
  <c r="O14" i="1"/>
  <c r="P14" i="1" s="1"/>
  <c r="O12" i="1"/>
  <c r="P12" i="1" s="1"/>
  <c r="O8" i="1"/>
  <c r="O11" i="1"/>
  <c r="P11" i="1" s="1"/>
  <c r="E61" i="39"/>
  <c r="E56" i="40"/>
  <c r="O9" i="1"/>
  <c r="P9" i="1" s="1"/>
  <c r="T9" i="1"/>
  <c r="F34" i="15"/>
  <c r="F62" i="15" s="1"/>
  <c r="C94" i="9"/>
  <c r="C92" i="9"/>
  <c r="F54" i="9"/>
  <c r="F28" i="15"/>
  <c r="C28" i="15" s="1"/>
  <c r="M18" i="67"/>
  <c r="D68" i="9"/>
  <c r="M18" i="15"/>
  <c r="F32" i="15"/>
  <c r="F60" i="15" s="1"/>
  <c r="F30" i="69"/>
  <c r="F32" i="67"/>
  <c r="F60" i="67" s="1"/>
  <c r="F31" i="12"/>
  <c r="F28" i="67"/>
  <c r="C28" i="67" s="1"/>
  <c r="F30" i="11"/>
  <c r="F30" i="68"/>
  <c r="C40" i="68"/>
  <c r="C40" i="69"/>
  <c r="D23" i="67"/>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D12" i="52"/>
  <c r="I14" i="74"/>
  <c r="B8" i="74" s="1"/>
  <c r="D127" i="9"/>
  <c r="D13" i="52" s="1"/>
  <c r="D19" i="53"/>
  <c r="C49" i="33"/>
  <c r="C48" i="33"/>
  <c r="G52" i="33"/>
  <c r="H52" i="33" s="1"/>
  <c r="G53" i="33"/>
  <c r="H53" i="33" s="1"/>
  <c r="F48" i="35"/>
  <c r="D68" i="39"/>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M59" i="15"/>
  <c r="L59" i="15" s="1"/>
  <c r="L58" i="15"/>
  <c r="F65" i="15"/>
  <c r="Q71" i="67"/>
  <c r="B13" i="70"/>
  <c r="B8" i="70"/>
  <c r="C34" i="67"/>
  <c r="F63" i="67"/>
  <c r="C62" i="67" s="1"/>
  <c r="B20" i="3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4" i="67"/>
  <c r="D3" i="73"/>
  <c r="D5" i="73"/>
  <c r="D7" i="73"/>
  <c r="AE6" i="1"/>
  <c r="C17" i="67"/>
  <c r="D6" i="73"/>
  <c r="C16" i="67"/>
  <c r="D4" i="73"/>
  <c r="E53" i="33" l="1"/>
  <c r="F53" i="33" s="1"/>
  <c r="I53" i="33"/>
  <c r="J53" i="33" s="1"/>
  <c r="E52" i="33"/>
  <c r="F52" i="33" s="1"/>
  <c r="AC25" i="39"/>
  <c r="W25" i="39"/>
  <c r="AA25" i="39"/>
  <c r="S25" i="39"/>
  <c r="AC21" i="39"/>
  <c r="W21" i="39"/>
  <c r="S21" i="39"/>
  <c r="AA21" i="39"/>
  <c r="U17" i="39"/>
  <c r="AC17" i="39"/>
  <c r="W17" i="39"/>
  <c r="AB12" i="39"/>
  <c r="U12" i="39"/>
  <c r="Q52" i="15"/>
  <c r="C5" i="43"/>
  <c r="D5" i="43"/>
  <c r="E69" i="3"/>
  <c r="AT6" i="3"/>
  <c r="E559" i="3"/>
  <c r="E336" i="3"/>
  <c r="E456" i="3"/>
  <c r="E224" i="3"/>
  <c r="K6" i="1"/>
  <c r="K16" i="1" s="1"/>
  <c r="V6" i="3"/>
  <c r="E128" i="3"/>
  <c r="E153" i="3"/>
  <c r="E304" i="3"/>
  <c r="C4" i="4"/>
  <c r="B4" i="62" s="1"/>
  <c r="B71" i="72" s="1"/>
  <c r="E20" i="43"/>
  <c r="P28" i="43" s="1"/>
  <c r="E63" i="40"/>
  <c r="D65" i="40"/>
  <c r="E551" i="3"/>
  <c r="E358" i="3"/>
  <c r="E205" i="3"/>
  <c r="E583" i="3"/>
  <c r="E338" i="3"/>
  <c r="E402" i="3"/>
  <c r="M6" i="3"/>
  <c r="E570" i="3"/>
  <c r="E514" i="3"/>
  <c r="E311" i="3"/>
  <c r="E165" i="3"/>
  <c r="E227" i="3"/>
  <c r="X6" i="3"/>
  <c r="E328" i="3"/>
  <c r="E319" i="3"/>
  <c r="E312" i="3"/>
  <c r="E451" i="3"/>
  <c r="E532" i="3"/>
  <c r="E61" i="3"/>
  <c r="E285" i="3"/>
  <c r="E159" i="3"/>
  <c r="E569" i="3"/>
  <c r="E538" i="3"/>
  <c r="E506" i="3"/>
  <c r="E561" i="3"/>
  <c r="E523" i="3"/>
  <c r="AR6" i="3"/>
  <c r="S6" i="3"/>
  <c r="E533" i="3"/>
  <c r="E390" i="3"/>
  <c r="E270" i="3"/>
  <c r="E293" i="3"/>
  <c r="E124" i="3"/>
  <c r="E246" i="3"/>
  <c r="E280" i="3"/>
  <c r="E399" i="3"/>
  <c r="AA6" i="3"/>
  <c r="E347" i="3"/>
  <c r="E426" i="3"/>
  <c r="E501" i="3"/>
  <c r="E53" i="3"/>
  <c r="AY6" i="3"/>
  <c r="E149" i="3"/>
  <c r="T6" i="3"/>
  <c r="E512" i="3"/>
  <c r="E313" i="3"/>
  <c r="E117" i="3"/>
  <c r="E298" i="3"/>
  <c r="AI6" i="3"/>
  <c r="E302" i="3"/>
  <c r="E228" i="3"/>
  <c r="E303" i="3"/>
  <c r="E314" i="3"/>
  <c r="E260" i="3"/>
  <c r="E16" i="6"/>
  <c r="E27" i="6"/>
  <c r="K26" i="6" s="1"/>
  <c r="M26" i="6" s="1"/>
  <c r="I26" i="6" s="1"/>
  <c r="S26" i="6" s="1"/>
  <c r="E508" i="3"/>
  <c r="E305" i="3"/>
  <c r="E343" i="3"/>
  <c r="E530" i="3"/>
  <c r="E175" i="3"/>
  <c r="E167" i="3"/>
  <c r="E534" i="3"/>
  <c r="E405" i="3"/>
  <c r="E469" i="3"/>
  <c r="E408" i="3"/>
  <c r="E519" i="3"/>
  <c r="E193" i="3"/>
  <c r="E45" i="3"/>
  <c r="E290" i="3"/>
  <c r="E169" i="3"/>
  <c r="E321" i="3"/>
  <c r="E418" i="3"/>
  <c r="E385" i="3"/>
  <c r="E574" i="3"/>
  <c r="E213" i="3"/>
  <c r="E157" i="3"/>
  <c r="E99" i="3"/>
  <c r="E301" i="3"/>
  <c r="E350" i="3"/>
  <c r="E16" i="3"/>
  <c r="E229" i="3"/>
  <c r="E239" i="3"/>
  <c r="E415" i="3"/>
  <c r="E60" i="40"/>
  <c r="E65" i="39"/>
  <c r="E58" i="40"/>
  <c r="E63" i="39"/>
  <c r="E352" i="3"/>
  <c r="E461" i="3"/>
  <c r="E510" i="3"/>
  <c r="E567" i="3"/>
  <c r="E545" i="3"/>
  <c r="E539" i="3"/>
  <c r="E329" i="3"/>
  <c r="AJ6" i="3"/>
  <c r="N6" i="3"/>
  <c r="E322" i="3"/>
  <c r="E282" i="3"/>
  <c r="E268" i="3"/>
  <c r="E553" i="3"/>
  <c r="E526" i="3"/>
  <c r="E366" i="3"/>
  <c r="E217" i="3"/>
  <c r="E125" i="3"/>
  <c r="E212" i="3"/>
  <c r="E141" i="3"/>
  <c r="AD6" i="3"/>
  <c r="E564" i="3"/>
  <c r="E543" i="3"/>
  <c r="E427" i="3"/>
  <c r="E486" i="3"/>
  <c r="E507" i="3"/>
  <c r="E422" i="3"/>
  <c r="E440" i="3"/>
  <c r="K6" i="3"/>
  <c r="E330" i="3"/>
  <c r="E133" i="3"/>
  <c r="E177" i="3"/>
  <c r="E277" i="3"/>
  <c r="E120" i="3"/>
  <c r="E161" i="3"/>
  <c r="E135" i="3"/>
  <c r="E185" i="3"/>
  <c r="E216" i="3"/>
  <c r="E231" i="3"/>
  <c r="E380" i="3"/>
  <c r="E439" i="3"/>
  <c r="E578" i="3"/>
  <c r="E518" i="3"/>
  <c r="E97" i="3"/>
  <c r="E359" i="3"/>
  <c r="O6" i="3"/>
  <c r="E17" i="3"/>
  <c r="E565" i="3"/>
  <c r="E237" i="3"/>
  <c r="E181" i="3"/>
  <c r="E188" i="3"/>
  <c r="E191" i="3"/>
  <c r="E245" i="3"/>
  <c r="E263" i="3"/>
  <c r="E382" i="3"/>
  <c r="E423" i="3"/>
  <c r="AK6" i="3"/>
  <c r="E511" i="3"/>
  <c r="E151" i="3"/>
  <c r="E396" i="3"/>
  <c r="E516" i="3"/>
  <c r="E550" i="3"/>
  <c r="E395" i="3"/>
  <c r="E114" i="3"/>
  <c r="E3" i="6"/>
  <c r="H34" i="6" s="1"/>
  <c r="E77" i="3"/>
  <c r="E253" i="3"/>
  <c r="E199" i="3"/>
  <c r="E286" i="3"/>
  <c r="E575" i="3"/>
  <c r="E499" i="3"/>
  <c r="Q6" i="3"/>
  <c r="E573" i="3"/>
  <c r="E560" i="3"/>
  <c r="E529" i="3"/>
  <c r="E437" i="3"/>
  <c r="E458" i="3"/>
  <c r="E472" i="3"/>
  <c r="E474" i="3"/>
  <c r="E481" i="3"/>
  <c r="E527" i="3"/>
  <c r="E406" i="3"/>
  <c r="E438" i="3"/>
  <c r="E424" i="3"/>
  <c r="E457" i="3"/>
  <c r="E493" i="3"/>
  <c r="E525" i="3"/>
  <c r="E393" i="3"/>
  <c r="E369" i="3"/>
  <c r="E105" i="3"/>
  <c r="E173" i="3"/>
  <c r="E116" i="3"/>
  <c r="E197" i="3"/>
  <c r="E238" i="3"/>
  <c r="E223" i="3"/>
  <c r="E85" i="3"/>
  <c r="E140" i="3"/>
  <c r="E180" i="3"/>
  <c r="E221" i="3"/>
  <c r="E91" i="3"/>
  <c r="E254" i="3"/>
  <c r="E134" i="3"/>
  <c r="E130" i="3"/>
  <c r="E189" i="3"/>
  <c r="E230" i="3"/>
  <c r="E215" i="3"/>
  <c r="E294" i="3"/>
  <c r="E335" i="3"/>
  <c r="E320" i="3"/>
  <c r="E387" i="3"/>
  <c r="E407" i="3"/>
  <c r="AB6" i="3"/>
  <c r="E586" i="3"/>
  <c r="AN6" i="3"/>
  <c r="E495" i="3"/>
  <c r="E353" i="3"/>
  <c r="E143" i="3"/>
  <c r="E337" i="3"/>
  <c r="E410" i="3"/>
  <c r="E555" i="3"/>
  <c r="E388" i="3"/>
  <c r="E503" i="3"/>
  <c r="E361" i="3"/>
  <c r="E183" i="3"/>
  <c r="E528" i="3"/>
  <c r="E261" i="3"/>
  <c r="E89" i="3"/>
  <c r="E122" i="3"/>
  <c r="E269" i="3"/>
  <c r="E148" i="3"/>
  <c r="E236" i="3"/>
  <c r="E156" i="3"/>
  <c r="E136" i="3"/>
  <c r="E196" i="3"/>
  <c r="E262" i="3"/>
  <c r="E244" i="3"/>
  <c r="E296" i="3"/>
  <c r="E368" i="3"/>
  <c r="E306" i="3"/>
  <c r="E453" i="3"/>
  <c r="E434" i="3"/>
  <c r="E549" i="3"/>
  <c r="E536" i="3"/>
  <c r="I6" i="3"/>
  <c r="E568" i="3"/>
  <c r="E397" i="3"/>
  <c r="E201" i="3"/>
  <c r="E247" i="3"/>
  <c r="E431" i="3"/>
  <c r="E579" i="3"/>
  <c r="E509" i="3"/>
  <c r="E535" i="3"/>
  <c r="E445" i="3"/>
  <c r="E172" i="3"/>
  <c r="E563" i="3"/>
  <c r="E278" i="3"/>
  <c r="E207" i="3"/>
  <c r="E271" i="3"/>
  <c r="E145" i="3"/>
  <c r="E107" i="3"/>
  <c r="E379" i="3"/>
  <c r="E585" i="3"/>
  <c r="E542" i="3"/>
  <c r="R6" i="3"/>
  <c r="E552" i="3"/>
  <c r="E502" i="3"/>
  <c r="E421" i="3"/>
  <c r="E442" i="3"/>
  <c r="E464" i="3"/>
  <c r="E466" i="3"/>
  <c r="E487" i="3"/>
  <c r="E541" i="3"/>
  <c r="E398" i="3"/>
  <c r="E430" i="3"/>
  <c r="E416" i="3"/>
  <c r="E449"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204" i="3"/>
  <c r="E327" i="3"/>
  <c r="Z6" i="3"/>
  <c r="AG6" i="3"/>
  <c r="AO6" i="3"/>
  <c r="E448" i="3"/>
  <c r="E485" i="3"/>
  <c r="P6" i="3"/>
  <c r="E400" i="3"/>
  <c r="E443" i="3"/>
  <c r="E490" i="3"/>
  <c r="E360" i="3"/>
  <c r="E376" i="3"/>
  <c r="E556" i="3"/>
  <c r="AH6" i="3"/>
  <c r="E497" i="3"/>
  <c r="J6" i="3"/>
  <c r="E13" i="3"/>
  <c r="E498" i="3"/>
  <c r="E494" i="3"/>
  <c r="E419" i="3"/>
  <c r="E452" i="3"/>
  <c r="E483" i="3"/>
  <c r="E470" i="3"/>
  <c r="E401" i="3"/>
  <c r="E420" i="3"/>
  <c r="E463" i="3"/>
  <c r="E26" i="3"/>
  <c r="E40" i="3"/>
  <c r="E104" i="3"/>
  <c r="E25" i="3"/>
  <c r="E41"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252" i="3"/>
  <c r="E164" i="3"/>
  <c r="E576" i="3"/>
  <c r="U6" i="3"/>
  <c r="E515" i="3"/>
  <c r="E411" i="3"/>
  <c r="E478" i="3"/>
  <c r="E548" i="3"/>
  <c r="E414" i="3"/>
  <c r="E432" i="3"/>
  <c r="E465" i="3"/>
  <c r="E288" i="3"/>
  <c r="E344" i="3"/>
  <c r="E562" i="3"/>
  <c r="E587" i="3"/>
  <c r="W6" i="3"/>
  <c r="AE6" i="3"/>
  <c r="E571" i="3"/>
  <c r="E577" i="3"/>
  <c r="E537" i="3"/>
  <c r="E429" i="3"/>
  <c r="E450" i="3"/>
  <c r="E468" i="3"/>
  <c r="E471" i="3"/>
  <c r="E496" i="3"/>
  <c r="E433" i="3"/>
  <c r="E454" i="3"/>
  <c r="E475" i="3"/>
  <c r="E55" i="3"/>
  <c r="E72" i="3"/>
  <c r="E106" i="3"/>
  <c r="E54"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24" i="6"/>
  <c r="M24" i="6" s="1"/>
  <c r="I24" i="6" s="1"/>
  <c r="S24" i="6" s="1"/>
  <c r="K23" i="6"/>
  <c r="M23" i="6" s="1"/>
  <c r="I23" i="6" s="1"/>
  <c r="S23" i="6" s="1"/>
  <c r="E62" i="39"/>
  <c r="E57" i="40"/>
  <c r="D22"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535" i="3"/>
  <c r="AY562" i="3"/>
  <c r="AY574" i="3"/>
  <c r="BO6" i="3"/>
  <c r="AY555" i="3"/>
  <c r="AY89" i="3"/>
  <c r="AY85"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7" i="3"/>
  <c r="AY573" i="3"/>
  <c r="AY539" i="3"/>
  <c r="AY100"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540" i="3"/>
  <c r="AY69" i="3"/>
  <c r="AY52" i="3"/>
  <c r="AY198" i="3"/>
  <c r="AY162" i="3"/>
  <c r="AY141" i="3"/>
  <c r="AY291" i="3"/>
  <c r="AY255" i="3"/>
  <c r="AY238" i="3"/>
  <c r="AY384" i="3"/>
  <c r="AY368" i="3"/>
  <c r="BB6" i="3"/>
  <c r="AY72" i="3"/>
  <c r="AY181" i="3"/>
  <c r="AY121" i="3"/>
  <c r="AY258" i="3"/>
  <c r="AY370" i="3"/>
  <c r="AY309" i="3"/>
  <c r="AY483" i="3"/>
  <c r="AY449" i="3"/>
  <c r="AY406"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86" i="3"/>
  <c r="AY375" i="3"/>
  <c r="AY351" i="3"/>
  <c r="AY339" i="3"/>
  <c r="AY307" i="3"/>
  <c r="AY322" i="3"/>
  <c r="AY477" i="3"/>
  <c r="AY474" i="3"/>
  <c r="AY443" i="3"/>
  <c r="AY432" i="3"/>
  <c r="AY400" i="3"/>
  <c r="AY413" i="3"/>
  <c r="AY521" i="3"/>
  <c r="AY15" i="3"/>
  <c r="AY566" i="3"/>
  <c r="AY583" i="3"/>
  <c r="BT6" i="3"/>
  <c r="AY567" i="3"/>
  <c r="AY557" i="3"/>
  <c r="AY105" i="3"/>
  <c r="AY84" i="3"/>
  <c r="AY20" i="3"/>
  <c r="AY193" i="3"/>
  <c r="AY173" i="3"/>
  <c r="AY134" i="3"/>
  <c r="AY286" i="3"/>
  <c r="AY270" i="3"/>
  <c r="AY227" i="3"/>
  <c r="AY373" i="3"/>
  <c r="AY507" i="3"/>
  <c r="AY88" i="3"/>
  <c r="AY29" i="3"/>
  <c r="AY161" i="3"/>
  <c r="AY275" i="3"/>
  <c r="AY215" i="3"/>
  <c r="AY341" i="3"/>
  <c r="AY324" i="3"/>
  <c r="AY480" i="3"/>
  <c r="AY438"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213" i="3"/>
  <c r="AY391" i="3"/>
  <c r="AY367" i="3"/>
  <c r="AY354" i="3"/>
  <c r="AY323" i="3"/>
  <c r="AY338" i="3"/>
  <c r="AY306" i="3"/>
  <c r="AY490" i="3"/>
  <c r="AY459" i="3"/>
  <c r="AY448" i="3"/>
  <c r="AY416" i="3"/>
  <c r="AY429" i="3"/>
  <c r="AY550" i="3"/>
  <c r="BD6" i="3"/>
  <c r="BC6" i="3"/>
  <c r="AY511" i="3"/>
  <c r="AY504" i="3"/>
  <c r="AY586" i="3"/>
  <c r="AY498" i="3"/>
  <c r="D3" i="21"/>
  <c r="D19" i="11"/>
  <c r="C19" i="11" s="1"/>
  <c r="C20" i="11" s="1"/>
  <c r="D37" i="11"/>
  <c r="D14" i="12"/>
  <c r="D17" i="12" s="1"/>
  <c r="C17" i="12" s="1"/>
  <c r="M18" i="9"/>
  <c r="B118" i="9" s="1"/>
  <c r="B14" i="74" s="1"/>
  <c r="B1" i="74" s="1"/>
  <c r="C7" i="74" s="1"/>
  <c r="D3" i="34"/>
  <c r="D3" i="33"/>
  <c r="B2" i="33" s="1"/>
  <c r="B3" i="33" s="1"/>
  <c r="E6" i="6"/>
  <c r="C17" i="4"/>
  <c r="B4" i="52" s="1"/>
  <c r="B43" i="72" s="1"/>
  <c r="L18" i="9"/>
  <c r="D3" i="37"/>
  <c r="AC6" i="3"/>
  <c r="P8" i="1"/>
  <c r="C48" i="68"/>
  <c r="C30" i="68"/>
  <c r="C48" i="11"/>
  <c r="C30" i="11"/>
  <c r="C48" i="69"/>
  <c r="C30" i="69"/>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C8" i="74"/>
  <c r="F46" i="36"/>
  <c r="H59" i="34"/>
  <c r="E58" i="21"/>
  <c r="F58" i="21" s="1"/>
  <c r="G58" i="21" s="1"/>
  <c r="H58" i="21" s="1"/>
  <c r="I58" i="21" s="1"/>
  <c r="J58" i="21" s="1"/>
  <c r="K58" i="21" s="1"/>
  <c r="L58" i="21" s="1"/>
  <c r="M58" i="21" s="1"/>
  <c r="N58" i="21" s="1"/>
  <c r="O58" i="21" s="1"/>
  <c r="H7" i="21"/>
  <c r="J7" i="21"/>
  <c r="H52" i="37"/>
  <c r="D70" i="39"/>
  <c r="E68" i="39"/>
  <c r="G48" i="35"/>
  <c r="P23" i="43"/>
  <c r="B71" i="39" s="1"/>
  <c r="C6" i="71"/>
  <c r="C5" i="71" s="1"/>
  <c r="D5" i="71" s="1"/>
  <c r="D7" i="71"/>
  <c r="P25" i="43"/>
  <c r="C49" i="67"/>
  <c r="C18" i="67"/>
  <c r="C15" i="67"/>
  <c r="M11" i="15"/>
  <c r="F11" i="67"/>
  <c r="F11" i="15"/>
  <c r="M11" i="67"/>
  <c r="J10" i="67" s="1"/>
  <c r="J5" i="67" s="1"/>
  <c r="Q73" i="67"/>
  <c r="Q60" i="67"/>
  <c r="M28" i="43"/>
  <c r="Q60" i="15"/>
  <c r="Q73" i="15"/>
  <c r="Q74" i="15"/>
  <c r="Q61" i="15"/>
  <c r="Q61" i="67"/>
  <c r="Q74" i="67"/>
  <c r="M29" i="15"/>
  <c r="F7" i="15"/>
  <c r="F43" i="15"/>
  <c r="G1" i="73"/>
  <c r="F41" i="15"/>
  <c r="F71" i="15" l="1"/>
  <c r="F50" i="15"/>
  <c r="C49" i="15" s="1"/>
  <c r="C6" i="15"/>
  <c r="C10" i="15" s="1"/>
  <c r="C5" i="15" s="1"/>
  <c r="M7" i="15"/>
  <c r="J6" i="15" s="1"/>
  <c r="J10" i="15" s="1"/>
  <c r="J5" i="15" s="1"/>
  <c r="J24" i="15" s="1"/>
  <c r="H16" i="1"/>
  <c r="J38" i="39"/>
  <c r="F38" i="39"/>
  <c r="H38" i="39"/>
  <c r="B40" i="1"/>
  <c r="F22" i="68" s="1"/>
  <c r="F69" i="15"/>
  <c r="O28" i="43"/>
  <c r="N28" i="43"/>
  <c r="C34" i="69"/>
  <c r="C38" i="69" s="1"/>
  <c r="Q16" i="1"/>
  <c r="F28" i="12" s="1"/>
  <c r="C29" i="12" s="1"/>
  <c r="D28" i="12" s="1"/>
  <c r="M6" i="1"/>
  <c r="G16" i="1"/>
  <c r="K4" i="4"/>
  <c r="B46" i="48" s="1"/>
  <c r="B4" i="72" s="1"/>
  <c r="E65" i="40"/>
  <c r="F63" i="40"/>
  <c r="F27" i="69"/>
  <c r="F27" i="11"/>
  <c r="F27" i="68"/>
  <c r="C29" i="68" s="1"/>
  <c r="D27" i="68" s="1"/>
  <c r="K20" i="6"/>
  <c r="K21" i="6"/>
  <c r="M21" i="6" s="1"/>
  <c r="I21" i="6" s="1"/>
  <c r="S21" i="6" s="1"/>
  <c r="K19" i="6"/>
  <c r="S6" i="1" s="1"/>
  <c r="E66" i="39"/>
  <c r="K22" i="6"/>
  <c r="M22" i="6" s="1"/>
  <c r="I22" i="6" s="1"/>
  <c r="S22" i="6" s="1"/>
  <c r="E31" i="6"/>
  <c r="K25" i="6"/>
  <c r="M25" i="6" s="1"/>
  <c r="I25" i="6" s="1"/>
  <c r="S25" i="6" s="1"/>
  <c r="H6" i="3"/>
  <c r="E6" i="3" s="1"/>
  <c r="D10" i="11"/>
  <c r="C10" i="11" s="1"/>
  <c r="D10" i="69"/>
  <c r="D10" i="68"/>
  <c r="D20" i="12"/>
  <c r="C20" i="12" s="1"/>
  <c r="D19" i="6"/>
  <c r="M19" i="9"/>
  <c r="C118" i="9" s="1"/>
  <c r="C14" i="74" s="1"/>
  <c r="B2" i="74" s="1"/>
  <c r="D15" i="6"/>
  <c r="D21" i="6"/>
  <c r="D20" i="6"/>
  <c r="D5" i="6"/>
  <c r="D11" i="6"/>
  <c r="D28" i="6"/>
  <c r="D25" i="6"/>
  <c r="D22" i="6"/>
  <c r="D24" i="6"/>
  <c r="D12" i="6"/>
  <c r="D13" i="6"/>
  <c r="E61" i="40"/>
  <c r="D29" i="6"/>
  <c r="D10" i="6"/>
  <c r="D6" i="6"/>
  <c r="D23" i="6"/>
  <c r="C18" i="4"/>
  <c r="H24" i="6"/>
  <c r="L19" i="9"/>
  <c r="D9" i="6"/>
  <c r="D14" i="6"/>
  <c r="D8" i="6"/>
  <c r="D26" i="6"/>
  <c r="H23" i="6"/>
  <c r="H26" i="6"/>
  <c r="H21" i="6"/>
  <c r="C115" i="43"/>
  <c r="D113" i="43" s="1"/>
  <c r="S2" i="43"/>
  <c r="S6" i="43"/>
  <c r="S4" i="43"/>
  <c r="S5" i="43"/>
  <c r="S3" i="43"/>
  <c r="C23" i="43"/>
  <c r="C21" i="43" s="1"/>
  <c r="S7" i="43"/>
  <c r="H48" i="35"/>
  <c r="I48" i="35" s="1"/>
  <c r="J48" i="35" s="1"/>
  <c r="K48" i="35" s="1"/>
  <c r="L48" i="35" s="1"/>
  <c r="M48" i="35" s="1"/>
  <c r="N48" i="35" s="1"/>
  <c r="O48" i="35" s="1"/>
  <c r="AB7" i="21"/>
  <c r="T48" i="21" s="1"/>
  <c r="G48" i="21" s="1"/>
  <c r="U7" i="21"/>
  <c r="H7" i="35"/>
  <c r="F68" i="39"/>
  <c r="E70" i="39"/>
  <c r="I52" i="37"/>
  <c r="AC7" i="21"/>
  <c r="V48" i="21" s="1"/>
  <c r="I48" i="21" s="1"/>
  <c r="W7" i="21"/>
  <c r="G46" i="36"/>
  <c r="I59" i="34"/>
  <c r="J59" i="34" s="1"/>
  <c r="K59" i="34" s="1"/>
  <c r="L59" i="34" s="1"/>
  <c r="M59" i="34" s="1"/>
  <c r="N59" i="34" s="1"/>
  <c r="O59" i="34" s="1"/>
  <c r="J7" i="34"/>
  <c r="H7" i="34"/>
  <c r="J7" i="35"/>
  <c r="F7" i="21"/>
  <c r="D6" i="71"/>
  <c r="M20" i="43" s="1"/>
  <c r="C19" i="43" s="1"/>
  <c r="C19" i="67"/>
  <c r="C20" i="67" s="1"/>
  <c r="C26" i="67" s="1"/>
  <c r="J24" i="67"/>
  <c r="J26" i="67"/>
  <c r="J29" i="67" s="1"/>
  <c r="J18" i="67"/>
  <c r="C53" i="67"/>
  <c r="C48" i="67" s="1"/>
  <c r="C10" i="67"/>
  <c r="C5" i="67" s="1"/>
  <c r="C53" i="15"/>
  <c r="C48" i="15" s="1"/>
  <c r="C16" i="15"/>
  <c r="C17" i="15"/>
  <c r="F22" i="11" l="1"/>
  <c r="C23" i="11" s="1"/>
  <c r="F25" i="12"/>
  <c r="F24" i="67"/>
  <c r="C24" i="67" s="1"/>
  <c r="J18" i="15"/>
  <c r="J26" i="15"/>
  <c r="J29" i="15" s="1"/>
  <c r="AQ6" i="1"/>
  <c r="AB38" i="39"/>
  <c r="U38" i="39"/>
  <c r="W38" i="39"/>
  <c r="AC38" i="39"/>
  <c r="AA38" i="39"/>
  <c r="S38" i="39"/>
  <c r="E6" i="70"/>
  <c r="E2" i="70" s="1"/>
  <c r="F24" i="15"/>
  <c r="C24" i="15" s="1"/>
  <c r="F22" i="69"/>
  <c r="C26" i="69" s="1"/>
  <c r="D22" i="69" s="1"/>
  <c r="C35" i="69"/>
  <c r="F10" i="39"/>
  <c r="H10" i="40"/>
  <c r="H10" i="39"/>
  <c r="J10" i="39"/>
  <c r="J10" i="40"/>
  <c r="F10" i="40"/>
  <c r="O6" i="1"/>
  <c r="O16" i="1" s="1"/>
  <c r="M16" i="1"/>
  <c r="L16" i="1" s="1"/>
  <c r="H22" i="6"/>
  <c r="F65" i="40"/>
  <c r="G63" i="40"/>
  <c r="C47" i="68"/>
  <c r="D45" i="68" s="1"/>
  <c r="M20" i="6"/>
  <c r="I20" i="6" s="1"/>
  <c r="S7" i="1"/>
  <c r="S16" i="1" s="1"/>
  <c r="C47" i="11"/>
  <c r="D45" i="11" s="1"/>
  <c r="C29" i="11"/>
  <c r="D27" i="11" s="1"/>
  <c r="R23" i="6"/>
  <c r="K27" i="6"/>
  <c r="C28" i="11"/>
  <c r="C27" i="11" s="1"/>
  <c r="C29" i="69"/>
  <c r="D27" i="69" s="1"/>
  <c r="C47" i="69"/>
  <c r="D45" i="69" s="1"/>
  <c r="T6" i="1"/>
  <c r="H25" i="6"/>
  <c r="R25" i="6" s="1"/>
  <c r="M19" i="6"/>
  <c r="AR6" i="1"/>
  <c r="R21" i="6"/>
  <c r="R22" i="6"/>
  <c r="D16" i="6"/>
  <c r="D30" i="6"/>
  <c r="R24" i="6"/>
  <c r="R26" i="6"/>
  <c r="A10" i="51"/>
  <c r="B9" i="72" s="1"/>
  <c r="C4" i="52"/>
  <c r="B45" i="72" s="1"/>
  <c r="A7" i="51"/>
  <c r="B7" i="72" s="1"/>
  <c r="D7" i="74"/>
  <c r="D8" i="74"/>
  <c r="C10" i="69"/>
  <c r="C8" i="69" s="1"/>
  <c r="C5" i="69" s="1"/>
  <c r="C23" i="69" s="1"/>
  <c r="D19" i="69"/>
  <c r="D27" i="6"/>
  <c r="C10" i="68"/>
  <c r="B29" i="1" s="1"/>
  <c r="C8" i="68" s="1"/>
  <c r="D19" i="68"/>
  <c r="W7" i="35"/>
  <c r="AC7" i="35"/>
  <c r="V38" i="35" s="1"/>
  <c r="I38" i="35" s="1"/>
  <c r="AA7" i="21"/>
  <c r="R48" i="21" s="1"/>
  <c r="S7" i="21"/>
  <c r="U7" i="34"/>
  <c r="AB7" i="34"/>
  <c r="T49" i="34" s="1"/>
  <c r="G49" i="34" s="1"/>
  <c r="H46" i="36"/>
  <c r="I52" i="21"/>
  <c r="J52" i="21" s="1"/>
  <c r="J52" i="37"/>
  <c r="G68" i="39"/>
  <c r="F70" i="39"/>
  <c r="F7" i="35"/>
  <c r="W7" i="34"/>
  <c r="AC7" i="34"/>
  <c r="V49" i="34" s="1"/>
  <c r="I49" i="34" s="1"/>
  <c r="U7" i="35"/>
  <c r="AB7" i="35"/>
  <c r="T38" i="35" s="1"/>
  <c r="G38" i="35" s="1"/>
  <c r="G52" i="21"/>
  <c r="H52" i="21" s="1"/>
  <c r="G53" i="21"/>
  <c r="H53" i="21" s="1"/>
  <c r="F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66" i="15"/>
  <c r="C60" i="15"/>
  <c r="C60" i="67"/>
  <c r="C66" i="67"/>
  <c r="C38" i="67"/>
  <c r="C32" i="67"/>
  <c r="C14" i="15"/>
  <c r="C25" i="11" l="1"/>
  <c r="C44" i="69"/>
  <c r="D41" i="69" s="1"/>
  <c r="C26" i="11"/>
  <c r="D22" i="11" s="1"/>
  <c r="C23" i="67"/>
  <c r="C29" i="67" s="1"/>
  <c r="J14" i="67" s="1"/>
  <c r="C24" i="11"/>
  <c r="C22" i="11" s="1"/>
  <c r="M27" i="6"/>
  <c r="C15" i="15"/>
  <c r="C18" i="15"/>
  <c r="N16" i="1"/>
  <c r="P6" i="1"/>
  <c r="P16" i="1" s="1"/>
  <c r="C11" i="12" s="1"/>
  <c r="AA10" i="40"/>
  <c r="S10" i="40"/>
  <c r="AC10" i="39"/>
  <c r="W10" i="39"/>
  <c r="U10" i="40"/>
  <c r="AB10" i="40"/>
  <c r="W10" i="40"/>
  <c r="AC10" i="40"/>
  <c r="AB10" i="39"/>
  <c r="U10" i="39"/>
  <c r="AA10" i="39"/>
  <c r="S10" i="39"/>
  <c r="I19" i="6"/>
  <c r="I27" i="6" s="1"/>
  <c r="G65" i="40"/>
  <c r="H63" i="40"/>
  <c r="C18" i="12"/>
  <c r="T7" i="1"/>
  <c r="T16" i="1" s="1"/>
  <c r="AQ7" i="1"/>
  <c r="AR7" i="1"/>
  <c r="S20" i="6"/>
  <c r="H20" i="6"/>
  <c r="R20" i="6" s="1"/>
  <c r="R7" i="1" s="1"/>
  <c r="D31" i="6"/>
  <c r="I5" i="6" s="1"/>
  <c r="S19" i="6"/>
  <c r="C19" i="68"/>
  <c r="D37" i="68"/>
  <c r="C19" i="69"/>
  <c r="C24" i="69" s="1"/>
  <c r="D37" i="69"/>
  <c r="C37" i="69" s="1"/>
  <c r="C33" i="69" s="1"/>
  <c r="I6" i="6"/>
  <c r="C11" i="39" s="1"/>
  <c r="G42" i="35"/>
  <c r="H42" i="35" s="1"/>
  <c r="G43" i="35"/>
  <c r="H43" i="35" s="1"/>
  <c r="I53" i="34"/>
  <c r="J53" i="34" s="1"/>
  <c r="AA7" i="35"/>
  <c r="R38" i="35" s="1"/>
  <c r="S7" i="35"/>
  <c r="H68" i="39"/>
  <c r="G70" i="39"/>
  <c r="K52" i="37"/>
  <c r="L52" i="37" s="1"/>
  <c r="M52" i="37" s="1"/>
  <c r="N52" i="37" s="1"/>
  <c r="O52" i="37" s="1"/>
  <c r="F7" i="37"/>
  <c r="H7" i="37"/>
  <c r="G53" i="34"/>
  <c r="H53" i="34" s="1"/>
  <c r="G54" i="34"/>
  <c r="H54" i="34" s="1"/>
  <c r="I42" i="35"/>
  <c r="J42" i="35" s="1"/>
  <c r="S7" i="34"/>
  <c r="AA7" i="34"/>
  <c r="R49" i="34" s="1"/>
  <c r="J7" i="37"/>
  <c r="I46" i="36"/>
  <c r="R49" i="21"/>
  <c r="E48"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C31" i="67" s="1"/>
  <c r="C57" i="67"/>
  <c r="J19" i="67"/>
  <c r="J17" i="67" s="1"/>
  <c r="C36" i="67"/>
  <c r="J59" i="67" l="1"/>
  <c r="J60" i="67" s="1"/>
  <c r="L46" i="67" s="1"/>
  <c r="Q49" i="67"/>
  <c r="C13" i="67"/>
  <c r="C37" i="67" s="1"/>
  <c r="C30" i="67" s="1"/>
  <c r="C39" i="67" s="1"/>
  <c r="C31" i="11"/>
  <c r="C19" i="15"/>
  <c r="C20" i="15" s="1"/>
  <c r="C26" i="15" s="1"/>
  <c r="H11" i="39"/>
  <c r="F11" i="39"/>
  <c r="J11" i="39"/>
  <c r="H19" i="6"/>
  <c r="H27" i="6" s="1"/>
  <c r="C12" i="12"/>
  <c r="C15" i="12"/>
  <c r="F34" i="11"/>
  <c r="F11" i="12"/>
  <c r="F34" i="68"/>
  <c r="H65" i="40"/>
  <c r="I63" i="40"/>
  <c r="S27" i="6"/>
  <c r="R19" i="6"/>
  <c r="C20" i="69"/>
  <c r="C25" i="69" s="1"/>
  <c r="C22" i="69" s="1"/>
  <c r="C39" i="69"/>
  <c r="C42" i="69"/>
  <c r="C24" i="68"/>
  <c r="C48" i="21"/>
  <c r="C49" i="21"/>
  <c r="B2" i="21" s="1"/>
  <c r="B3" i="21" s="1"/>
  <c r="E52" i="21"/>
  <c r="F52" i="21" s="1"/>
  <c r="E53" i="21"/>
  <c r="F53" i="21" s="1"/>
  <c r="I53" i="21"/>
  <c r="J53" i="21" s="1"/>
  <c r="J46" i="36"/>
  <c r="W7" i="37"/>
  <c r="AC7" i="37"/>
  <c r="V42" i="37" s="1"/>
  <c r="I42" i="37" s="1"/>
  <c r="AA7" i="37"/>
  <c r="R42" i="37" s="1"/>
  <c r="S7" i="37"/>
  <c r="E49" i="34"/>
  <c r="R50" i="34"/>
  <c r="AB7" i="37"/>
  <c r="T42" i="37" s="1"/>
  <c r="G42" i="37" s="1"/>
  <c r="U7" i="37"/>
  <c r="H70" i="39"/>
  <c r="I68" i="39"/>
  <c r="R39" i="35"/>
  <c r="E38" i="35"/>
  <c r="C26" i="43"/>
  <c r="B2" i="43" s="1"/>
  <c r="C27" i="43"/>
  <c r="Q48" i="67"/>
  <c r="J13" i="67"/>
  <c r="J23" i="67" s="1"/>
  <c r="J22" i="67"/>
  <c r="Q48" i="15"/>
  <c r="C61" i="67"/>
  <c r="C59" i="67" s="1"/>
  <c r="C64" i="67"/>
  <c r="E6" i="76"/>
  <c r="B6" i="76"/>
  <c r="Q70" i="67" l="1"/>
  <c r="C75" i="67"/>
  <c r="C56" i="67"/>
  <c r="C65" i="67" s="1"/>
  <c r="C23" i="15"/>
  <c r="C29" i="15" s="1"/>
  <c r="C57" i="15" s="1"/>
  <c r="C64" i="15" s="1"/>
  <c r="W11" i="39"/>
  <c r="AC11" i="39"/>
  <c r="AB11" i="39"/>
  <c r="U11" i="39"/>
  <c r="AA11" i="39"/>
  <c r="S11" i="39"/>
  <c r="C28" i="69"/>
  <c r="C27" i="69" s="1"/>
  <c r="C31" i="69" s="1"/>
  <c r="C14" i="12"/>
  <c r="C16" i="12" s="1"/>
  <c r="C21" i="12" s="1"/>
  <c r="C36" i="68"/>
  <c r="C34" i="68"/>
  <c r="C36" i="11"/>
  <c r="C34" i="11"/>
  <c r="C37" i="11"/>
  <c r="C37" i="68"/>
  <c r="I65" i="40"/>
  <c r="J63" i="40"/>
  <c r="R27" i="6"/>
  <c r="R6" i="1"/>
  <c r="C46" i="69"/>
  <c r="C45" i="69" s="1"/>
  <c r="C43" i="69"/>
  <c r="C41" i="69" s="1"/>
  <c r="E43" i="35"/>
  <c r="F43" i="35" s="1"/>
  <c r="E42" i="35"/>
  <c r="F42" i="35" s="1"/>
  <c r="I43" i="35"/>
  <c r="J43" i="35" s="1"/>
  <c r="J68" i="39"/>
  <c r="I70" i="39"/>
  <c r="C49" i="34"/>
  <c r="C50" i="34"/>
  <c r="B2" i="34" s="1"/>
  <c r="B3" i="34" s="1"/>
  <c r="I46" i="37"/>
  <c r="J46" i="37" s="1"/>
  <c r="C39" i="35"/>
  <c r="B2" i="35" s="1"/>
  <c r="B3" i="35" s="1"/>
  <c r="C38" i="35"/>
  <c r="G47" i="37"/>
  <c r="H47" i="37" s="1"/>
  <c r="G46" i="37"/>
  <c r="H46" i="37" s="1"/>
  <c r="E54" i="34"/>
  <c r="F54" i="34" s="1"/>
  <c r="E53" i="34"/>
  <c r="F53" i="34" s="1"/>
  <c r="I54" i="34"/>
  <c r="J54" i="34" s="1"/>
  <c r="R43" i="37"/>
  <c r="E42" i="37"/>
  <c r="K46" i="36"/>
  <c r="E2" i="76"/>
  <c r="B2" i="76"/>
  <c r="B3" i="43"/>
  <c r="J16" i="67"/>
  <c r="J25" i="67" s="1"/>
  <c r="C40" i="67"/>
  <c r="Q69" i="67"/>
  <c r="C58" i="67"/>
  <c r="C67" i="67" s="1"/>
  <c r="C68" i="67" s="1"/>
  <c r="C80" i="67"/>
  <c r="C79" i="67" s="1"/>
  <c r="F35" i="15"/>
  <c r="L51" i="67"/>
  <c r="M21" i="15"/>
  <c r="Q68" i="67" l="1"/>
  <c r="J14" i="15"/>
  <c r="J13" i="15" s="1"/>
  <c r="J23" i="15" s="1"/>
  <c r="C36" i="15"/>
  <c r="C61" i="15"/>
  <c r="C13" i="15"/>
  <c r="C56" i="15" s="1"/>
  <c r="C65" i="15" s="1"/>
  <c r="Q49" i="15"/>
  <c r="J19" i="15"/>
  <c r="J22" i="15"/>
  <c r="C37" i="15"/>
  <c r="C34" i="15"/>
  <c r="C31" i="15" s="1"/>
  <c r="F63" i="15"/>
  <c r="C62" i="15" s="1"/>
  <c r="J20" i="15"/>
  <c r="R16" i="1"/>
  <c r="C38" i="11"/>
  <c r="C35" i="11"/>
  <c r="C35" i="68"/>
  <c r="C38" i="68"/>
  <c r="C22" i="12"/>
  <c r="J65" i="40"/>
  <c r="K63" i="40"/>
  <c r="C49" i="69"/>
  <c r="C51" i="69" s="1"/>
  <c r="C52" i="69" s="1"/>
  <c r="B2" i="69" s="1"/>
  <c r="B3" i="69" s="1"/>
  <c r="E47" i="37"/>
  <c r="F47" i="37" s="1"/>
  <c r="E46" i="37"/>
  <c r="F46" i="37" s="1"/>
  <c r="I47" i="37"/>
  <c r="J47" i="37" s="1"/>
  <c r="K68" i="39"/>
  <c r="J70" i="39"/>
  <c r="L46" i="36"/>
  <c r="C43" i="37"/>
  <c r="B2" i="37" s="1"/>
  <c r="B3" i="37" s="1"/>
  <c r="C42" i="37"/>
  <c r="B3" i="76"/>
  <c r="Q67" i="67"/>
  <c r="L57" i="67"/>
  <c r="L60" i="67" s="1"/>
  <c r="C71" i="67"/>
  <c r="C45" i="67"/>
  <c r="C46" i="67" s="1"/>
  <c r="Q56" i="67"/>
  <c r="Q47" i="67"/>
  <c r="Q53" i="67" s="1"/>
  <c r="Q65" i="67"/>
  <c r="C43" i="67"/>
  <c r="D2" i="67"/>
  <c r="C83" i="67"/>
  <c r="C82" i="67" s="1"/>
  <c r="C59" i="15" l="1"/>
  <c r="C58" i="15" s="1"/>
  <c r="C67" i="15" s="1"/>
  <c r="C68" i="15" s="1"/>
  <c r="C71" i="15" s="1"/>
  <c r="C75" i="15"/>
  <c r="J17" i="15"/>
  <c r="J16" i="15" s="1"/>
  <c r="J25" i="15" s="1"/>
  <c r="C30" i="15"/>
  <c r="C39" i="15" s="1"/>
  <c r="C40" i="15" s="1"/>
  <c r="Q70" i="15"/>
  <c r="C33" i="11"/>
  <c r="C39" i="11" s="1"/>
  <c r="L57" i="15"/>
  <c r="L60" i="15" s="1"/>
  <c r="L46" i="15" s="1"/>
  <c r="C33" i="68"/>
  <c r="C42" i="68" s="1"/>
  <c r="L63" i="40"/>
  <c r="K65" i="40"/>
  <c r="C57" i="69"/>
  <c r="C56" i="69" s="1"/>
  <c r="M46" i="36"/>
  <c r="L68" i="39"/>
  <c r="K70" i="39"/>
  <c r="Q66" i="67"/>
  <c r="Q75" i="67" s="1"/>
  <c r="Q57" i="67"/>
  <c r="Q62" i="67" s="1"/>
  <c r="B2" i="67"/>
  <c r="B3" i="67"/>
  <c r="L51" i="15"/>
  <c r="C80" i="15" l="1"/>
  <c r="C79" i="15" s="1"/>
  <c r="C42" i="11"/>
  <c r="Q69" i="15"/>
  <c r="Q67" i="15"/>
  <c r="Q68" i="15"/>
  <c r="Q57" i="15"/>
  <c r="Q66" i="15"/>
  <c r="Q65" i="15"/>
  <c r="C43" i="15"/>
  <c r="Q56" i="15"/>
  <c r="B2" i="15"/>
  <c r="C8" i="12" s="1"/>
  <c r="Q47" i="15"/>
  <c r="Q53" i="15" s="1"/>
  <c r="C83" i="15"/>
  <c r="C82" i="15" s="1"/>
  <c r="C46" i="15"/>
  <c r="C39" i="68"/>
  <c r="C43" i="68" s="1"/>
  <c r="C41" i="68" s="1"/>
  <c r="C46" i="11"/>
  <c r="C45" i="11" s="1"/>
  <c r="C43" i="11"/>
  <c r="M63" i="40"/>
  <c r="L65" i="40"/>
  <c r="M68" i="39"/>
  <c r="L70" i="39"/>
  <c r="N46" i="36"/>
  <c r="O46" i="36" s="1"/>
  <c r="H7" i="36"/>
  <c r="AO6" i="1"/>
  <c r="C41" i="11" l="1"/>
  <c r="Q62" i="15"/>
  <c r="Q75" i="15"/>
  <c r="B6" i="70"/>
  <c r="B2" i="70" s="1"/>
  <c r="B3" i="70" s="1"/>
  <c r="B3" i="15"/>
  <c r="C6" i="12" s="1"/>
  <c r="C4" i="12" s="1"/>
  <c r="C46" i="68"/>
  <c r="C45" i="68" s="1"/>
  <c r="C49" i="68" s="1"/>
  <c r="C51" i="68" s="1"/>
  <c r="C49" i="11"/>
  <c r="C51" i="11" s="1"/>
  <c r="C52" i="11" s="1"/>
  <c r="B2" i="11" s="1"/>
  <c r="B3" i="11" s="1"/>
  <c r="M65" i="40"/>
  <c r="N63" i="40"/>
  <c r="U7" i="36"/>
  <c r="AB7" i="36"/>
  <c r="T36" i="36" s="1"/>
  <c r="G36" i="36" s="1"/>
  <c r="F7" i="36"/>
  <c r="J7" i="36"/>
  <c r="N68" i="39"/>
  <c r="M70" i="39"/>
  <c r="C31" i="12" l="1"/>
  <c r="C23" i="12"/>
  <c r="C56" i="11"/>
  <c r="C57" i="11" s="1"/>
  <c r="O63" i="40"/>
  <c r="O65" i="40" s="1"/>
  <c r="N65" i="40"/>
  <c r="H7" i="40" s="1"/>
  <c r="O68" i="39"/>
  <c r="O70" i="39" s="1"/>
  <c r="N70" i="39"/>
  <c r="AC7" i="36"/>
  <c r="V36" i="36" s="1"/>
  <c r="I36" i="36" s="1"/>
  <c r="W7" i="36"/>
  <c r="G40" i="36"/>
  <c r="H40" i="36" s="1"/>
  <c r="S7" i="36"/>
  <c r="AA7" i="36"/>
  <c r="R36" i="36" s="1"/>
  <c r="C27" i="12" l="1"/>
  <c r="C25" i="12" s="1"/>
  <c r="C30" i="12"/>
  <c r="C28" i="12" s="1"/>
  <c r="U7" i="40"/>
  <c r="AB7" i="40"/>
  <c r="T42" i="40" s="1"/>
  <c r="G42" i="40" s="1"/>
  <c r="J7" i="40"/>
  <c r="F7" i="40"/>
  <c r="I40" i="36"/>
  <c r="J40" i="36" s="1"/>
  <c r="J7" i="39"/>
  <c r="H7" i="39"/>
  <c r="F7" i="39"/>
  <c r="E36" i="36"/>
  <c r="R37" i="36"/>
  <c r="G41" i="36"/>
  <c r="H41" i="36" s="1"/>
  <c r="C32" i="12" l="1"/>
  <c r="B2" i="12" s="1"/>
  <c r="S7" i="40"/>
  <c r="AA7" i="40"/>
  <c r="R42" i="40" s="1"/>
  <c r="G46" i="40"/>
  <c r="H46" i="40" s="1"/>
  <c r="W7" i="40"/>
  <c r="AC7" i="40"/>
  <c r="V42" i="40" s="1"/>
  <c r="I42" i="40" s="1"/>
  <c r="S7" i="39"/>
  <c r="AA7" i="39"/>
  <c r="R47" i="39" s="1"/>
  <c r="E40" i="36"/>
  <c r="F40" i="36" s="1"/>
  <c r="E41" i="36"/>
  <c r="F41" i="36" s="1"/>
  <c r="AB7" i="39"/>
  <c r="T47" i="39" s="1"/>
  <c r="G47" i="39" s="1"/>
  <c r="U7" i="39"/>
  <c r="I41" i="36"/>
  <c r="J41" i="36" s="1"/>
  <c r="C37" i="36"/>
  <c r="B2" i="36" s="1"/>
  <c r="B3" i="36" s="1"/>
  <c r="C36" i="36"/>
  <c r="AC7" i="39"/>
  <c r="V47" i="39" s="1"/>
  <c r="I47" i="39" s="1"/>
  <c r="W7" i="39"/>
  <c r="D19" i="9"/>
  <c r="D102" i="9" l="1"/>
  <c r="D21" i="9"/>
  <c r="B3" i="12"/>
  <c r="I46" i="40"/>
  <c r="J46" i="40" s="1"/>
  <c r="G47" i="40"/>
  <c r="H47" i="40" s="1"/>
  <c r="R43" i="40"/>
  <c r="E42" i="40"/>
  <c r="I47" i="40" s="1"/>
  <c r="J47" i="40" s="1"/>
  <c r="I51" i="39"/>
  <c r="J51" i="39" s="1"/>
  <c r="E47" i="39"/>
  <c r="R48" i="39"/>
  <c r="G52" i="39"/>
  <c r="H52" i="39" s="1"/>
  <c r="G51" i="39"/>
  <c r="H51" i="39" s="1"/>
  <c r="D20" i="9"/>
  <c r="D103" i="9" l="1"/>
  <c r="C42" i="40"/>
  <c r="C43" i="40"/>
  <c r="E46" i="40"/>
  <c r="F46" i="40" s="1"/>
  <c r="E47" i="40"/>
  <c r="F47" i="40" s="1"/>
  <c r="E51" i="39"/>
  <c r="F51" i="39" s="1"/>
  <c r="E52" i="39"/>
  <c r="F52" i="39" s="1"/>
  <c r="C48" i="39"/>
  <c r="C47" i="39"/>
  <c r="I52" i="39"/>
  <c r="J52" i="39" s="1"/>
  <c r="B60" i="40" l="1"/>
  <c r="F60" i="40" s="1"/>
  <c r="B59" i="40"/>
  <c r="F59" i="40" s="1"/>
  <c r="B54" i="40"/>
  <c r="F54" i="40" s="1"/>
  <c r="B52" i="40"/>
  <c r="F52" i="40" s="1"/>
  <c r="B55" i="40"/>
  <c r="F55" i="40" s="1"/>
  <c r="B57" i="40"/>
  <c r="F57" i="40" s="1"/>
  <c r="B56" i="40"/>
  <c r="F56" i="40" s="1"/>
  <c r="B53" i="40"/>
  <c r="F53" i="40" s="1"/>
  <c r="B58" i="40"/>
  <c r="F58" i="40" s="1"/>
  <c r="B51" i="40"/>
  <c r="F51" i="40" s="1"/>
  <c r="F61" i="40"/>
  <c r="B2" i="40" s="1"/>
  <c r="B3"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s="1"/>
  <c r="C23" i="68" l="1"/>
  <c r="C20" i="68"/>
  <c r="C25" i="68" s="1"/>
  <c r="C28" i="68" l="1"/>
  <c r="C27" i="68" s="1"/>
  <c r="C22" i="68"/>
  <c r="C31" i="68" l="1"/>
  <c r="C52" i="68" s="1"/>
  <c r="B2" i="68" s="1"/>
  <c r="B3" i="68" s="1"/>
  <c r="C20" i="9"/>
  <c r="C19" i="9"/>
  <c r="C102" i="9" l="1"/>
  <c r="C21" i="9"/>
  <c r="D22" i="9"/>
  <c r="G19" i="9"/>
  <c r="C32" i="9" s="1"/>
  <c r="C57" i="68"/>
  <c r="G20" i="9"/>
  <c r="C103" i="9"/>
  <c r="D35" i="9"/>
  <c r="G21" i="9" l="1"/>
  <c r="J25" i="9"/>
  <c r="C56" i="68"/>
  <c r="H118" i="9"/>
  <c r="C35" i="9"/>
  <c r="F118" i="9" s="1"/>
  <c r="D34" i="9"/>
  <c r="C34" i="9" l="1"/>
  <c r="D118" i="9" s="1"/>
  <c r="I118" i="9"/>
  <c r="H4" i="52"/>
  <c r="H119" i="9"/>
  <c r="H5" i="52" s="1"/>
  <c r="H101" i="9"/>
  <c r="D14" i="74"/>
  <c r="C104" i="9"/>
  <c r="F4" i="52"/>
  <c r="B51" i="72" s="1"/>
  <c r="F119" i="9"/>
  <c r="F5" i="52" s="1"/>
  <c r="B53" i="72" s="1"/>
  <c r="G118" i="9"/>
  <c r="G4" i="52" s="1"/>
  <c r="B52" i="72" s="1"/>
  <c r="G34" i="9" l="1"/>
  <c r="E118" i="9"/>
  <c r="E4" i="52" s="1"/>
  <c r="B48" i="72" s="1"/>
  <c r="H102" i="9"/>
  <c r="D7" i="53" s="1"/>
  <c r="B21" i="72" s="1"/>
  <c r="I4" i="52"/>
  <c r="C105" i="9"/>
  <c r="M48" i="9"/>
  <c r="D5" i="53"/>
  <c r="D45" i="9"/>
  <c r="H107" i="9"/>
  <c r="B5" i="74"/>
  <c r="E14" i="74"/>
  <c r="F14" i="74"/>
  <c r="D4" i="52"/>
  <c r="B47" i="72" s="1"/>
  <c r="D119" i="9"/>
  <c r="D5" i="52" s="1"/>
  <c r="B49" i="72" s="1"/>
  <c r="D55" i="9" l="1"/>
  <c r="M53" i="9" s="1"/>
  <c r="C85" i="9"/>
  <c r="C93" i="9"/>
  <c r="C86" i="9" s="1"/>
  <c r="D53" i="9"/>
  <c r="D52" i="9"/>
  <c r="C72" i="9"/>
  <c r="C78" i="9"/>
  <c r="C73" i="9" s="1"/>
  <c r="C64" i="9"/>
  <c r="C63" i="9" s="1"/>
  <c r="C67" i="9" s="1"/>
  <c r="C68" i="9" s="1"/>
  <c r="D54" i="9" s="1"/>
  <c r="M49" i="9"/>
  <c r="H108" i="9"/>
  <c r="D15" i="53" s="1"/>
  <c r="B31" i="72" s="1"/>
  <c r="D13" i="53"/>
  <c r="D122" i="9"/>
  <c r="B20" i="72"/>
  <c r="D6" i="53"/>
  <c r="B22" i="72" s="1"/>
  <c r="C5" i="74"/>
  <c r="D5" i="74"/>
  <c r="D123" i="9" l="1"/>
  <c r="D9" i="52" s="1"/>
  <c r="D8" i="52"/>
  <c r="G14" i="74"/>
  <c r="B6" i="74" s="1"/>
  <c r="C79" i="9"/>
  <c r="C95" i="9"/>
  <c r="D14" i="53"/>
  <c r="B32" i="72" s="1"/>
  <c r="B30" i="72"/>
  <c r="L63" i="9"/>
  <c r="M63" i="9" s="1"/>
  <c r="L66" i="9"/>
  <c r="M66" i="9" s="1"/>
  <c r="L65" i="9"/>
  <c r="M65" i="9" s="1"/>
  <c r="L67" i="9"/>
  <c r="M67" i="9" s="1"/>
  <c r="L68" i="9"/>
  <c r="M68" i="9" s="1"/>
  <c r="L64" i="9"/>
  <c r="M64" i="9" s="1"/>
  <c r="M69" i="9" l="1"/>
  <c r="N69" i="9" s="1"/>
  <c r="C80" i="9"/>
  <c r="E80" i="9" s="1"/>
  <c r="E81" i="9" s="1"/>
  <c r="C96" i="9"/>
  <c r="E96" i="9" s="1"/>
  <c r="E97" i="9" s="1"/>
  <c r="C6" i="74"/>
  <c r="D6" i="74"/>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<sst xmlns="http://schemas.openxmlformats.org/spreadsheetml/2006/main" count="8033" uniqueCount="3305">
  <si>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</si>
  <si>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</si>
  <si>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</si>
  <si>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</si>
  <si>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</si>
  <si>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</si>
  <si>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</si>
  <si>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</si>
  <si>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</si>
  <si>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</si>
  <si>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</si>
  <si>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</si>
  <si>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</si>
  <si>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</si>
  <si>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</si>
  <si>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</si>
  <si>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</si>
  <si>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</si>
  <si>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</si>
  <si>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</si>
  <si>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</si>
  <si>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</si>
  <si>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</si>
  <si>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</si>
  <si>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</si>
  <si>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</si>
  <si>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</si>
  <si>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</si>
  <si>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</si>
  <si>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</si>
  <si>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</si>
  <si>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</si>
  <si>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</si>
  <si>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</si>
  <si>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</si>
  <si>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</si>
  <si>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</si>
  <si>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</si>
  <si>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</si>
  <si>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</si>
  <si>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</si>
  <si>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</si>
  <si>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</si>
  <si>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</si>
  <si>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</si>
  <si>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</si>
  <si>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</si>
  <si>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</si>
  <si>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</si>
  <si>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</si>
  <si>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</si>
  <si>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</si>
  <si>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</si>
  <si>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</si>
  <si>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</si>
  <si>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</si>
  <si>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</si>
  <si>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</si>
  <si>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</si>
  <si>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</si>
  <si>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</si>
  <si>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</si>
  <si>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</si>
  <si>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</si>
  <si>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</si>
  <si>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</si>
  <si>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</si>
  <si>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</si>
  <si>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</si>
  <si>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</si>
  <si>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</si>
  <si>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</si>
  <si>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</si>
  <si>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</si>
  <si>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</si>
  <si>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</si>
  <si>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</si>
  <si>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</si>
  <si>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</si>
  <si>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</si>
  <si>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</si>
  <si>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</si>
  <si>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</si>
  <si>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</si>
  <si>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</si>
  <si>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</si>
  <si>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</si>
  <si>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</si>
  <si>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</si>
  <si>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</si>
  <si>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</si>
  <si>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</si>
  <si>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</si>
  <si>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</si>
  <si>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</si>
  <si>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</si>
  <si>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</si>
  <si>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</si>
  <si>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</si>
  <si>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</si>
  <si>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</si>
  <si>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</si>
  <si>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</si>
  <si>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</si>
  <si>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</si>
  <si>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</si>
  <si>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</si>
  <si>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</si>
  <si>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</si>
  <si>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</si>
  <si>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</si>
  <si>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</si>
  <si>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</si>
  <si>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</si>
  <si>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</si>
  <si>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</si>
  <si>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</si>
  <si>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</si>
  <si>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</si>
  <si>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</si>
  <si>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</si>
  <si>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</si>
  <si>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</si>
  <si>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</si>
  <si>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</si>
  <si>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</si>
  <si>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</si>
  <si>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</si>
  <si>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</si>
  <si>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</si>
  <si>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</si>
  <si>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</si>
  <si>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</si>
  <si>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</si>
  <si>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</si>
  <si>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</si>
  <si>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</si>
  <si>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</si>
  <si>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</si>
  <si>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</si>
  <si>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</si>
  <si>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</si>
  <si>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</si>
  <si>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</si>
  <si>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</si>
  <si>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</si>
  <si>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</si>
  <si>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</si>
  <si>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</si>
  <si>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</si>
  <si>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</si>
  <si>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</si>
  <si>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</si>
  <si>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</si>
  <si>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</si>
  <si>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</si>
  <si>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</si>
  <si>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</si>
  <si>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</si>
  <si>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</si>
  <si>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</si>
  <si>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</si>
  <si>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</si>
  <si>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</si>
  <si>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</si>
  <si>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</si>
  <si>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</si>
  <si>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</si>
  <si>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</si>
  <si>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</si>
  <si>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</si>
  <si>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</si>
  <si>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</si>
  <si>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</si>
  <si>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</si>
  <si>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</si>
  <si>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</si>
  <si>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</si>
  <si>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</si>
  <si>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</si>
  <si>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</si>
  <si>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</si>
  <si>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</si>
  <si>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</si>
  <si>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</si>
  <si>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</si>
  <si>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</si>
  <si>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</si>
  <si>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</si>
  <si>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</si>
  <si>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</si>
  <si>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</si>
  <si>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</si>
  <si>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</si>
  <si>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</si>
  <si>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</si>
  <si>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</si>
  <si>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</si>
  <si>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</si>
  <si>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</si>
  <si>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</si>
  <si>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</si>
  <si>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</si>
  <si>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</si>
  <si>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</si>
  <si>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</si>
  <si>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</si>
  <si>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</si>
  <si>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</si>
  <si>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</si>
  <si>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</si>
  <si>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</si>
  <si>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</si>
  <si>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</si>
  <si>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</si>
  <si>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</si>
  <si>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</si>
  <si>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</si>
  <si>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</si>
  <si>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</si>
  <si>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</si>
  <si>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</si>
  <si>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</si>
  <si>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</si>
  <si>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</si>
  <si>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</si>
  <si>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</si>
  <si>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</si>
  <si>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</si>
  <si>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</si>
  <si>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</si>
  <si>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</si>
  <si>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</si>
  <si>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</si>
  <si>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</si>
  <si>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</si>
  <si>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</si>
  <si>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</si>
  <si>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</si>
  <si>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</si>
  <si>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</si>
  <si>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</si>
  <si>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</si>
  <si>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</si>
  <si>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</si>
  <si>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</si>
  <si>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</si>
  <si>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</si>
  <si>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</si>
  <si>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</si>
  <si>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</si>
  <si>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</si>
  <si>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</si>
  <si>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</si>
  <si>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</si>
  <si>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</si>
  <si>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</si>
  <si>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</si>
  <si>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</si>
  <si>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</si>
  <si>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</si>
  <si>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</si>
  <si>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</si>
  <si>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</si>
  <si>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</si>
  <si>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</si>
  <si>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</si>
  <si>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</si>
  <si>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</si>
  <si>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</si>
  <si>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</si>
  <si>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</si>
  <si>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</si>
  <si>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</si>
  <si>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</si>
  <si>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</si>
  <si>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</si>
  <si>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</si>
  <si>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</si>
  <si>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</si>
  <si>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</si>
  <si>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</si>
  <si>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</si>
  <si>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</si>
  <si>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</si>
  <si>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</si>
  <si>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</si>
  <si>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</si>
  <si>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</si>
  <si>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</si>
  <si>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</si>
  <si>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</si>
  <si>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</si>
  <si>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</si>
  <si>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</si>
  <si>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</si>
  <si>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</si>
  <si>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</si>
  <si>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</si>
  <si>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</si>
  <si>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</si>
  <si>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</si>
  <si>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</si>
  <si>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</si>
  <si>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</si>
  <si>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</si>
  <si>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</si>
  <si>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</si>
  <si>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</si>
  <si>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</si>
  <si>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</si>
  <si>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</si>
  <si>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</si>
  <si>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</si>
  <si>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</si>
  <si>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</si>
  <si>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</si>
  <si>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</si>
  <si>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</si>
  <si>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</si>
  <si>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</si>
  <si>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</si>
  <si>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</si>
  <si>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</si>
  <si>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</si>
  <si>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</si>
  <si>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</si>
  <si>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</si>
  <si>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</si>
  <si>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</si>
  <si>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</si>
  <si>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</si>
  <si>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</si>
  <si>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</si>
  <si>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</si>
  <si>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</si>
  <si>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</si>
  <si>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</si>
  <si>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</si>
  <si>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</si>
  <si>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</si>
  <si>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</si>
  <si>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</si>
  <si>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</si>
  <si>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</si>
  <si>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</si>
  <si>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</si>
  <si>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</si>
  <si>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</si>
  <si>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</si>
  <si>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</si>
  <si>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</si>
  <si>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</si>
  <si>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</si>
  <si>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</si>
  <si>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</si>
  <si>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</si>
  <si>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</si>
  <si>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</si>
  <si>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</si>
  <si>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</si>
  <si>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</si>
  <si>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</si>
  <si>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</si>
  <si>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</si>
  <si>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</si>
  <si>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</si>
  <si>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</si>
  <si>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</si>
  <si>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</si>
  <si>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</si>
  <si>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</si>
  <si>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</si>
  <si>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</si>
  <si>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</si>
  <si>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</si>
  <si>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</si>
  <si>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</si>
  <si>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</si>
  <si>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</si>
  <si>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</si>
  <si>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</si>
  <si>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</si>
  <si>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</si>
  <si>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</si>
  <si>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</si>
  <si>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</si>
  <si>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</si>
  <si>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</si>
  <si>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</si>
  <si>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</si>
  <si>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</si>
  <si>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</si>
  <si>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</si>
  <si>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</si>
  <si>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</si>
  <si>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</si>
  <si>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</si>
  <si>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</si>
  <si>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</si>
  <si>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</si>
  <si>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</si>
  <si>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</si>
  <si>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</si>
  <si>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</si>
  <si>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</si>
  <si>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</si>
  <si>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</si>
  <si>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</si>
  <si>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</si>
  <si>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</si>
  <si>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</si>
  <si>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</si>
  <si>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</si>
  <si>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</si>
  <si>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</si>
  <si>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</si>
  <si>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</si>
  <si>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</si>
  <si>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</si>
  <si>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</si>
  <si>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</si>
  <si>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</si>
  <si>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</si>
  <si>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</si>
  <si>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</si>
  <si>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</si>
  <si>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</si>
  <si>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</si>
  <si>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</si>
  <si>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</si>
  <si>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</si>
  <si>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</si>
  <si>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</si>
  <si>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</si>
  <si>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</si>
  <si>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</si>
  <si>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</si>
  <si>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</si>
  <si>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</si>
  <si>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</si>
  <si>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</si>
  <si>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</si>
  <si>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</si>
  <si>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</si>
  <si>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</si>
  <si>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</si>
  <si>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</si>
  <si>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</si>
  <si>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</si>
  <si>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</si>
  <si>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</si>
  <si>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</si>
  <si>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</si>
  <si>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</si>
  <si>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</si>
  <si>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</si>
  <si>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</si>
  <si>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</si>
  <si>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</si>
  <si>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</si>
  <si>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</si>
  <si>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</si>
  <si>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</si>
  <si>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</si>
  <si>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</si>
  <si>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</si>
  <si>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</si>
  <si>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</si>
  <si>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</si>
  <si>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</si>
  <si>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</si>
  <si>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</si>
  <si>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</si>
  <si>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</si>
  <si>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</si>
  <si>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</si>
  <si>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</si>
  <si>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</si>
  <si>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</si>
  <si>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</si>
  <si>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</si>
  <si>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</si>
  <si>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</si>
  <si>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</si>
  <si>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</si>
  <si>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</si>
  <si>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</si>
  <si>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</si>
  <si>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</si>
  <si>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</si>
  <si>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</si>
  <si>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</si>
  <si>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</si>
  <si>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</si>
  <si>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</si>
  <si>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</si>
  <si>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</si>
  <si>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</si>
  <si>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</si>
  <si>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</si>
  <si>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</si>
  <si>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</si>
  <si>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</si>
  <si>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</si>
  <si>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</si>
  <si>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</si>
  <si>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</si>
  <si>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</si>
  <si>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</si>
  <si>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</si>
  <si>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</si>
  <si>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</si>
  <si>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</si>
  <si>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</si>
  <si>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</si>
  <si>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</si>
  <si>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</si>
  <si>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</si>
  <si>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</si>
  <si>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</si>
  <si>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</si>
  <si>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</si>
  <si>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</si>
  <si>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</si>
  <si>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</si>
  <si>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</si>
  <si>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</si>
  <si>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</si>
  <si>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</si>
  <si>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</si>
  <si>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</si>
  <si>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</si>
  <si>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</si>
  <si>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</si>
  <si>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</si>
  <si>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</si>
  <si>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</si>
  <si>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</si>
  <si>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</si>
  <si>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</si>
  <si>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</si>
  <si>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</si>
  <si>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</si>
  <si>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</si>
  <si>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</si>
  <si>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</si>
  <si>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</si>
  <si>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</si>
  <si>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</si>
  <si>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</si>
  <si>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</si>
  <si>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</si>
  <si>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</si>
  <si>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</si>
  <si>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</si>
  <si>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</si>
  <si>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</si>
  <si>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</si>
  <si>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</si>
  <si>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</si>
  <si>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</si>
  <si>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</si>
  <si>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</si>
  <si>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</si>
  <si>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</si>
  <si>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</si>
  <si>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</si>
  <si>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</si>
  <si>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</si>
  <si>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</si>
  <si>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</si>
  <si>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</si>
  <si>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</si>
  <si>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</si>
  <si>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</si>
  <si>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</si>
  <si>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</si>
  <si>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</si>
  <si>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</si>
  <si>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</si>
  <si>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</si>
  <si>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</si>
  <si>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</si>
  <si>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</si>
  <si>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</si>
  <si>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</si>
  <si>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</si>
  <si>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</si>
  <si>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</si>
  <si>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</si>
  <si>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</si>
  <si>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</si>
  <si>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</si>
  <si>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</si>
  <si>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</si>
  <si>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</si>
  <si>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</si>
  <si>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</si>
  <si>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</si>
  <si>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</si>
  <si>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</si>
  <si>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</si>
  <si>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</si>
  <si>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</si>
  <si>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</si>
  <si>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</si>
  <si>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</si>
  <si>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</si>
  <si>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</si>
  <si>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</si>
  <si>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</si>
  <si>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</si>
  <si>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</si>
  <si>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</si>
  <si>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</si>
  <si>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</si>
  <si>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</si>
  <si>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</si>
  <si>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</si>
  <si>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</si>
  <si>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</si>
  <si>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</si>
  <si>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</si>
  <si>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</si>
  <si>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</si>
  <si>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</si>
  <si>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</si>
  <si>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</si>
  <si>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</si>
  <si>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</si>
  <si>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</si>
  <si>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</si>
  <si>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</si>
  <si>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</si>
  <si>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</si>
  <si>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</si>
  <si>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</si>
  <si>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</si>
  <si>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</si>
  <si>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</si>
  <si>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</si>
  <si>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</si>
  <si>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</si>
  <si>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</si>
  <si>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</si>
  <si>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</si>
  <si>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</si>
  <si>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</si>
  <si>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</si>
  <si>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</si>
  <si>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</si>
  <si>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</si>
  <si>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</si>
  <si>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</si>
  <si>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</si>
  <si>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</si>
  <si>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</si>
  <si>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</si>
  <si>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</si>
  <si>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</si>
  <si>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</si>
  <si>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</si>
  <si>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</si>
  <si>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</si>
  <si>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</si>
  <si>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</si>
  <si>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</si>
  <si>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</si>
  <si>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</si>
  <si>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</si>
  <si>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</si>
  <si>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</si>
  <si>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</si>
  <si>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</si>
  <si>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</si>
  <si>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</si>
  <si>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</si>
  <si>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</si>
  <si>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</si>
  <si>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</si>
  <si>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</si>
  <si>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</si>
  <si>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</si>
  <si>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</si>
  <si>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</si>
  <si>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</si>
  <si>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</si>
  <si>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</si>
  <si>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</si>
  <si>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</si>
  <si>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</si>
  <si>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</si>
  <si>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</si>
  <si>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</si>
  <si>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</si>
  <si>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</si>
  <si>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</si>
  <si>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</si>
  <si>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</si>
  <si>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</si>
  <si>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</si>
  <si>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</si>
  <si>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</si>
  <si>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</si>
  <si>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</si>
  <si>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</si>
  <si>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</si>
  <si>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</si>
  <si>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</si>
  <si>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</si>
  <si>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</si>
  <si>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</si>
  <si>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</si>
  <si>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</si>
  <si>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</si>
  <si>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</si>
  <si>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</si>
  <si>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</si>
  <si>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</si>
  <si>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</si>
  <si>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</si>
  <si>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</si>
  <si>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</si>
  <si>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</si>
  <si>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</si>
  <si>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</si>
  <si>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</si>
  <si>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</si>
  <si>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</si>
  <si>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</si>
  <si>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</si>
  <si>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</si>
  <si>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</si>
  <si>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</si>
  <si>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</si>
  <si>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</si>
  <si>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</si>
  <si>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</si>
  <si>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</si>
  <si>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</si>
  <si>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</si>
  <si>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</si>
  <si>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</si>
  <si>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</si>
  <si>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</si>
  <si>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</si>
  <si>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</si>
  <si>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</si>
  <si>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</si>
  <si>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</si>
  <si>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</si>
  <si>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</si>
  <si>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</si>
  <si>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</si>
  <si>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</si>
  <si>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</si>
  <si>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</si>
  <si>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</si>
  <si>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</si>
  <si>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</si>
  <si>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</si>
  <si>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</si>
  <si>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</si>
  <si>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</si>
  <si>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</si>
  <si>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</si>
  <si>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</si>
  <si>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</si>
  <si>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</si>
  <si>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</si>
  <si>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</si>
  <si>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</si>
  <si>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</si>
  <si>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</si>
  <si>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</si>
  <si>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</si>
  <si>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</si>
  <si>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</si>
  <si>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</si>
  <si>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</si>
  <si>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</si>
  <si>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</si>
  <si>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</si>
  <si>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</si>
  <si>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</si>
  <si>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</si>
  <si>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</si>
  <si>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</si>
  <si>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</si>
  <si>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</si>
  <si>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</si>
  <si>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</si>
  <si>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</si>
  <si>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</si>
  <si>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</si>
  <si>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</si>
  <si>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</si>
  <si>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</si>
  <si>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</si>
  <si>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</si>
  <si>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</si>
  <si>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</si>
  <si>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</si>
  <si>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</si>
  <si>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</si>
  <si>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</si>
  <si>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</si>
  <si>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</si>
  <si>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</si>
  <si>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</si>
  <si>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</si>
  <si>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</si>
  <si>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</si>
  <si>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</si>
  <si>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</si>
  <si>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</si>
  <si>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</si>
  <si>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</si>
  <si>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</si>
  <si>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</si>
  <si>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</si>
  <si>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</si>
  <si>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</si>
  <si>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</si>
  <si>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</si>
  <si>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</si>
  <si>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</si>
  <si>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</si>
  <si>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</si>
  <si>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</si>
  <si>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</si>
  <si>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</si>
  <si>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</si>
  <si>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</si>
  <si>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</si>
  <si>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</si>
  <si>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</si>
  <si>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</si>
  <si>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</si>
  <si>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</si>
  <si>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</si>
  <si>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</si>
  <si>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</si>
  <si>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</si>
  <si>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</si>
  <si>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</si>
  <si>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</si>
  <si>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</si>
  <si>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</si>
  <si>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</si>
  <si>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</si>
  <si>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</si>
  <si>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</si>
  <si>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</si>
  <si>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</si>
  <si>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</si>
  <si>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</si>
  <si>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</si>
  <si>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</si>
  <si>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</si>
  <si>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</si>
  <si>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</si>
  <si>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</si>
  <si>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</si>
  <si>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</si>
  <si>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</si>
  <si>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</si>
  <si>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</si>
  <si>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</si>
  <si>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</si>
  <si>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</si>
  <si>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</si>
  <si>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</si>
  <si>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</si>
  <si>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</si>
  <si>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</si>
  <si>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</si>
  <si>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</si>
  <si>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</si>
  <si>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</si>
  <si>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</si>
  <si>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</si>
  <si>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</si>
  <si>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</si>
  <si>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</si>
  <si>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</si>
  <si>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</si>
  <si>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</si>
  <si>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</si>
  <si>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</si>
  <si>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</si>
  <si>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</si>
  <si>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</si>
  <si>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</si>
  <si>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</si>
  <si>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</si>
  <si>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</si>
  <si>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</si>
  <si>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</si>
  <si>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</si>
  <si>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</si>
  <si>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</si>
  <si>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</si>
  <si>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</si>
  <si>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</si>
  <si>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</si>
  <si>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</si>
  <si>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</si>
  <si>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</si>
  <si>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</si>
  <si>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</si>
  <si>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</si>
  <si>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</si>
  <si>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</si>
  <si>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</si>
  <si>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</si>
  <si>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</si>
  <si>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</si>
  <si>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</si>
  <si>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</si>
  <si>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</si>
  <si>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</si>
  <si>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</si>
  <si>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</si>
  <si>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</si>
  <si>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</si>
  <si>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</si>
  <si>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</si>
  <si>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</si>
  <si>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</si>
  <si>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</si>
  <si>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</si>
  <si>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</si>
  <si>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</si>
  <si>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</si>
  <si>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</si>
  <si>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</si>
  <si>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</si>
  <si>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</si>
  <si>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</si>
  <si>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</si>
  <si>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</si>
  <si>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</si>
  <si>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</si>
  <si>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</si>
  <si>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</si>
  <si>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</si>
  <si>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</si>
  <si>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</si>
  <si>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</si>
  <si>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</si>
  <si>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</si>
  <si>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</si>
  <si>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</si>
  <si>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</si>
  <si>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</si>
  <si>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</si>
  <si>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</si>
  <si>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</si>
  <si>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</si>
  <si>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</si>
  <si>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</si>
  <si>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</si>
  <si>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</si>
  <si>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</si>
  <si>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</si>
  <si>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</si>
  <si>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</si>
  <si>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</si>
  <si>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</si>
  <si>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</si>
  <si>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</si>
  <si>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</si>
  <si>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</si>
  <si>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</si>
  <si>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</si>
  <si>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</si>
  <si>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</si>
  <si>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</si>
  <si>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</si>
  <si>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</si>
  <si>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</si>
  <si>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</si>
  <si>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</si>
  <si>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</si>
  <si>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</si>
  <si>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</si>
  <si>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</si>
  <si>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</si>
  <si>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</si>
  <si>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</si>
  <si>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</si>
  <si>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</si>
  <si>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</si>
  <si>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</si>
  <si>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</si>
  <si>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</si>
  <si>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</si>
  <si>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</si>
  <si>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</si>
  <si>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</si>
  <si>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</si>
  <si>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</si>
  <si>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</si>
  <si>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</si>
  <si>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</si>
  <si>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</si>
  <si>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</si>
  <si>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</si>
  <si>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</si>
  <si>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</si>
  <si>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</si>
  <si>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</si>
  <si>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</si>
  <si>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</si>
  <si>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</si>
  <si>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</si>
  <si>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</si>
  <si>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</si>
  <si>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</si>
  <si>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</si>
  <si>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</si>
  <si>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</si>
  <si>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</si>
  <si>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</si>
  <si>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</si>
  <si>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</si>
  <si>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</si>
  <si>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</si>
  <si>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</si>
  <si>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</si>
  <si>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</si>
  <si>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</si>
  <si>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</si>
  <si>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</si>
  <si>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</si>
  <si>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</si>
  <si>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</si>
  <si>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</si>
  <si>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</si>
  <si>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</si>
  <si>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</si>
  <si>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</si>
  <si>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</si>
  <si>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</si>
  <si>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</si>
  <si>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</si>
  <si>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</si>
  <si>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</si>
  <si>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</si>
  <si>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</si>
  <si>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</si>
  <si>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</si>
  <si>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</si>
  <si>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</si>
  <si>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</si>
  <si>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</si>
  <si>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</si>
  <si>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</si>
  <si>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</si>
  <si>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</si>
  <si>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</si>
  <si>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</si>
  <si>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</si>
  <si>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</si>
  <si>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</si>
  <si>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</si>
  <si>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</si>
  <si>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</si>
  <si>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</si>
  <si>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</si>
  <si>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</si>
  <si>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</si>
  <si>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</si>
  <si>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</si>
  <si>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</si>
  <si>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</si>
  <si>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</si>
  <si>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</si>
  <si>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</si>
  <si>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</si>
  <si>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</si>
  <si>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</si>
  <si>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</si>
  <si>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</si>
  <si>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</si>
  <si>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</si>
  <si>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</si>
  <si>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</si>
  <si>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</si>
  <si>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</si>
  <si>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</si>
  <si>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</si>
  <si>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</si>
  <si>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</si>
  <si>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</si>
  <si>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</si>
  <si>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</si>
  <si>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</si>
  <si>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</si>
  <si>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</si>
  <si>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</si>
  <si>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</si>
  <si>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</si>
  <si>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</si>
  <si>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</si>
  <si>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</si>
  <si>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</si>
  <si>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</si>
  <si>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</si>
  <si>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</si>
  <si>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</si>
  <si>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</si>
  <si>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</si>
  <si>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</si>
  <si>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</si>
  <si>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</si>
  <si>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</si>
  <si>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</si>
  <si>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</si>
  <si>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</si>
  <si>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</si>
  <si>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</si>
  <si>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</si>
  <si>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</si>
  <si>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</si>
  <si>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</si>
  <si>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</si>
  <si>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</si>
  <si>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</si>
  <si>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</si>
  <si>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</si>
  <si>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</si>
  <si>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</si>
  <si>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</si>
  <si>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</si>
  <si>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</si>
  <si>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</si>
  <si>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</si>
  <si>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</si>
  <si>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</si>
  <si>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</si>
  <si>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</si>
  <si>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</si>
  <si>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</si>
  <si>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</si>
  <si>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</si>
  <si>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</si>
  <si>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</si>
  <si>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</si>
  <si>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</si>
  <si>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</si>
  <si>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</si>
  <si>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</si>
  <si>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</si>
  <si>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</si>
  <si>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</si>
  <si>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</si>
  <si>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</si>
  <si>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</si>
  <si>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</si>
  <si>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</si>
  <si>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</si>
  <si>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</si>
  <si>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</si>
  <si>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</si>
  <si>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</si>
  <si>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</si>
  <si>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</si>
  <si>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</si>
  <si>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</si>
  <si>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</si>
  <si>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</si>
  <si>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</si>
  <si>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</si>
  <si>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</si>
  <si>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</si>
  <si>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</si>
  <si>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</si>
  <si>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</si>
  <si>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</si>
  <si>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</si>
  <si>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</si>
  <si>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</si>
  <si>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</si>
  <si>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</si>
  <si>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</si>
  <si>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</si>
  <si>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</si>
  <si>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</si>
  <si>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</si>
  <si>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</si>
  <si>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</si>
  <si>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</si>
  <si>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</si>
  <si>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</si>
  <si>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</si>
  <si>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</si>
  <si>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</si>
  <si>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</si>
  <si>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</si>
  <si>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</si>
  <si>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</si>
  <si>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</si>
  <si>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</si>
  <si>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</si>
  <si>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</si>
  <si>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</si>
  <si>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</si>
  <si>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</si>
  <si>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</si>
  <si>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</si>
  <si>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</si>
  <si>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</si>
  <si>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</si>
  <si>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</si>
  <si>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</si>
  <si>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</si>
  <si>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</si>
  <si>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</si>
  <si>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</si>
  <si>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</si>
  <si>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</si>
  <si>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</si>
  <si>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</si>
  <si>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</si>
  <si>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</si>
  <si>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</si>
  <si>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</si>
  <si>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</si>
  <si>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</si>
  <si>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</si>
  <si>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</si>
  <si>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</si>
  <si>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</si>
  <si>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</si>
  <si>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</si>
  <si>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</si>
  <si>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</si>
  <si>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</si>
  <si>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</si>
  <si>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</si>
  <si>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</si>
  <si>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</si>
  <si>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</si>
  <si>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</si>
  <si>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</si>
  <si>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</si>
  <si>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</si>
  <si>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</si>
  <si>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</si>
  <si>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</si>
  <si>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</si>
  <si>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</si>
  <si>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</si>
  <si>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</si>
  <si>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</si>
  <si>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</si>
  <si>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</si>
  <si>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</si>
  <si>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</si>
  <si>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</si>
  <si>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</si>
  <si>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</si>
  <si>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</si>
  <si>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</si>
  <si>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</si>
  <si>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</si>
  <si>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</si>
  <si>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</si>
  <si>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</si>
  <si>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</si>
  <si>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</si>
  <si>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</si>
  <si>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</si>
  <si>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</si>
  <si>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</si>
  <si>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</si>
  <si>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</si>
  <si>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</si>
  <si>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</si>
  <si>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</si>
  <si>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</si>
  <si>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</si>
  <si>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</si>
  <si>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</si>
  <si>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</si>
  <si>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</si>
  <si>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</si>
  <si>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</si>
  <si>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</si>
  <si>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</si>
  <si>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</si>
  <si>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</si>
  <si>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</si>
  <si>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</si>
  <si>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</si>
  <si>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</si>
  <si>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</si>
  <si>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</si>
  <si>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</si>
  <si>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</si>
  <si>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</si>
  <si>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</si>
  <si>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</si>
  <si>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</si>
  <si>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</si>
  <si>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</si>
  <si>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</si>
  <si>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</si>
  <si>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</si>
  <si>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</si>
  <si>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</si>
  <si>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</si>
  <si>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</si>
  <si>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</si>
  <si>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</si>
  <si>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</si>
  <si>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</si>
  <si>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</si>
  <si>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</si>
  <si>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</si>
  <si>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</si>
  <si>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</si>
  <si>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</si>
  <si>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</si>
  <si>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</si>
  <si>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</si>
  <si>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</si>
  <si>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</si>
  <si>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</si>
  <si>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</si>
  <si>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</si>
  <si>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</si>
  <si>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</si>
  <si>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</si>
  <si>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</si>
  <si>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</si>
  <si>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</si>
  <si>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</si>
  <si>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</si>
  <si>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</si>
  <si>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</si>
  <si>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</si>
  <si>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</si>
  <si>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</si>
  <si>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</si>
  <si>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</si>
  <si>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</si>
  <si>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</si>
  <si>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</si>
  <si>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</si>
  <si>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</si>
  <si>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</si>
  <si>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</si>
  <si>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</si>
  <si>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</si>
  <si>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</si>
  <si>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</si>
  <si>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</si>
  <si>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</si>
  <si>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</si>
  <si>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</si>
  <si>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</si>
  <si>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</si>
  <si>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</si>
  <si>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</si>
  <si>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</si>
  <si>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</si>
  <si>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</si>
  <si>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</si>
  <si>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</si>
  <si>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</si>
  <si>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</si>
  <si>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</si>
  <si>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</si>
  <si>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</si>
  <si>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</si>
  <si>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</si>
  <si>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</si>
  <si>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</si>
  <si>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</si>
  <si>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</si>
  <si>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</si>
  <si>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</si>
  <si>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</si>
  <si>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</si>
  <si>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</si>
  <si>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</si>
  <si>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</si>
  <si>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</si>
  <si>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</si>
  <si>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</si>
  <si>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</si>
  <si>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</si>
  <si>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</si>
  <si>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</si>
  <si>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</si>
  <si>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</si>
  <si>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</si>
  <si>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</si>
  <si>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</si>
  <si>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</si>
  <si>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</si>
  <si>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</si>
  <si>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</si>
  <si>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</si>
  <si>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</si>
  <si>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</si>
  <si>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</si>
  <si>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</si>
  <si>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</si>
  <si>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</si>
  <si>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</si>
  <si>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</si>
  <si>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</si>
  <si>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</si>
  <si>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</si>
  <si>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</si>
  <si>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</si>
  <si>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</si>
  <si>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</si>
  <si>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</si>
  <si>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</si>
  <si>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</si>
  <si>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</si>
  <si>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</si>
  <si>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</si>
  <si>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</si>
  <si>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</si>
  <si>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</si>
  <si>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</si>
  <si>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</si>
  <si>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</si>
  <si>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</si>
  <si>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</si>
  <si>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</si>
  <si>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</si>
  <si>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</si>
  <si>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</si>
  <si>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</si>
  <si>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</si>
  <si>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</si>
  <si>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</si>
  <si>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</si>
  <si>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</si>
  <si>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</si>
  <si>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</si>
  <si>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</si>
  <si>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</si>
  <si>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</si>
  <si>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</si>
  <si>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</si>
  <si>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</si>
  <si>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</si>
  <si>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</si>
  <si>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</si>
  <si>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</si>
  <si>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</si>
  <si>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</si>
  <si>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</si>
  <si>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</si>
  <si>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</si>
  <si>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</si>
  <si>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</si>
  <si>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</si>
  <si>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</si>
  <si>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</si>
  <si>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</si>
  <si>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</si>
  <si>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</si>
  <si>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</si>
  <si>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</si>
  <si>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</si>
  <si>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</si>
  <si>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</si>
  <si>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</si>
  <si>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</si>
  <si>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</si>
  <si>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</si>
  <si>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</si>
  <si>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</si>
  <si>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</si>
  <si>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</si>
  <si>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</si>
  <si>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</si>
  <si>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</si>
  <si>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</si>
  <si>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</si>
  <si>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</si>
  <si>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</si>
  <si>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</si>
  <si>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</si>
  <si>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</si>
  <si>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</si>
  <si>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</si>
  <si>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</si>
  <si>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</si>
  <si>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</si>
  <si>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</si>
  <si>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</si>
  <si>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</si>
  <si>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</si>
  <si>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</si>
  <si>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</si>
  <si>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</si>
  <si>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</si>
  <si>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</si>
  <si>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</si>
  <si>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</si>
  <si>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</si>
  <si>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</si>
  <si>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</si>
  <si>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</si>
  <si>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</si>
  <si>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</si>
  <si>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</si>
  <si>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</si>
  <si>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</si>
  <si>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</si>
  <si>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</si>
  <si>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</si>
  <si>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</si>
  <si>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</si>
  <si>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</si>
  <si>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</si>
  <si>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</si>
  <si>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</si>
  <si>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</si>
  <si>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</si>
  <si>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</si>
  <si>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</si>
  <si>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</si>
  <si>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</si>
  <si>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</si>
  <si>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</si>
  <si>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</si>
  <si>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</si>
  <si>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</si>
  <si>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</si>
  <si>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</si>
  <si>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</si>
  <si>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</si>
  <si>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</si>
  <si>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</si>
  <si>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</si>
  <si>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</si>
  <si>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</si>
  <si>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</si>
  <si>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</si>
  <si>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</si>
  <si>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</si>
  <si>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</si>
  <si>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</si>
  <si>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</si>
  <si>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</si>
  <si>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</si>
  <si>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</si>
  <si>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</si>
  <si>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</si>
  <si>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</si>
  <si>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</si>
  <si>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</si>
  <si>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</si>
  <si>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</si>
  <si>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</si>
  <si>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</si>
  <si>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</si>
  <si>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</si>
  <si>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</si>
  <si>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</si>
  <si>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</si>
  <si>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</si>
  <si>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</si>
  <si>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</si>
  <si>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</si>
  <si>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</si>
  <si>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</si>
  <si>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</si>
  <si>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</si>
  <si>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</si>
  <si>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</si>
  <si>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</si>
  <si>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</si>
  <si>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</si>
  <si>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</si>
  <si>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</si>
  <si>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</si>
  <si>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</si>
  <si>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</si>
  <si>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</si>
  <si>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</si>
  <si>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</si>
  <si>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</si>
  <si>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</si>
  <si>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</si>
  <si>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</si>
  <si>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</si>
  <si>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</si>
  <si>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</si>
  <si>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</si>
  <si>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</si>
  <si>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</si>
  <si>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</si>
  <si>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</si>
  <si>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</si>
  <si>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</si>
  <si>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</si>
  <si>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</si>
  <si>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</si>
  <si>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</si>
  <si>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</si>
  <si>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</si>
  <si>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</si>
  <si>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</si>
  <si>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</si>
  <si>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</si>
  <si>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</si>
  <si>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</si>
  <si>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</si>
  <si>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</si>
  <si>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</si>
  <si>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</si>
  <si>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</si>
  <si>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</si>
  <si>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</si>
  <si>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</si>
  <si>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</si>
  <si>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</si>
  <si>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</si>
  <si>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</si>
  <si>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</si>
  <si>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</si>
  <si>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</si>
  <si>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</si>
  <si>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</si>
  <si>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</si>
  <si>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</si>
  <si>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</si>
  <si>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</si>
  <si>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</si>
  <si>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</si>
  <si>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</si>
  <si>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</si>
  <si>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</si>
  <si>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</si>
  <si>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</si>
  <si>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</si>
  <si>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</si>
  <si>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</si>
  <si>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</si>
  <si>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</si>
  <si>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</si>
  <si>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</si>
  <si>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</si>
  <si>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</si>
  <si>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</si>
  <si>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</si>
  <si>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</si>
  <si>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</si>
  <si>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</si>
  <si>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</si>
  <si>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</si>
  <si>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</si>
  <si>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</si>
  <si>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</si>
  <si>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</si>
  <si>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</si>
  <si>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</si>
  <si>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</si>
  <si>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</si>
  <si>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</si>
  <si>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</si>
  <si>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</si>
  <si>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</si>
  <si>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</si>
  <si>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</si>
  <si>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</si>
  <si>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</si>
  <si>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</si>
  <si>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</si>
  <si>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</si>
  <si>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</si>
  <si>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</si>
  <si>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</si>
  <si>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</si>
  <si>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</si>
  <si>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</si>
  <si>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</si>
  <si>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</si>
  <si>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</si>
  <si>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</si>
  <si>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</si>
  <si>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</si>
  <si>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</si>
  <si>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</si>
  <si>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</si>
  <si>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</si>
  <si>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</si>
  <si>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</si>
  <si>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</si>
  <si>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</si>
  <si>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</si>
  <si>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</si>
  <si>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</si>
  <si>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</si>
  <si>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</si>
  <si>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</si>
  <si>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</si>
  <si>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</si>
  <si>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</si>
  <si>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</si>
  <si>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</si>
  <si>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</si>
  <si>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</si>
  <si>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</si>
  <si>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</si>
  <si>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</si>
  <si>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</si>
  <si>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</si>
  <si>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</si>
  <si>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</si>
  <si>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</si>
  <si>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</si>
  <si>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</si>
  <si>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</si>
  <si>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</si>
  <si>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</si>
  <si>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</si>
  <si>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</si>
  <si>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</si>
  <si>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</si>
  <si>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</si>
  <si>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</si>
  <si>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</si>
  <si>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</si>
  <si>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</si>
  <si>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</si>
  <si>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</si>
  <si>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</si>
  <si>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</si>
  <si>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</si>
  <si>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</si>
  <si>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</si>
  <si>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</si>
  <si>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</si>
  <si>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</si>
  <si>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</si>
  <si>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</si>
  <si>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</si>
  <si>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</si>
  <si>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</si>
  <si>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</si>
  <si>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</si>
  <si>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</si>
  <si>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</si>
  <si>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</si>
  <si>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</si>
  <si>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</si>
  <si>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</si>
  <si>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</si>
  <si>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</si>
  <si>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</si>
  <si>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</si>
  <si>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</si>
  <si>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</si>
  <si>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</si>
  <si>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</si>
  <si>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</si>
  <si>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</si>
  <si>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</si>
  <si>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</si>
  <si>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</si>
  <si>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</si>
  <si>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</si>
  <si>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</si>
  <si>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</si>
  <si>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</si>
  <si>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</si>
  <si>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</si>
  <si>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</si>
  <si>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</si>
  <si>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</si>
  <si>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</si>
  <si>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</si>
  <si>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</si>
  <si>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</si>
  <si>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</si>
  <si>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</si>
  <si>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</si>
  <si>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</si>
  <si>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</si>
  <si>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</si>
  <si>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</si>
  <si>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</si>
  <si>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</si>
  <si>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</si>
  <si>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</si>
  <si>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</si>
  <si>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</si>
  <si>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</si>
  <si>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</si>
  <si>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</si>
  <si>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</si>
  <si>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</si>
  <si>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</si>
  <si>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</si>
  <si>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</si>
  <si>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</si>
  <si>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</si>
  <si>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</si>
  <si>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</si>
  <si>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</si>
  <si>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</si>
  <si>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</si>
  <si>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</si>
  <si>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</si>
  <si>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</si>
  <si>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</si>
  <si>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</si>
  <si>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</si>
  <si>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</si>
  <si>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</si>
  <si>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</si>
  <si>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</si>
  <si>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</si>
  <si>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</si>
  <si>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</si>
  <si>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</si>
  <si>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</si>
  <si>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</si>
  <si>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</si>
  <si>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</si>
  <si>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</si>
  <si>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</si>
  <si>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</si>
  <si>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</si>
  <si>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</si>
  <si>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</si>
  <si>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</si>
  <si>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</si>
  <si>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</si>
  <si>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</si>
  <si>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</si>
  <si>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</si>
  <si>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</si>
  <si>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</si>
  <si>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</si>
  <si>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</si>
  <si>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</si>
  <si>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</si>
  <si>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</si>
  <si>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</si>
  <si>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</si>
  <si>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</si>
  <si>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</si>
  <si>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</si>
  <si>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</si>
  <si>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</si>
  <si>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</si>
  <si>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</si>
  <si>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</si>
  <si>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</si>
  <si>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</si>
  <si>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</si>
  <si>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</si>
  <si>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</si>
  <si>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</si>
  <si>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</si>
  <si>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</si>
  <si>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</si>
  <si>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</si>
  <si>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</si>
  <si>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</si>
  <si>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</si>
  <si>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</si>
  <si>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</si>
  <si>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</si>
  <si>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</si>
  <si>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</si>
  <si>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</si>
  <si>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</si>
  <si>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</si>
  <si>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</si>
  <si>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</si>
  <si>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</si>
  <si>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</si>
  <si>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</si>
  <si>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</si>
  <si>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</si>
  <si>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</si>
  <si>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</si>
  <si>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</si>
  <si>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</si>
  <si>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</si>
  <si>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</si>
  <si>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</si>
  <si>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</si>
  <si>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</si>
  <si>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</si>
  <si>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</si>
  <si>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</si>
  <si>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</si>
  <si>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</si>
  <si>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</si>
  <si>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</si>
  <si>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</si>
  <si>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</si>
  <si>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</si>
  <si>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</si>
  <si>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</si>
  <si>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</si>
  <si>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</si>
  <si>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</si>
  <si>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</si>
  <si>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</si>
  <si>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</si>
  <si>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</si>
  <si>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</si>
  <si>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</si>
  <si>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</si>
  <si>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</si>
  <si>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</si>
  <si>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</si>
  <si>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</si>
  <si>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</si>
  <si>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</si>
  <si>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</si>
  <si>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</si>
  <si>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</si>
  <si>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</si>
  <si>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</si>
  <si>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</si>
  <si>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</si>
  <si>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</si>
  <si>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</si>
  <si>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</si>
  <si>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</si>
  <si>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</si>
  <si>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</si>
  <si>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</si>
  <si>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</si>
  <si>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</si>
  <si>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</si>
  <si>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</si>
  <si>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</si>
  <si>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</si>
  <si>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</si>
  <si>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</si>
  <si>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</si>
  <si>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</si>
  <si>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</si>
  <si>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</si>
  <si>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</si>
  <si>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</si>
  <si>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</si>
  <si>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</si>
  <si>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</si>
  <si>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</si>
  <si>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</si>
  <si>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</si>
  <si>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</si>
  <si>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</si>
  <si>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</si>
  <si>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</si>
  <si>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</si>
  <si>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</si>
  <si>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</si>
  <si>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</si>
  <si>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</si>
  <si>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</si>
  <si>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</si>
  <si>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</si>
  <si>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</si>
  <si>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</si>
  <si>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</si>
  <si>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</si>
  <si>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</si>
  <si>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</si>
  <si>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</si>
  <si>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</si>
  <si>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</si>
  <si>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</si>
  <si>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</si>
  <si>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</si>
  <si>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</si>
  <si>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</si>
  <si>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</si>
  <si>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</si>
  <si>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</si>
  <si>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</si>
  <si>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</si>
  <si>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</si>
  <si>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</si>
  <si>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</si>
  <si>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</si>
  <si>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</si>
  <si>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</si>
  <si>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</si>
  <si>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</si>
  <si>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</si>
  <si>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</si>
  <si>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</si>
  <si>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</si>
  <si>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</si>
  <si>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</si>
  <si>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</si>
  <si>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</si>
  <si>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</si>
  <si>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</si>
  <si>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</si>
  <si>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</si>
  <si>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</si>
  <si>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</si>
  <si>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</si>
  <si>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</si>
  <si>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</si>
  <si>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</si>
  <si>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</si>
  <si>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</si>
  <si>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</si>
  <si>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</si>
  <si>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</si>
  <si>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</si>
  <si>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</si>
  <si>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</si>
  <si>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</si>
  <si>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</si>
  <si>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</si>
  <si>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</si>
  <si>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</si>
  <si>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</si>
  <si>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</si>
  <si>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</si>
  <si>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</si>
  <si>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</si>
  <si>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</si>
  <si>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</si>
  <si>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</si>
  <si>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</si>
  <si>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</si>
  <si>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</si>
  <si>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</si>
  <si>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</si>
  <si>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</si>
  <si>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</si>
  <si>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</si>
  <si>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</si>
  <si>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</si>
  <si>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</si>
  <si>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</si>
  <si>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</si>
  <si>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</si>
  <si>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</si>
  <si>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</si>
  <si>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</si>
  <si>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</si>
  <si>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</si>
  <si>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</si>
  <si>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</si>
  <si>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</si>
  <si>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</si>
  <si>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</si>
  <si>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</si>
  <si>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</si>
  <si>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</si>
  <si>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</si>
  <si>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</si>
  <si>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</si>
  <si>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</si>
  <si>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</si>
  <si>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</si>
  <si>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</si>
  <si>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</si>
  <si>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</si>
  <si>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</si>
  <si>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</si>
  <si>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</si>
  <si>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</si>
  <si>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</si>
  <si>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</si>
  <si>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</si>
  <si>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</si>
  <si>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</si>
  <si>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</si>
  <si>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</si>
  <si>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</si>
  <si>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</si>
  <si>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</si>
  <si>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</si>
  <si>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</si>
  <si>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</si>
  <si>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</si>
  <si>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</si>
  <si>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</si>
  <si>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</si>
  <si>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</si>
  <si>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</si>
  <si>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</si>
  <si>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</si>
  <si>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</si>
  <si>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</si>
  <si>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</si>
  <si>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</si>
  <si>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</si>
  <si>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</si>
  <si>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</si>
  <si>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</si>
  <si>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</si>
  <si>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</si>
  <si>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</si>
  <si>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</si>
  <si>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</si>
  <si>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</si>
  <si>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</si>
  <si>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</si>
  <si>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</si>
  <si>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</si>
  <si>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</si>
  <si>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</si>
  <si>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</si>
  <si>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</si>
  <si>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</si>
  <si>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</si>
  <si>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</si>
  <si>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</si>
  <si>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</si>
  <si>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</si>
  <si>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</si>
  <si>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</si>
  <si>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</si>
  <si>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</si>
  <si>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</si>
  <si>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</si>
  <si>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</si>
  <si>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</si>
  <si>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</si>
  <si>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</si>
  <si>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</si>
  <si>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</si>
  <si>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</si>
  <si>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</si>
  <si>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</si>
  <si>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</si>
  <si>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</si>
  <si>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</si>
  <si>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</si>
  <si>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</si>
  <si>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</si>
  <si>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</si>
  <si>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</si>
  <si>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</si>
  <si>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</si>
  <si>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</si>
  <si>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</si>
  <si>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</si>
  <si>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</si>
  <si>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</si>
  <si>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</si>
  <si>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</si>
  <si>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</si>
  <si>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</si>
  <si>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</si>
  <si>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</si>
  <si>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</si>
  <si>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</si>
  <si>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</si>
  <si>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</si>
  <si>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</si>
  <si>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</si>
  <si>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</si>
  <si>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</si>
  <si>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</si>
  <si>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</si>
  <si>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</si>
  <si>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</si>
  <si>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</si>
  <si>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</si>
  <si>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</si>
  <si>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</si>
  <si>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</si>
  <si>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</si>
  <si>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</si>
  <si>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</si>
  <si>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</si>
  <si>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</si>
  <si>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</si>
  <si>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</si>
  <si>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</si>
  <si>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</si>
  <si>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</si>
  <si>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</si>
  <si>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</si>
  <si>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</si>
  <si>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</si>
  <si>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</si>
  <si>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</si>
  <si>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</si>
  <si>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</si>
  <si>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</si>
  <si>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</si>
  <si>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</si>
  <si>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</si>
  <si>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</si>
  <si>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</si>
  <si>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</si>
  <si>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</si>
  <si>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</si>
  <si>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</si>
  <si>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</si>
  <si>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</si>
  <si>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</si>
  <si>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</si>
  <si>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</si>
  <si>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</si>
  <si>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</si>
  <si>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</si>
  <si>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</si>
  <si>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</si>
  <si>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</si>
  <si>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</si>
  <si>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</si>
  <si>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</si>
  <si>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</si>
  <si>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</si>
  <si>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</si>
  <si>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</si>
  <si>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</si>
  <si>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</si>
  <si>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</si>
  <si>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</si>
  <si>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</si>
  <si>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</si>
  <si>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</si>
  <si>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</si>
  <si>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</si>
  <si>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</si>
  <si>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</si>
  <si>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</si>
  <si>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</si>
  <si>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</si>
  <si>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</si>
  <si>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</si>
  <si>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</si>
  <si>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</si>
  <si>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</si>
  <si>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</si>
  <si>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</si>
  <si>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</si>
  <si>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</si>
  <si>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</si>
  <si>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</si>
  <si>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</si>
  <si>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</si>
  <si>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</si>
  <si>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</si>
  <si>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</si>
  <si>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</si>
  <si>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</si>
  <si>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</si>
  <si>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</si>
  <si>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</si>
  <si>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</si>
  <si>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</si>
  <si>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</si>
  <si>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</si>
  <si>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</si>
  <si>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</si>
  <si>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</si>
  <si>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</si>
  <si>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</si>
  <si>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</si>
  <si>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</si>
  <si>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</si>
  <si>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</si>
  <si>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</si>
  <si>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</si>
  <si>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</si>
  <si>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</si>
  <si>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</si>
  <si>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</si>
  <si>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</si>
  <si>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</si>
  <si>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</si>
  <si>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</si>
  <si>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</si>
  <si>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</si>
  <si>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</si>
  <si>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</si>
  <si>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</si>
  <si>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</si>
  <si>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</si>
  <si>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</si>
  <si>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</si>
  <si>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</si>
  <si>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</si>
  <si>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</si>
  <si>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</si>
  <si>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</si>
  <si>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</si>
  <si>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</si>
  <si>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</si>
  <si>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</si>
  <si>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</si>
  <si>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</si>
  <si>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</si>
  <si>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</si>
  <si>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</si>
  <si>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</si>
  <si>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</si>
  <si>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</si>
  <si>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</si>
  <si>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</si>
  <si>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</si>
  <si>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</si>
  <si>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</si>
  <si>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</si>
  <si>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</si>
  <si>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</si>
  <si>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</si>
  <si>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</si>
  <si>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</si>
  <si>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</si>
  <si>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</si>
  <si>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</si>
  <si>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</si>
  <si>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</si>
  <si>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</si>
  <si>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</si>
  <si>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</si>
  <si>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</si>
  <si>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</si>
  <si>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</si>
  <si>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</si>
  <si>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</si>
  <si>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</si>
  <si>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</si>
  <si>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</si>
  <si>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</si>
  <si>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</si>
  <si>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</si>
  <si>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</si>
  <si>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</si>
  <si>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</si>
  <si>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</si>
  <si>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</si>
  <si>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</si>
  <si>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</si>
  <si>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</si>
  <si>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</si>
  <si>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</si>
  <si>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</si>
  <si>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</si>
  <si>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</si>
  <si>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</si>
  <si>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</si>
  <si>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</si>
  <si>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</si>
  <si>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</si>
  <si>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</si>
  <si>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</si>
  <si>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</si>
  <si>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</si>
  <si>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</si>
  <si>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</si>
  <si>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</si>
  <si>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</si>
  <si>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</si>
  <si>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</si>
  <si>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</si>
  <si>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</si>
  <si>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</si>
  <si>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</si>
  <si>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</si>
  <si>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</si>
  <si>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</si>
  <si>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</si>
  <si>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</si>
  <si>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</si>
  <si>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</si>
  <si>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</si>
  <si>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</si>
  <si>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</si>
  <si>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</si>
  <si>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</si>
  <si>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</si>
  <si>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</si>
  <si>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</si>
  <si>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</si>
  <si>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</si>
  <si>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</si>
  <si>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</si>
  <si>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</si>
  <si>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</si>
  <si>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</si>
  <si>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</si>
  <si>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</si>
  <si>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</si>
  <si>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</si>
  <si>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</si>
  <si>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</si>
  <si>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</si>
  <si>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</si>
  <si>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</si>
  <si>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</si>
  <si>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</si>
  <si>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</si>
  <si>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</si>
  <si>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</si>
  <si>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</si>
  <si>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</si>
  <si>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</si>
  <si>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</si>
  <si>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</si>
  <si>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</si>
  <si>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</si>
  <si>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</si>
  <si>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</si>
  <si>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</si>
  <si>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</si>
  <si>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</si>
  <si>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</si>
  <si>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</si>
  <si>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</si>
  <si>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</si>
  <si>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</si>
  <si>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</si>
  <si>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</si>
  <si>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</si>
  <si>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</si>
  <si>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</si>
  <si>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</si>
  <si>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</si>
  <si>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</si>
  <si>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</si>
  <si>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</si>
  <si>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</si>
  <si>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</si>
  <si>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</si>
  <si>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</si>
  <si>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</si>
  <si>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</si>
  <si>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</si>
  <si>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</si>
  <si>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</si>
  <si>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</si>
  <si>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</si>
  <si>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</si>
  <si>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</si>
  <si>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</si>
  <si>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</si>
  <si>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</si>
  <si>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</si>
  <si>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</si>
  <si>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</si>
  <si>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</si>
  <si>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</si>
  <si>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</si>
  <si>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</si>
  <si>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</si>
  <si>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</si>
  <si>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</si>
  <si>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</si>
  <si>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</si>
  <si>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</si>
  <si>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</si>
  <si>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</si>
  <si>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</si>
  <si>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</si>
  <si>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</si>
  <si>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</si>
  <si>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</si>
  <si>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</si>
  <si>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</si>
  <si>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</si>
  <si>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</si>
  <si>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</si>
  <si>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</si>
  <si>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</si>
  <si>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</si>
  <si>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</si>
  <si>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</si>
  <si>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</si>
  <si>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</si>
  <si>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</si>
  <si>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</si>
  <si>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</si>
  <si>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</si>
  <si>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</si>
  <si>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</si>
  <si>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</si>
  <si>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</si>
  <si>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</si>
  <si>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</si>
  <si>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</si>
  <si>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</si>
  <si>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</si>
  <si>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</si>
  <si>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</si>
  <si>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</si>
  <si>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</si>
  <si>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</si>
  <si>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</si>
  <si>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</si>
  <si>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</si>
  <si>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</si>
  <si>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</si>
  <si>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</si>
  <si>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</si>
  <si>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</si>
  <si>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</si>
  <si>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</si>
  <si>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</si>
  <si>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</si>
  <si>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</si>
  <si>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</si>
  <si>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</si>
  <si>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</si>
  <si>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</si>
  <si>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</si>
  <si>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</si>
  <si>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</si>
  <si>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</si>
  <si>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</si>
  <si>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</si>
  <si>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</si>
  <si>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</si>
  <si>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</si>
  <si>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</si>
  <si>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</si>
  <si>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</si>
  <si>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</si>
  <si>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</si>
  <si>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</si>
  <si>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</si>
  <si>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</si>
  <si>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</si>
  <si>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</si>
  <si>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</si>
  <si>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</si>
  <si>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</si>
  <si>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</si>
  <si>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</si>
  <si>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</si>
  <si>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</si>
  <si>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</si>
  <si>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</si>
  <si>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</si>
  <si>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</si>
  <si>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</si>
  <si>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</si>
  <si>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</si>
  <si>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</si>
  <si>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</si>
  <si>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</si>
  <si>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</si>
  <si>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</si>
  <si>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</si>
  <si>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</si>
  <si>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</si>
  <si>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</si>
  <si>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</si>
  <si>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</si>
  <si>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</si>
  <si>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</si>
  <si>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</si>
  <si>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</si>
  <si>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</si>
  <si>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</si>
  <si>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</si>
  <si>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</si>
  <si>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</si>
  <si>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</si>
  <si>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</si>
  <si>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</si>
  <si>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</si>
  <si>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</si>
  <si>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</si>
  <si>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</si>
  <si>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</si>
  <si>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</si>
  <si>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</si>
  <si>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</si>
  <si>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</si>
  <si>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</si>
  <si>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</si>
  <si>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</si>
  <si>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</si>
  <si>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</si>
  <si>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</si>
  <si>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</si>
  <si>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</si>
  <si>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</si>
  <si>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</si>
  <si>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</si>
  <si>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</si>
  <si>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</si>
  <si>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</si>
  <si>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</si>
  <si>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</si>
  <si>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</si>
  <si>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</si>
  <si>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</si>
  <si>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</si>
  <si>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</si>
  <si>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</si>
  <si>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</si>
  <si>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</si>
  <si>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</si>
  <si>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</si>
  <si>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</si>
  <si>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</si>
  <si>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</si>
  <si>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</si>
  <si>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</si>
  <si>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</si>
  <si>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</si>
  <si>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</si>
  <si>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</si>
  <si>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</si>
  <si>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</si>
  <si>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</si>
  <si>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</si>
  <si>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</si>
  <si>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</si>
  <si>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</si>
  <si>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</si>
  <si>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</si>
  <si>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</si>
  <si>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</si>
  <si>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</si>
  <si>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</si>
  <si>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</si>
  <si>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</si>
  <si>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</si>
  <si>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</si>
  <si>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</si>
  <si>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</si>
  <si>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</si>
  <si>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</si>
  <si>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</si>
  <si>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</si>
  <si>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</si>
  <si>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</si>
  <si>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</si>
  <si>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</si>
  <si>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</si>
  <si>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</si>
  <si>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</si>
  <si>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</si>
  <si>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</si>
  <si>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</si>
  <si>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</si>
  <si>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</si>
  <si>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</si>
  <si>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</si>
  <si>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</si>
  <si>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</si>
  <si>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</si>
  <si>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</si>
  <si>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</si>
  <si>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</si>
  <si>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</si>
  <si>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</si>
  <si>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</si>
  <si>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</si>
  <si>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</si>
  <si>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</si>
  <si>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</si>
  <si>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</si>
  <si>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</si>
  <si>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</si>
  <si>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</si>
  <si>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</si>
  <si>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</si>
  <si>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</si>
  <si>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</si>
  <si>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</si>
  <si>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</si>
  <si>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</si>
  <si>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</si>
  <si>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</si>
  <si>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</si>
  <si>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</si>
  <si>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</si>
  <si>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</si>
  <si>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</si>
  <si>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</si>
  <si>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</si>
  <si>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</si>
  <si>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</si>
  <si>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</si>
  <si>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</si>
  <si>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</si>
  <si>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</si>
  <si>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</si>
  <si>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</si>
  <si>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</si>
  <si>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</si>
  <si>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</si>
  <si>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</si>
  <si>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</si>
  <si>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</si>
  <si>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</si>
  <si>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</si>
  <si>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</si>
  <si>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</si>
  <si>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</si>
  <si>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</si>
  <si>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</si>
  <si>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</si>
  <si>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</si>
  <si>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</si>
  <si>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</si>
  <si>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</si>
  <si>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</si>
  <si>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</si>
  <si>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</si>
  <si>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</si>
  <si>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</si>
  <si>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</si>
  <si>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</si>
  <si>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</si>
  <si>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</si>
  <si>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</si>
  <si>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</si>
  <si>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</si>
  <si>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</si>
  <si>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</si>
  <si>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</si>
  <si>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</si>
  <si>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</si>
  <si>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</si>
  <si>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</si>
  <si>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</si>
  <si>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</si>
  <si>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</si>
  <si>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</si>
  <si>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</si>
  <si>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</si>
  <si>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</si>
  <si>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</si>
  <si>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</si>
  <si>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</si>
  <si>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</si>
  <si>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</si>
  <si>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</si>
  <si>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</si>
  <si>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</si>
  <si>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</si>
  <si>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</si>
  <si>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</si>
  <si>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</si>
  <si>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</si>
  <si>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</si>
  <si>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</si>
  <si>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</si>
  <si>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</si>
  <si>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</si>
  <si>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</si>
  <si>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</si>
  <si>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</si>
  <si>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</si>
  <si>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</si>
  <si>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</si>
  <si>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</si>
  <si>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</si>
  <si>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</si>
  <si>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</si>
  <si>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</si>
  <si>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</si>
  <si>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</si>
  <si>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</si>
  <si>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</si>
  <si>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</si>
  <si>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</si>
  <si>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</si>
  <si>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</si>
  <si>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</si>
  <si>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</si>
  <si>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</si>
  <si>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</si>
  <si>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</si>
  <si>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</si>
  <si>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</si>
  <si>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</si>
  <si>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</si>
  <si>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</si>
  <si>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</si>
  <si>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</si>
  <si>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</si>
  <si>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</si>
  <si>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</si>
  <si>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</si>
  <si>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</si>
  <si>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</si>
  <si>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</si>
  <si>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</si>
  <si>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</si>
  <si>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</si>
  <si>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</si>
  <si>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</si>
  <si>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</si>
  <si>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</si>
  <si>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</si>
  <si>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</si>
  <si>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</si>
  <si>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</si>
  <si>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</si>
  <si>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</si>
  <si>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</si>
  <si>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</si>
  <si>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</si>
  <si>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</si>
  <si>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</si>
  <si>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</si>
  <si>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</si>
  <si>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</si>
  <si>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</si>
  <si>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</si>
  <si>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</si>
  <si>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</si>
  <si>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</si>
  <si>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</si>
  <si>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</si>
  <si>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</si>
  <si>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</si>
  <si>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</si>
  <si>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</si>
  <si>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</si>
  <si>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</si>
  <si>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</si>
  <si>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</si>
  <si>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</si>
  <si>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</si>
  <si>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</si>
  <si>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</si>
  <si>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</si>
  <si>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</si>
  <si>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</si>
  <si>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</si>
  <si>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</si>
  <si>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</si>
  <si>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</si>
  <si>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</si>
  <si>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</si>
  <si>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</si>
  <si>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</si>
  <si>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</si>
  <si>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</si>
  <si>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</si>
  <si>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</si>
  <si>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</si>
  <si>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</si>
  <si>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</si>
  <si>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</si>
  <si>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</si>
  <si>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</si>
  <si>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</si>
  <si>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</si>
  <si>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</si>
  <si>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</si>
  <si>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</si>
  <si>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</si>
  <si>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</si>
  <si>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</si>
  <si>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</si>
  <si>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</si>
  <si>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</si>
  <si>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</si>
  <si>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</si>
  <si>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</si>
  <si>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</si>
  <si>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</si>
  <si>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</si>
  <si>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</si>
  <si>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</si>
  <si>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</si>
  <si>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</si>
  <si>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</si>
  <si>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</si>
  <si>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</si>
  <si>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</si>
  <si>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</si>
  <si>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</si>
  <si>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</si>
  <si>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</si>
  <si>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</si>
  <si>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</si>
  <si>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</si>
  <si>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</si>
  <si>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</si>
  <si>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</si>
  <si>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</si>
  <si>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</si>
  <si>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</si>
  <si>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</si>
  <si>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</si>
  <si>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</si>
  <si>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</si>
  <si>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</si>
  <si>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</si>
  <si>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</si>
  <si>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</si>
  <si>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</si>
  <si>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</si>
  <si>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</si>
  <si>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</si>
  <si>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</si>
  <si>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</si>
  <si>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</si>
  <si>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</si>
  <si>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</si>
  <si>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</si>
  <si>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</si>
  <si>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</si>
  <si>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</si>
  <si>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</si>
  <si>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</si>
  <si>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</si>
  <si>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</si>
  <si>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</si>
  <si>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</si>
  <si>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</si>
  <si>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</si>
  <si>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</si>
  <si>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</si>
  <si>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</si>
  <si>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</si>
  <si>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</si>
  <si>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</si>
  <si>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</si>
  <si>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</si>
  <si>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</si>
  <si>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</si>
  <si>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</si>
  <si>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</si>
  <si>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</si>
  <si>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</si>
  <si>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</si>
  <si>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</si>
  <si>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</si>
  <si>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</si>
  <si>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</si>
  <si>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</si>
  <si>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</si>
  <si>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</si>
  <si>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</si>
  <si>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</si>
  <si>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</si>
  <si>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</si>
  <si>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</si>
  <si>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</si>
  <si>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</si>
  <si>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</si>
  <si>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</si>
  <si>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</si>
  <si>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</si>
  <si>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</si>
  <si>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</si>
  <si>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</si>
  <si>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</si>
  <si>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</si>
  <si>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</si>
  <si>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</si>
  <si>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</si>
  <si>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</si>
  <si>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</si>
  <si>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</si>
  <si>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</si>
  <si>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</si>
  <si>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</si>
  <si>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</si>
  <si>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</si>
  <si>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</si>
  <si>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</si>
  <si>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</si>
  <si>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</si>
  <si>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</si>
  <si>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</si>
  <si>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</si>
  <si>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</si>
  <si>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</si>
  <si>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</si>
  <si>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</si>
  <si>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</si>
  <si>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</si>
  <si>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</si>
  <si>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</si>
  <si>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</si>
  <si>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</si>
  <si>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</si>
  <si>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</si>
  <si>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</si>
  <si>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</si>
  <si>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</si>
  <si>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</si>
  <si>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</si>
  <si>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</si>
  <si>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</si>
  <si>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</si>
  <si>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</si>
  <si>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</si>
  <si>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</si>
  <si>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</si>
  <si>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</si>
  <si>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</si>
  <si>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</si>
  <si>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</si>
  <si>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</si>
  <si>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</si>
  <si>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</si>
  <si>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</si>
  <si>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</si>
  <si>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</si>
  <si>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</si>
  <si>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</si>
  <si>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</si>
  <si>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</si>
  <si>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</si>
  <si>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</si>
  <si>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</si>
  <si>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</si>
  <si>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</si>
  <si>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</si>
  <si>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</si>
  <si>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</si>
  <si>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</si>
  <si>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</si>
  <si>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</si>
  <si>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</si>
  <si>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</si>
  <si>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</si>
  <si>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</si>
  <si>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</si>
  <si>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</si>
  <si>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</si>
  <si>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</si>
  <si>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</si>
  <si>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</si>
  <si>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</si>
  <si>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</si>
  <si>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</si>
  <si>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</si>
  <si>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</si>
  <si>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</si>
  <si>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2018-4</t>
    <phoneticPr fontId="4" type="noConversion"/>
  </si>
  <si>
    <t>2019-2</t>
    <phoneticPr fontId="144" type="noConversion"/>
  </si>
  <si>
    <t>2019-1</t>
    <phoneticPr fontId="4" type="noConversion"/>
  </si>
  <si>
    <t>级别开发程度</t>
    <phoneticPr fontId="4" type="noConversion"/>
  </si>
  <si>
    <t>抵押</t>
  </si>
  <si>
    <t>房地产抵押价值</t>
  </si>
  <si>
    <t>其他：</t>
  </si>
  <si>
    <t>企业</t>
  </si>
  <si>
    <t>出让</t>
  </si>
  <si>
    <t>商业项目</t>
  </si>
  <si>
    <t>通路</t>
  </si>
  <si>
    <t>通电</t>
  </si>
  <si>
    <t>通讯</t>
  </si>
  <si>
    <t>通上水</t>
  </si>
  <si>
    <t>通下水</t>
  </si>
  <si>
    <t>燃气</t>
  </si>
  <si>
    <t>楼号</t>
    <phoneticPr fontId="144" type="noConversion"/>
  </si>
  <si>
    <r>
      <t>B</t>
    </r>
    <r>
      <rPr>
        <sz val="11"/>
        <color theme="1"/>
        <rFont val="宋体"/>
        <family val="3"/>
        <charset val="134"/>
        <scheme val="minor"/>
      </rPr>
      <t>-1#</t>
    </r>
    <phoneticPr fontId="144" type="noConversion"/>
  </si>
  <si>
    <t>餐饮店</t>
    <phoneticPr fontId="144" type="noConversion"/>
  </si>
  <si>
    <t>地上2层</t>
    <phoneticPr fontId="144" type="noConversion"/>
  </si>
  <si>
    <r>
      <t>B</t>
    </r>
    <r>
      <rPr>
        <sz val="11"/>
        <color theme="1"/>
        <rFont val="宋体"/>
        <family val="3"/>
        <charset val="134"/>
        <scheme val="minor"/>
      </rPr>
      <t>-2#</t>
    </r>
    <r>
      <rPr>
        <sz val="11"/>
        <color theme="1"/>
        <rFont val="宋体"/>
        <family val="2"/>
        <charset val="134"/>
        <scheme val="minor"/>
      </rPr>
      <t/>
    </r>
  </si>
  <si>
    <t>商业楼</t>
    <phoneticPr fontId="144" type="noConversion"/>
  </si>
  <si>
    <t>地上3层</t>
    <phoneticPr fontId="144" type="noConversion"/>
  </si>
  <si>
    <t>地上</t>
    <phoneticPr fontId="144" type="noConversion"/>
  </si>
  <si>
    <t>地下</t>
    <phoneticPr fontId="144" type="noConversion"/>
  </si>
  <si>
    <t>总建面</t>
    <phoneticPr fontId="144" type="noConversion"/>
  </si>
  <si>
    <r>
      <t>B</t>
    </r>
    <r>
      <rPr>
        <sz val="11"/>
        <color theme="1"/>
        <rFont val="宋体"/>
        <family val="3"/>
        <charset val="134"/>
        <scheme val="minor"/>
      </rPr>
      <t>-3#</t>
    </r>
    <r>
      <rPr>
        <sz val="11"/>
        <color theme="1"/>
        <rFont val="宋体"/>
        <family val="2"/>
        <charset val="134"/>
        <scheme val="minor"/>
      </rPr>
      <t/>
    </r>
  </si>
  <si>
    <t>商业楼及宾馆</t>
    <phoneticPr fontId="144" type="noConversion"/>
  </si>
  <si>
    <t>地上8层，地下1层</t>
    <phoneticPr fontId="144" type="noConversion"/>
  </si>
  <si>
    <r>
      <t>B</t>
    </r>
    <r>
      <rPr>
        <sz val="11"/>
        <color theme="1"/>
        <rFont val="宋体"/>
        <family val="3"/>
        <charset val="134"/>
        <scheme val="minor"/>
      </rPr>
      <t>-4#</t>
    </r>
    <r>
      <rPr>
        <sz val="11"/>
        <color theme="1"/>
        <rFont val="宋体"/>
        <family val="2"/>
        <charset val="134"/>
        <scheme val="minor"/>
      </rPr>
      <t/>
    </r>
  </si>
  <si>
    <r>
      <t>B</t>
    </r>
    <r>
      <rPr>
        <sz val="11"/>
        <color theme="1"/>
        <rFont val="宋体"/>
        <family val="3"/>
        <charset val="134"/>
        <scheme val="minor"/>
      </rPr>
      <t>-5#</t>
    </r>
    <r>
      <rPr>
        <sz val="11"/>
        <color theme="1"/>
        <rFont val="宋体"/>
        <family val="2"/>
        <charset val="134"/>
        <scheme val="minor"/>
      </rPr>
      <t/>
    </r>
  </si>
  <si>
    <r>
      <t>B</t>
    </r>
    <r>
      <rPr>
        <sz val="11"/>
        <color theme="1"/>
        <rFont val="宋体"/>
        <family val="3"/>
        <charset val="134"/>
        <scheme val="minor"/>
      </rPr>
      <t>-6#</t>
    </r>
    <r>
      <rPr>
        <sz val="11"/>
        <color theme="1"/>
        <rFont val="宋体"/>
        <family val="2"/>
        <charset val="134"/>
        <scheme val="minor"/>
      </rPr>
      <t/>
    </r>
  </si>
  <si>
    <r>
      <t>B</t>
    </r>
    <r>
      <rPr>
        <sz val="11"/>
        <color theme="1"/>
        <rFont val="宋体"/>
        <family val="3"/>
        <charset val="134"/>
        <scheme val="minor"/>
      </rPr>
      <t>-7#</t>
    </r>
    <r>
      <rPr>
        <sz val="11"/>
        <color theme="1"/>
        <rFont val="宋体"/>
        <family val="2"/>
        <charset val="134"/>
        <scheme val="minor"/>
      </rPr>
      <t/>
    </r>
  </si>
  <si>
    <r>
      <t>B</t>
    </r>
    <r>
      <rPr>
        <sz val="11"/>
        <color theme="1"/>
        <rFont val="宋体"/>
        <family val="3"/>
        <charset val="134"/>
        <scheme val="minor"/>
      </rPr>
      <t>-8#</t>
    </r>
    <r>
      <rPr>
        <sz val="11"/>
        <color theme="1"/>
        <rFont val="宋体"/>
        <family val="2"/>
        <charset val="134"/>
        <scheme val="minor"/>
      </rPr>
      <t/>
    </r>
  </si>
  <si>
    <r>
      <t>B</t>
    </r>
    <r>
      <rPr>
        <sz val="11"/>
        <color theme="1"/>
        <rFont val="宋体"/>
        <family val="3"/>
        <charset val="134"/>
        <scheme val="minor"/>
      </rPr>
      <t>-9#</t>
    </r>
    <r>
      <rPr>
        <sz val="11"/>
        <color theme="1"/>
        <rFont val="宋体"/>
        <family val="2"/>
        <charset val="134"/>
        <scheme val="minor"/>
      </rPr>
      <t/>
    </r>
  </si>
  <si>
    <t>餐饮店</t>
    <phoneticPr fontId="144" type="noConversion"/>
  </si>
  <si>
    <r>
      <t>B</t>
    </r>
    <r>
      <rPr>
        <sz val="11"/>
        <color theme="1"/>
        <rFont val="宋体"/>
        <family val="3"/>
        <charset val="134"/>
        <scheme val="minor"/>
      </rPr>
      <t>-10#</t>
    </r>
    <r>
      <rPr>
        <sz val="11"/>
        <color theme="1"/>
        <rFont val="宋体"/>
        <family val="2"/>
        <charset val="134"/>
        <scheme val="minor"/>
      </rPr>
      <t/>
    </r>
  </si>
  <si>
    <r>
      <t>B</t>
    </r>
    <r>
      <rPr>
        <sz val="11"/>
        <color theme="1"/>
        <rFont val="宋体"/>
        <family val="3"/>
        <charset val="134"/>
        <scheme val="minor"/>
      </rPr>
      <t>-11#</t>
    </r>
    <r>
      <rPr>
        <sz val="11"/>
        <color theme="1"/>
        <rFont val="宋体"/>
        <family val="2"/>
        <charset val="134"/>
        <scheme val="minor"/>
      </rPr>
      <t/>
    </r>
  </si>
  <si>
    <r>
      <t>B</t>
    </r>
    <r>
      <rPr>
        <sz val="11"/>
        <color theme="1"/>
        <rFont val="宋体"/>
        <family val="3"/>
        <charset val="134"/>
        <scheme val="minor"/>
      </rPr>
      <t>-12#</t>
    </r>
    <r>
      <rPr>
        <sz val="11"/>
        <color theme="1"/>
        <rFont val="宋体"/>
        <family val="2"/>
        <charset val="134"/>
        <scheme val="minor"/>
      </rPr>
      <t/>
    </r>
  </si>
  <si>
    <r>
      <t>B</t>
    </r>
    <r>
      <rPr>
        <sz val="11"/>
        <color theme="1"/>
        <rFont val="宋体"/>
        <family val="3"/>
        <charset val="134"/>
        <scheme val="minor"/>
      </rPr>
      <t>-13#</t>
    </r>
    <r>
      <rPr>
        <sz val="11"/>
        <color theme="1"/>
        <rFont val="宋体"/>
        <family val="2"/>
        <charset val="134"/>
        <scheme val="minor"/>
      </rPr>
      <t/>
    </r>
  </si>
  <si>
    <r>
      <t>B</t>
    </r>
    <r>
      <rPr>
        <sz val="11"/>
        <color theme="1"/>
        <rFont val="宋体"/>
        <family val="3"/>
        <charset val="134"/>
        <scheme val="minor"/>
      </rPr>
      <t>-14#</t>
    </r>
    <r>
      <rPr>
        <sz val="11"/>
        <color theme="1"/>
        <rFont val="宋体"/>
        <family val="2"/>
        <charset val="134"/>
        <scheme val="minor"/>
      </rPr>
      <t/>
    </r>
  </si>
  <si>
    <r>
      <t>B</t>
    </r>
    <r>
      <rPr>
        <sz val="11"/>
        <color theme="1"/>
        <rFont val="宋体"/>
        <family val="3"/>
        <charset val="134"/>
        <scheme val="minor"/>
      </rPr>
      <t>-15#</t>
    </r>
    <r>
      <rPr>
        <sz val="11"/>
        <color theme="1"/>
        <rFont val="宋体"/>
        <family val="2"/>
        <charset val="134"/>
        <scheme val="minor"/>
      </rPr>
      <t/>
    </r>
  </si>
  <si>
    <r>
      <t>B</t>
    </r>
    <r>
      <rPr>
        <sz val="11"/>
        <color theme="1"/>
        <rFont val="宋体"/>
        <family val="3"/>
        <charset val="134"/>
        <scheme val="minor"/>
      </rPr>
      <t>-16#</t>
    </r>
    <r>
      <rPr>
        <sz val="11"/>
        <color theme="1"/>
        <rFont val="宋体"/>
        <family val="2"/>
        <charset val="134"/>
        <scheme val="minor"/>
      </rPr>
      <t/>
    </r>
  </si>
  <si>
    <r>
      <t>B</t>
    </r>
    <r>
      <rPr>
        <sz val="11"/>
        <color theme="1"/>
        <rFont val="宋体"/>
        <family val="3"/>
        <charset val="134"/>
        <scheme val="minor"/>
      </rPr>
      <t>-17#</t>
    </r>
    <r>
      <rPr>
        <sz val="11"/>
        <color theme="1"/>
        <rFont val="宋体"/>
        <family val="2"/>
        <charset val="134"/>
        <scheme val="minor"/>
      </rPr>
      <t/>
    </r>
  </si>
  <si>
    <t>地上</t>
  </si>
  <si>
    <t>地下</t>
  </si>
  <si>
    <t>是</t>
  </si>
  <si>
    <r>
      <t>B</t>
    </r>
    <r>
      <rPr>
        <sz val="11"/>
        <color theme="1"/>
        <rFont val="宋体"/>
        <family val="3"/>
        <charset val="134"/>
        <scheme val="minor"/>
      </rPr>
      <t>-18#</t>
    </r>
    <r>
      <rPr>
        <sz val="11"/>
        <color theme="1"/>
        <rFont val="宋体"/>
        <family val="2"/>
        <charset val="134"/>
        <scheme val="minor"/>
      </rPr>
      <t/>
    </r>
  </si>
  <si>
    <t>地上5层</t>
    <phoneticPr fontId="144" type="noConversion"/>
  </si>
  <si>
    <t>地下车库</t>
    <phoneticPr fontId="144" type="noConversion"/>
  </si>
  <si>
    <t>地下1层</t>
    <phoneticPr fontId="144" type="noConversion"/>
  </si>
  <si>
    <t>商业</t>
    <phoneticPr fontId="8" type="noConversion"/>
  </si>
  <si>
    <t>地下车库</t>
    <phoneticPr fontId="8" type="noConversion"/>
  </si>
  <si>
    <t>封顶</t>
    <phoneticPr fontId="144" type="noConversion"/>
  </si>
  <si>
    <t>坡屋面钢筋绑扎</t>
    <phoneticPr fontId="144" type="noConversion"/>
  </si>
  <si>
    <t>地下室地板浇筑完成</t>
    <phoneticPr fontId="144" type="noConversion"/>
  </si>
  <si>
    <t>屋面钢筋绑扎</t>
  </si>
  <si>
    <t>基础承台浇筑完成</t>
    <phoneticPr fontId="144" type="noConversion"/>
  </si>
  <si>
    <t>首层支模架搭设</t>
    <phoneticPr fontId="144" type="noConversion"/>
  </si>
  <si>
    <t>屋面层梁板浇筑完成</t>
    <phoneticPr fontId="144" type="noConversion"/>
  </si>
  <si>
    <t>楼地坪浇筑完成</t>
    <phoneticPr fontId="144" type="noConversion"/>
  </si>
  <si>
    <t>三层梁板模板安装完成</t>
    <phoneticPr fontId="144" type="noConversion"/>
  </si>
  <si>
    <t>二层梁板浇筑完成</t>
    <phoneticPr fontId="144" type="noConversion"/>
  </si>
  <si>
    <t>12-16轴封顶</t>
    <phoneticPr fontId="144" type="noConversion"/>
  </si>
  <si>
    <t>DL浇筑完成</t>
    <phoneticPr fontId="144" type="noConversion"/>
  </si>
  <si>
    <t>车库</t>
  </si>
  <si>
    <t>1层</t>
    <phoneticPr fontId="144" type="noConversion"/>
  </si>
  <si>
    <t>2层</t>
    <phoneticPr fontId="144" type="noConversion"/>
  </si>
  <si>
    <t>3层</t>
    <phoneticPr fontId="144" type="noConversion"/>
  </si>
  <si>
    <t>4层</t>
    <phoneticPr fontId="144" type="noConversion"/>
  </si>
  <si>
    <t>5层</t>
    <phoneticPr fontId="144" type="noConversion"/>
  </si>
  <si>
    <t>6层</t>
    <phoneticPr fontId="144" type="noConversion"/>
  </si>
  <si>
    <t>7层</t>
    <phoneticPr fontId="144" type="noConversion"/>
  </si>
  <si>
    <t>8层</t>
    <phoneticPr fontId="144" type="noConversion"/>
  </si>
  <si>
    <t>地下1层</t>
    <phoneticPr fontId="144" type="noConversion"/>
  </si>
  <si>
    <t>已全部缴纳</t>
  </si>
  <si>
    <t>项目全部</t>
  </si>
  <si>
    <t>成本法</t>
  </si>
  <si>
    <t>假设开发法</t>
  </si>
  <si>
    <t>未包含在土地购买价格中</t>
  </si>
  <si>
    <t>全部缴纳</t>
  </si>
  <si>
    <t>已包含在土地取得成本中</t>
  </si>
  <si>
    <t>成本比率</t>
  </si>
  <si>
    <t>项目</t>
    <phoneticPr fontId="144" type="noConversion"/>
  </si>
  <si>
    <t>建面</t>
    <phoneticPr fontId="144" type="noConversion"/>
  </si>
  <si>
    <t>单价</t>
    <phoneticPr fontId="144" type="noConversion"/>
  </si>
  <si>
    <t>总价</t>
    <phoneticPr fontId="144" type="noConversion"/>
  </si>
  <si>
    <t>金街商铺</t>
    <phoneticPr fontId="144" type="noConversion"/>
  </si>
  <si>
    <t>金街酒店</t>
    <phoneticPr fontId="144" type="noConversion"/>
  </si>
  <si>
    <t>抵押率</t>
    <phoneticPr fontId="144" type="noConversion"/>
  </si>
  <si>
    <t>抵押值</t>
    <phoneticPr fontId="144" type="noConversion"/>
  </si>
  <si>
    <t>深圳太古城4套</t>
    <phoneticPr fontId="144" type="noConversion"/>
  </si>
  <si>
    <t>芜湖在建(商业)</t>
    <phoneticPr fontId="144" type="noConversion"/>
  </si>
  <si>
    <t>芜湖1293套住宅</t>
    <phoneticPr fontId="144" type="noConversion"/>
  </si>
  <si>
    <t>目前金街商铺和酒店单价没有市场数据支持，单价有待考量</t>
    <phoneticPr fontId="144" type="noConversion"/>
  </si>
  <si>
    <t>吴薇</t>
  </si>
  <si>
    <t>崔锴</t>
  </si>
  <si>
    <t>芜湖市宝能泰盛投资有限公司</t>
    <phoneticPr fontId="4" type="noConversion"/>
  </si>
  <si>
    <t>华澳信托</t>
    <phoneticPr fontId="4" type="noConversion"/>
  </si>
  <si>
    <t>安徽省芜湖市</t>
    <phoneticPr fontId="4" type="noConversion"/>
  </si>
  <si>
    <t>鸠江区江北集中区东至和声路、北至长河南路商务金融用地</t>
    <phoneticPr fontId="4" type="noConversion"/>
  </si>
  <si>
    <t>无</t>
  </si>
  <si>
    <t>否</t>
  </si>
  <si>
    <t>在建</t>
  </si>
  <si>
    <t>B-1</t>
  </si>
  <si>
    <t>餐饮店</t>
  </si>
  <si>
    <t>B-2</t>
  </si>
  <si>
    <t>商业楼</t>
  </si>
  <si>
    <t>B-4</t>
  </si>
  <si>
    <t>B-5</t>
  </si>
  <si>
    <t>B-3</t>
  </si>
  <si>
    <t>商业楼及宾馆</t>
  </si>
  <si>
    <t>B-6</t>
  </si>
  <si>
    <t>B-7</t>
  </si>
  <si>
    <t>B-10</t>
  </si>
  <si>
    <t>B-8</t>
  </si>
  <si>
    <t>B-9</t>
  </si>
  <si>
    <t>B-11</t>
  </si>
  <si>
    <t>B-12</t>
  </si>
  <si>
    <t>B-13</t>
  </si>
  <si>
    <t>B-14</t>
  </si>
  <si>
    <t>B-15</t>
  </si>
  <si>
    <t>B-16</t>
  </si>
  <si>
    <t>B-17</t>
  </si>
  <si>
    <t>B-18</t>
  </si>
  <si>
    <t>独立商业</t>
  </si>
  <si>
    <t>收益法</t>
  </si>
  <si>
    <t>一般</t>
    <phoneticPr fontId="4" type="noConversion"/>
  </si>
  <si>
    <t>六通</t>
    <phoneticPr fontId="4" type="noConversion"/>
  </si>
  <si>
    <t>建筑面积</t>
    <phoneticPr fontId="144" type="noConversion"/>
  </si>
  <si>
    <t>楼层</t>
    <phoneticPr fontId="144" type="noConversion"/>
  </si>
  <si>
    <t>各层面积</t>
    <phoneticPr fontId="144" type="noConversion"/>
  </si>
  <si>
    <t>系数</t>
    <phoneticPr fontId="144" type="noConversion"/>
  </si>
  <si>
    <t>市场租金</t>
    <phoneticPr fontId="144" type="noConversion"/>
  </si>
  <si>
    <t>在建（套用方法）</t>
  </si>
  <si>
    <t>押一</t>
  </si>
  <si>
    <t>按租金收入计税</t>
  </si>
  <si>
    <t>钢混</t>
  </si>
  <si>
    <t>非生产用房</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</si>
  <si>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</si>
  <si>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</si>
  <si>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</si>
  <si>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</si>
  <si>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</si>
  <si>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</si>
  <si>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</si>
  <si>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</si>
  <si>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</si>
  <si>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</si>
  <si>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</si>
  <si>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</si>
  <si>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</si>
  <si>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</si>
  <si>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</si>
  <si>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</si>
  <si>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</si>
  <si>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</si>
  <si>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</si>
  <si>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</si>
  <si>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</si>
  <si>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</si>
  <si>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</si>
  <si>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</si>
  <si>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</si>
  <si>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</si>
  <si>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</si>
  <si>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</si>
  <si>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</si>
  <si>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</si>
  <si>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</si>
  <si>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</si>
  <si>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</si>
  <si>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</si>
  <si>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</si>
  <si>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</si>
  <si>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</si>
  <si>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</si>
  <si>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</si>
  <si>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</si>
  <si>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</si>
  <si>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</si>
  <si>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</si>
  <si>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</si>
  <si>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</si>
  <si>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城南G318国道西侧原园艺场场部区域</t>
  </si>
  <si>
    <t>芜湖市</t>
  </si>
  <si>
    <t>商业/办公用地</t>
  </si>
  <si>
    <t>南陵县</t>
  </si>
  <si>
    <t>挂牌</t>
  </si>
  <si>
    <t>园艺场周边</t>
  </si>
  <si>
    <t>其他商服用地</t>
  </si>
  <si>
    <t>小于或等于0.8</t>
  </si>
  <si>
    <t>2018-12-29</t>
  </si>
  <si>
    <t>2019-01-17</t>
  </si>
  <si>
    <t/>
  </si>
  <si>
    <t>南国土挂告字[2018]4号</t>
  </si>
  <si>
    <t>未成交</t>
  </si>
  <si>
    <t>40年</t>
  </si>
  <si>
    <t>0星</t>
  </si>
  <si>
    <t>滨湖大道以北,苏皖大市场以南</t>
  </si>
  <si>
    <t>芜湖县</t>
  </si>
  <si>
    <t>挂1807-2号</t>
  </si>
  <si>
    <t>大于或等于2</t>
  </si>
  <si>
    <t>大于或等于35</t>
  </si>
  <si>
    <t>未开工</t>
  </si>
  <si>
    <t>2018-10-31</t>
  </si>
  <si>
    <t>2018-11-21</t>
  </si>
  <si>
    <t>2018-12-04</t>
  </si>
  <si>
    <t>芜国土挂告字[2018]07号</t>
  </si>
  <si>
    <t>已成交</t>
  </si>
  <si>
    <t>芜湖新芜产城发展有限公司</t>
  </si>
  <si>
    <t>南湖路以北,经一路以东</t>
  </si>
  <si>
    <t>挂1807-1号</t>
  </si>
  <si>
    <t>大于或等于3</t>
  </si>
  <si>
    <t>滨湖大道以北,芜宣高速以西,苏皖大市场以南</t>
  </si>
  <si>
    <t>挂1807-3号</t>
  </si>
  <si>
    <t>红杨镇岗山村</t>
  </si>
  <si>
    <t>挂1805-3号</t>
  </si>
  <si>
    <t>小于或等于1</t>
  </si>
  <si>
    <t>小于或等于40</t>
  </si>
  <si>
    <t>2018-09-30</t>
  </si>
  <si>
    <t>2018-10-23</t>
  </si>
  <si>
    <t>2018-11-01</t>
  </si>
  <si>
    <t>芜国土挂告字[2018]05号</t>
  </si>
  <si>
    <t>月上西河(芜湖)文化旅游投资有限公司</t>
  </si>
  <si>
    <t>挂1805-5号</t>
  </si>
  <si>
    <t>芜湖县红杨镇和平生态园内</t>
  </si>
  <si>
    <t>挂1805-4号</t>
  </si>
  <si>
    <t>小于或等于1.2</t>
  </si>
  <si>
    <t>小于或等于50</t>
  </si>
  <si>
    <t>上海鼎世商业投资管理有限公司</t>
  </si>
  <si>
    <t>北至现状支路一、南至保定新城、西至空地、东至保定中心小学</t>
  </si>
  <si>
    <t>三山区</t>
  </si>
  <si>
    <t>≤1.6</t>
  </si>
  <si>
    <t>≤45%</t>
  </si>
  <si>
    <t>2018-08-24</t>
  </si>
  <si>
    <t>2018-09-13</t>
  </si>
  <si>
    <t>2018-09-27</t>
  </si>
  <si>
    <t>芜国土拍告字[2018]第18号</t>
  </si>
  <si>
    <t>池州华欣置业有限公司</t>
  </si>
  <si>
    <t>2星</t>
  </si>
  <si>
    <t>一般</t>
  </si>
  <si>
    <t>较好</t>
  </si>
  <si>
    <t>六通</t>
  </si>
  <si>
    <t>商业办公</t>
  </si>
  <si>
    <t>商业办公</t>
    <phoneticPr fontId="32" type="noConversion"/>
  </si>
  <si>
    <t>较规则</t>
  </si>
  <si>
    <t>较规则</t>
    <phoneticPr fontId="32" type="noConversion"/>
  </si>
  <si>
    <t>较适宜</t>
  </si>
  <si>
    <t>较适宜</t>
    <phoneticPr fontId="32" type="noConversion"/>
  </si>
  <si>
    <t>七通</t>
    <phoneticPr fontId="32" type="noConversion"/>
  </si>
  <si>
    <t>六通</t>
    <phoneticPr fontId="32" type="noConversion"/>
  </si>
  <si>
    <t>五通</t>
    <phoneticPr fontId="32" type="noConversion"/>
  </si>
  <si>
    <t>较好</t>
    <phoneticPr fontId="32" type="noConversion"/>
  </si>
  <si>
    <t>一般</t>
    <phoneticPr fontId="32" type="noConversion"/>
  </si>
  <si>
    <t>40</t>
    <phoneticPr fontId="32" type="noConversion"/>
  </si>
  <si>
    <t>询价</t>
    <phoneticPr fontId="9" type="noConversion"/>
  </si>
  <si>
    <t>市场租金</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</si>
</sst>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1"/>
      <color theme="9" tint="-0.249977111117893"/>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8" fillId="0" borderId="0" applyFont="0" applyFill="0" applyBorder="0" applyAlignment="0" applyProtection="0">
      <alignment vertical="center"/>
    </xf>
  </cellStyleXfs>
  <cellXfs count="33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9" fontId="0" fillId="0" borderId="0" xfId="0" applyNumberFormat="1">
      <alignment vertical="center"/>
    </xf>
    <xf numFmtId="0" fontId="100" fillId="5" borderId="0" xfId="0" applyFont="1" applyFill="1">
      <alignment vertical="center"/>
    </xf>
    <xf numFmtId="9" fontId="0" fillId="5" borderId="0" xfId="0" applyNumberFormat="1" applyFill="1">
      <alignment vertical="center"/>
    </xf>
    <xf numFmtId="0" fontId="0" fillId="5" borderId="0" xfId="0" applyFill="1">
      <alignment vertical="center"/>
    </xf>
    <xf numFmtId="0" fontId="0" fillId="17" borderId="0" xfId="0" applyFill="1">
      <alignment vertical="center"/>
    </xf>
    <xf numFmtId="0" fontId="100" fillId="0" borderId="1" xfId="0" applyFont="1" applyBorder="1">
      <alignment vertical="center"/>
    </xf>
    <xf numFmtId="0" fontId="0" fillId="0" borderId="1" xfId="0" applyBorder="1">
      <alignment vertical="center"/>
    </xf>
    <xf numFmtId="0" fontId="102" fillId="0" borderId="1" xfId="0" applyFont="1" applyBorder="1">
      <alignment vertical="center"/>
    </xf>
    <xf numFmtId="0" fontId="255" fillId="7" borderId="5" xfId="0" applyFont="1" applyFill="1" applyBorder="1" applyAlignment="1" applyProtection="1">
      <alignment vertical="center"/>
      <protection locked="0"/>
    </xf>
    <xf numFmtId="0" fontId="255" fillId="7" borderId="60"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49" fontId="257" fillId="0" borderId="10"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center" vertical="center" wrapText="1"/>
      <protection locked="0"/>
    </xf>
    <xf numFmtId="0" fontId="257" fillId="0" borderId="24" xfId="0" applyFont="1" applyBorder="1" applyAlignment="1" applyProtection="1">
      <alignment horizontal="center" vertical="center" wrapText="1"/>
      <protection locked="0"/>
    </xf>
    <xf numFmtId="0" fontId="100" fillId="0" borderId="0" xfId="10">
      <alignment vertical="center"/>
    </xf>
    <xf numFmtId="0" fontId="100" fillId="0" borderId="0" xfId="10" applyFont="1">
      <alignment vertical="center"/>
    </xf>
    <xf numFmtId="0" fontId="100" fillId="5" borderId="0" xfId="10" applyFont="1" applyFill="1">
      <alignment vertical="center"/>
    </xf>
    <xf numFmtId="0" fontId="100" fillId="5" borderId="0" xfId="10" applyFill="1">
      <alignment vertical="center"/>
    </xf>
    <xf numFmtId="2" fontId="100" fillId="5" borderId="0" xfId="10" applyNumberFormat="1" applyFill="1">
      <alignment vertical="center"/>
    </xf>
    <xf numFmtId="2" fontId="48" fillId="0" borderId="23" xfId="0" applyNumberFormat="1" applyFont="1" applyBorder="1" applyAlignment="1" applyProtection="1">
      <alignment vertical="center"/>
      <protection locked="0"/>
    </xf>
    <xf numFmtId="0" fontId="0" fillId="5" borderId="0" xfId="0" applyFill="1" applyAlignment="1"/>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2" fontId="100" fillId="0" borderId="0" xfId="10" applyNumberFormat="1">
      <alignment vertical="center"/>
    </xf>
    <xf numFmtId="0" fontId="81" fillId="7" borderId="0" xfId="0" applyFont="1" applyFill="1" applyProtection="1">
      <alignment vertical="center"/>
      <protection locked="0"/>
    </xf>
    <xf numFmtId="0" fontId="81" fillId="6" borderId="0" xfId="0" applyFont="1" applyFill="1" applyAlignment="1" applyProtection="1">
      <alignment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4"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36" xfId="0" applyFont="1" applyBorder="1" applyAlignment="1">
      <alignment horizontal="center" vertical="center"/>
    </xf>
    <xf numFmtId="0" fontId="0" fillId="0" borderId="36" xfId="0" applyBorder="1" applyAlignment="1">
      <alignment horizontal="center" vertical="center"/>
    </xf>
    <xf numFmtId="9" fontId="0" fillId="0" borderId="0" xfId="17" applyFont="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142875</xdr:rowOff>
    </xdr:from>
    <xdr:to>
      <xdr:col>13</xdr:col>
      <xdr:colOff>256286</xdr:colOff>
      <xdr:row>40</xdr:row>
      <xdr:rowOff>37663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00425"/>
          <a:ext cx="7114286" cy="3495238"/>
        </a:xfrm>
        <a:prstGeom prst="rect">
          <a:avLst/>
        </a:prstGeom>
      </xdr:spPr>
    </xdr:pic>
    <xdr:clientData/>
  </xdr:twoCellAnchor>
  <xdr:twoCellAnchor editAs="oneCell">
    <xdr:from>
      <xdr:col>10</xdr:col>
      <xdr:colOff>476250</xdr:colOff>
      <xdr:row>16</xdr:row>
      <xdr:rowOff>28575</xdr:rowOff>
    </xdr:from>
    <xdr:to>
      <xdr:col>40</xdr:col>
      <xdr:colOff>627689</xdr:colOff>
      <xdr:row>41</xdr:row>
      <xdr:rowOff>104230</xdr:rowOff>
    </xdr:to>
    <xdr:pic>
      <xdr:nvPicPr>
        <xdr:cNvPr id="3" name="图片 2"/>
        <xdr:cNvPicPr>
          <a:picLocks noChangeAspect="1"/>
        </xdr:cNvPicPr>
      </xdr:nvPicPr>
      <xdr:blipFill>
        <a:blip xmlns:r="http://schemas.openxmlformats.org/officeDocument/2006/relationships" r:embed="rId2"/>
        <a:stretch>
          <a:fillRect/>
        </a:stretch>
      </xdr:blipFill>
      <xdr:spPr>
        <a:xfrm>
          <a:off x="7334250" y="2771775"/>
          <a:ext cx="7695239" cy="4361905"/>
        </a:xfrm>
        <a:prstGeom prst="rect">
          <a:avLst/>
        </a:prstGeom>
      </xdr:spPr>
    </xdr:pic>
    <xdr:clientData/>
  </xdr:twoCellAnchor>
  <xdr:twoCellAnchor editAs="oneCell">
    <xdr:from>
      <xdr:col>11</xdr:col>
      <xdr:colOff>0</xdr:colOff>
      <xdr:row>35</xdr:row>
      <xdr:rowOff>0</xdr:rowOff>
    </xdr:from>
    <xdr:to>
      <xdr:col>44</xdr:col>
      <xdr:colOff>665724</xdr:colOff>
      <xdr:row>63</xdr:row>
      <xdr:rowOff>113686</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4457700"/>
          <a:ext cx="8209524" cy="4914286"/>
        </a:xfrm>
        <a:prstGeom prst="rect">
          <a:avLst/>
        </a:prstGeom>
      </xdr:spPr>
    </xdr:pic>
    <xdr:clientData/>
  </xdr:twoCellAnchor>
  <xdr:twoCellAnchor editAs="oneCell">
    <xdr:from>
      <xdr:col>11</xdr:col>
      <xdr:colOff>0</xdr:colOff>
      <xdr:row>64</xdr:row>
      <xdr:rowOff>0</xdr:rowOff>
    </xdr:from>
    <xdr:to>
      <xdr:col>44</xdr:col>
      <xdr:colOff>627629</xdr:colOff>
      <xdr:row>90</xdr:row>
      <xdr:rowOff>28015</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9429750"/>
          <a:ext cx="8171429" cy="4485715"/>
        </a:xfrm>
        <a:prstGeom prst="rect">
          <a:avLst/>
        </a:prstGeom>
      </xdr:spPr>
    </xdr:pic>
    <xdr:clientData/>
  </xdr:twoCellAnchor>
  <xdr:twoCellAnchor editAs="oneCell">
    <xdr:from>
      <xdr:col>0</xdr:col>
      <xdr:colOff>0</xdr:colOff>
      <xdr:row>29</xdr:row>
      <xdr:rowOff>47625</xdr:rowOff>
    </xdr:from>
    <xdr:to>
      <xdr:col>11</xdr:col>
      <xdr:colOff>427886</xdr:colOff>
      <xdr:row>61</xdr:row>
      <xdr:rowOff>142178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76625"/>
          <a:ext cx="5914286" cy="5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5253;&#21578;/A/2019-1-0385&#33436;&#28246;&#28145;&#22323;/&#22312;&#24314;&#24037;&#31243;/&#65288;&#27979;&#31639;&#34920;&#65289;&#33436;&#28246;&#24066;-&#37329;&#34903;&#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太古城"/>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13">
          <cell r="B13" t="str">
            <v>B-1</v>
          </cell>
          <cell r="G13">
            <v>1788.48</v>
          </cell>
        </row>
        <row r="14">
          <cell r="B14" t="str">
            <v>B-2</v>
          </cell>
          <cell r="G14">
            <v>4989.32</v>
          </cell>
        </row>
        <row r="15">
          <cell r="B15" t="str">
            <v>B-4</v>
          </cell>
          <cell r="G15">
            <v>1406.82</v>
          </cell>
        </row>
        <row r="16">
          <cell r="B16" t="str">
            <v>B-5</v>
          </cell>
          <cell r="G16">
            <v>1957.06</v>
          </cell>
        </row>
        <row r="17">
          <cell r="B17" t="str">
            <v>B-3</v>
          </cell>
          <cell r="G17">
            <v>19651.82</v>
          </cell>
          <cell r="K17">
            <v>1179.1600000000001</v>
          </cell>
        </row>
        <row r="18">
          <cell r="B18" t="str">
            <v>B-6</v>
          </cell>
          <cell r="G18">
            <v>1843.81</v>
          </cell>
        </row>
        <row r="19">
          <cell r="B19" t="str">
            <v>B-7</v>
          </cell>
          <cell r="G19">
            <v>4067.3</v>
          </cell>
        </row>
        <row r="20">
          <cell r="B20" t="str">
            <v>B-10</v>
          </cell>
          <cell r="G20">
            <v>2464.89</v>
          </cell>
        </row>
        <row r="21">
          <cell r="B21" t="str">
            <v>B-8</v>
          </cell>
          <cell r="G21">
            <v>1549.74</v>
          </cell>
        </row>
        <row r="22">
          <cell r="B22" t="str">
            <v>B-9</v>
          </cell>
          <cell r="G22">
            <v>1944.82</v>
          </cell>
        </row>
        <row r="23">
          <cell r="B23" t="str">
            <v>B-11</v>
          </cell>
          <cell r="G23">
            <v>7559.95</v>
          </cell>
        </row>
        <row r="24">
          <cell r="B24" t="str">
            <v>B-12</v>
          </cell>
          <cell r="G24">
            <v>3228.75</v>
          </cell>
        </row>
        <row r="25">
          <cell r="B25" t="str">
            <v>B-13</v>
          </cell>
          <cell r="G25">
            <v>8436.64</v>
          </cell>
        </row>
        <row r="26">
          <cell r="B26" t="str">
            <v>B-14</v>
          </cell>
          <cell r="G26">
            <v>4510.3900000000003</v>
          </cell>
        </row>
        <row r="27">
          <cell r="B27" t="str">
            <v>B-15</v>
          </cell>
          <cell r="G27">
            <v>2628.13</v>
          </cell>
        </row>
        <row r="28">
          <cell r="B28" t="str">
            <v>B-16</v>
          </cell>
          <cell r="G28">
            <v>6130.65</v>
          </cell>
        </row>
        <row r="29">
          <cell r="B29" t="str">
            <v>B-17</v>
          </cell>
          <cell r="G29">
            <v>1558.04</v>
          </cell>
        </row>
        <row r="30">
          <cell r="B30" t="str">
            <v>B-18</v>
          </cell>
          <cell r="G30">
            <v>31885.040000000001</v>
          </cell>
        </row>
      </sheetData>
      <sheetData sheetId="11" refreshError="1"/>
      <sheetData sheetId="12">
        <row r="17">
          <cell r="C17" t="str">
            <v>项目类型</v>
          </cell>
        </row>
        <row r="19">
          <cell r="C19" t="str">
            <v>商业</v>
          </cell>
        </row>
        <row r="20">
          <cell r="C20" t="str">
            <v>车库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cell r="C121" t="str">
            <v>规则</v>
          </cell>
          <cell r="D121" t="str">
            <v>较规则</v>
          </cell>
        </row>
        <row r="123">
          <cell r="B123" t="str">
            <v>临街宽度及深度</v>
          </cell>
          <cell r="C123" t="str">
            <v>适宜</v>
          </cell>
          <cell r="D123" t="str">
            <v>较适宜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安徽省芜湖市鸠江区江北集中区东至和声路、北至长河南路商务金融用地出让国有建设用地使用权及在建建筑物房地产抵押价值预评估</v>
      </c>
    </row>
    <row r="3" spans="1:2" s="1592" customFormat="1">
      <c r="A3" s="1590" t="s">
        <v>1217</v>
      </c>
      <c r="B3" s="1591" t="str">
        <f>'预评函-封皮'!B40</f>
        <v>芜湖市宝能泰盛投资有限公司</v>
      </c>
    </row>
    <row r="4" spans="1:2" s="1592" customFormat="1">
      <c r="A4" s="1590" t="s">
        <v>1218</v>
      </c>
      <c r="B4" s="1591" t="str">
        <f ca="1">'预评函-封皮'!B46</f>
        <v>吴薇（注册号：1419970001)、崔锴（注册号：0)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受贵公司委托，我公司对安徽省芜湖市鸠江区江北集中区东至和声路、北至长河南路商务金融用地出让国有建设用地使用权及在建建筑物房地产抵押价值进行了预评估。</v>
      </c>
    </row>
    <row r="7" spans="1:2" s="1592" customFormat="1">
      <c r="A7" s="1590" t="s">
        <v>1260</v>
      </c>
      <c r="B7" s="1591" t="str">
        <f>'预评函-1'!A7</f>
        <v>估价对象为安徽省芜湖市鸠江区江北集中区东至和声路、北至长河南路商务金融用地出让国有建设用地使用权及在建建筑物房地产，为所有。根据《国有土地使用证》[]，估价对象（分摊）出让国有建设用地使用权面积为84185平方米，建筑面积为109861.36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安徽省芜湖市鸠江区江北集中区东至和声路、北至长河南路商务金融用地出让国有建设用地使用权及在建建筑物房地产,为开发建设的商业项目，该项目尚在开发建设中。根据《国有土地使用证》[]，估价对象（分摊）出让国有建设用地使用权面积为84185平方米，规划建筑面积为109861.36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为估价委托人在向华澳信托办理贷款手续过程中，确定房地产抵押贷款额度提供参考依据而评估房地产抵押价值。</v>
      </c>
    </row>
    <row r="12" spans="1:2" s="1592" customFormat="1">
      <c r="A12" s="1590" t="s">
        <v>1222</v>
      </c>
      <c r="B12" s="1591" t="str">
        <f>'预评函-1'!A15</f>
        <v>2019年6月14日（评估专业人员实地查勘之日）</v>
      </c>
    </row>
    <row r="13" spans="1:2" s="1592" customFormat="1">
      <c r="A13" s="1590" t="s">
        <v>1223</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31414</v>
      </c>
    </row>
    <row r="21" spans="1:2" s="1592" customFormat="1">
      <c r="A21" s="1590" t="s">
        <v>1231</v>
      </c>
      <c r="B21" s="1591">
        <f ca="1">'预评函-2'!D7</f>
        <v>2859</v>
      </c>
    </row>
    <row r="22" spans="1:2" s="1592" customFormat="1">
      <c r="A22" s="1590" t="s">
        <v>1232</v>
      </c>
      <c r="B22" s="1591" t="str">
        <f ca="1">'预评函-2'!D6</f>
        <v>叁亿壹仟肆佰壹拾肆万元整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31414</v>
      </c>
    </row>
    <row r="31" spans="1:2" s="1592" customFormat="1">
      <c r="A31" s="1590" t="s">
        <v>1270</v>
      </c>
      <c r="B31" s="1591">
        <f ca="1">'预评函-2'!D15</f>
        <v>2859</v>
      </c>
    </row>
    <row r="32" spans="1:2" s="1592" customFormat="1">
      <c r="A32" s="1590" t="s">
        <v>1237</v>
      </c>
      <c r="B32" s="1591" t="str">
        <f ca="1">'预评函-2'!D14</f>
        <v>叁亿壹仟肆佰壹拾肆万元整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安徽省芜湖市鸠江区江北集中区东至和声路、北至长河南路商务金融用地出让国有建设用地使用权及在建建筑物房地产</v>
      </c>
    </row>
    <row r="42" spans="1:2" s="1592" customFormat="1">
      <c r="A42" s="1590" t="s">
        <v>1284</v>
      </c>
      <c r="B42" s="1591" t="str">
        <f>'预评函-3'!B2</f>
        <v>建筑面积</v>
      </c>
    </row>
    <row r="43" spans="1:2" s="1592" customFormat="1">
      <c r="A43" s="1590" t="s">
        <v>1285</v>
      </c>
      <c r="B43" s="1591">
        <f>'预评函-3'!B4</f>
        <v>109861.36</v>
      </c>
    </row>
    <row r="44" spans="1:2" s="1592" customFormat="1">
      <c r="A44" s="1590" t="s">
        <v>1269</v>
      </c>
      <c r="B44" s="1591" t="str">
        <f>'预评函-3'!C2</f>
        <v>(分摊)土地面积</v>
      </c>
    </row>
    <row r="45" spans="1:2" s="1592" customFormat="1">
      <c r="A45" s="1590" t="s">
        <v>1241</v>
      </c>
      <c r="B45" s="1591">
        <f>'预评函-3'!C4</f>
        <v>84185</v>
      </c>
    </row>
    <row r="46" spans="1:2" s="1592" customFormat="1">
      <c r="A46" s="1590" t="s">
        <v>1267</v>
      </c>
      <c r="B46" s="1591" t="str">
        <f>'预评函-3'!D2</f>
        <v>出让国有建设用地使用权价值</v>
      </c>
    </row>
    <row r="47" spans="1:2" s="1592" customFormat="1">
      <c r="A47" s="1590" t="s">
        <v>1242</v>
      </c>
      <c r="B47" s="1591">
        <f ca="1">'预评函-3'!D4</f>
        <v>19791</v>
      </c>
    </row>
    <row r="48" spans="1:2" s="1592" customFormat="1">
      <c r="A48" s="1590" t="s">
        <v>1243</v>
      </c>
      <c r="B48" s="1591">
        <f ca="1">'预评函-3'!E4</f>
        <v>1801</v>
      </c>
    </row>
    <row r="49" spans="1:2" s="1592" customFormat="1">
      <c r="A49" s="1590" t="s">
        <v>1244</v>
      </c>
      <c r="B49" s="1591" t="str">
        <f ca="1">'预评函-3'!D5</f>
        <v>壹亿玖仟柒佰玖拾壹万元整</v>
      </c>
    </row>
    <row r="50" spans="1:2" s="1592" customFormat="1">
      <c r="A50" s="1590" t="s">
        <v>1268</v>
      </c>
      <c r="B50" s="1591" t="str">
        <f>'预评函-3'!F2</f>
        <v>在建建筑物价值</v>
      </c>
    </row>
    <row r="51" spans="1:2" s="1592" customFormat="1">
      <c r="A51" s="1590" t="s">
        <v>1245</v>
      </c>
      <c r="B51" s="1591">
        <f ca="1">'预评函-3'!F4</f>
        <v>11623</v>
      </c>
    </row>
    <row r="52" spans="1:2" s="1592" customFormat="1">
      <c r="A52" s="1590" t="s">
        <v>1246</v>
      </c>
      <c r="B52" s="1591">
        <f ca="1">'预评函-3'!G4</f>
        <v>1058</v>
      </c>
    </row>
    <row r="53" spans="1:2" s="1592" customFormat="1">
      <c r="A53" s="1590" t="s">
        <v>1274</v>
      </c>
      <c r="B53" s="1591" t="str">
        <f ca="1">'预评函-3'!F5</f>
        <v>壹亿壹仟陆佰贰拾叁万元整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崔锴</v>
      </c>
    </row>
    <row r="73" spans="1:2" s="1586" customFormat="1" ht="15" thickBot="1">
      <c r="A73" s="1593" t="s">
        <v>1259</v>
      </c>
      <c r="B73" s="1594">
        <f ca="1">'预评函-4'!B5</f>
        <v>0</v>
      </c>
    </row>
    <row r="74" spans="1:2" ht="15"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芜湖市宝能泰盛投资有限公司拟使用安徽省芜湖市鸠江区江北集中区东至和声路、北至长河南路商务金融用地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1" t="s">
        <v>861</v>
      </c>
      <c r="C54" s="2018" t="s">
        <v>1277</v>
      </c>
    </row>
    <row r="55" spans="1:4">
      <c r="A55" s="3021"/>
      <c r="B55" s="2021" t="s">
        <v>862</v>
      </c>
      <c r="C55" s="2018" t="s">
        <v>1278</v>
      </c>
    </row>
    <row r="56" spans="1:4">
      <c r="A56" s="3021"/>
      <c r="B56" s="2021" t="s">
        <v>863</v>
      </c>
      <c r="C56" s="2018" t="s">
        <v>1282</v>
      </c>
    </row>
    <row r="57" spans="1:4">
      <c r="A57" s="302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0" sqref="I3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30" t="str">
        <f>IF(B10="北京市","北京市",C10)&amp;F10&amp;IF(结果表!G1="在建","出让国有建设用地使用权及在建建筑物",IF(结果表!G1="土地","出让国有建设用地使用权",))&amp;B9&amp;"预评估"</f>
        <v>安徽省芜湖市鸠江区江北集中区东至和声路、北至长河南路商务金融用地出让国有建设用地使用权及在建建筑物房地产抵押价值预评估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安徽省芜湖市鸠江区江北集中区东至和声路、北至长河南路商务金融用地出让国有建设用地使用权及在建建筑物房地产抵押价值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安徽省芜湖市鸠江区江北集中区东至和声路、北至长河南路商务金融用地出让国有建设用地使用权及在建建筑物房地产</v>
      </c>
    </row>
    <row r="3" spans="1:19" ht="18" customHeight="1">
      <c r="A3" s="2034" t="s">
        <v>1774</v>
      </c>
      <c r="B3" s="2035">
        <v>43630</v>
      </c>
      <c r="C3" s="2036" t="s">
        <v>1775</v>
      </c>
      <c r="D3" s="2035">
        <f>B3</f>
        <v>43630</v>
      </c>
      <c r="E3" s="2025"/>
      <c r="F3" s="2025"/>
      <c r="G3" s="2025"/>
      <c r="H3" s="2025"/>
      <c r="I3" s="2025"/>
      <c r="J3" s="2025"/>
      <c r="K3" s="2026"/>
      <c r="L3" s="2027"/>
      <c r="M3" s="2027"/>
      <c r="N3" s="2028"/>
      <c r="O3" s="2029"/>
      <c r="P3" s="2028"/>
      <c r="Q3" s="2028"/>
      <c r="R3" s="2028"/>
      <c r="S3" s="2030"/>
    </row>
    <row r="4" spans="1:19" ht="18" customHeight="1" thickBot="1">
      <c r="A4" s="2037" t="s">
        <v>1776</v>
      </c>
      <c r="B4" s="2038" t="s">
        <v>3142</v>
      </c>
      <c r="C4" s="1037">
        <f ca="1">SUMIF(注册房地产估价师,B4,估价师及机构信息!B3:B24)</f>
        <v>1419970001</v>
      </c>
      <c r="D4" s="2038" t="s">
        <v>3143</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吴薇（注册号：1419970001)、崔锴（注册号：0)</v>
      </c>
      <c r="L4" s="2027"/>
      <c r="M4" s="2027"/>
      <c r="N4" s="2028"/>
      <c r="O4" s="2029"/>
      <c r="P4" s="2028"/>
      <c r="Q4" s="2028"/>
      <c r="R4" s="2028"/>
      <c r="S4" s="2030"/>
    </row>
    <row r="5" spans="1:19" ht="18" customHeight="1" thickTop="1">
      <c r="A5" s="2043" t="s">
        <v>1777</v>
      </c>
      <c r="B5" s="2956" t="s">
        <v>3144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56" t="s">
        <v>3145</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56" t="str">
        <f>B5</f>
        <v>芜湖市宝能泰盛投资有限公司</v>
      </c>
      <c r="C7" s="2047"/>
      <c r="D7" s="2048"/>
      <c r="E7" s="2033"/>
      <c r="F7" s="2041"/>
      <c r="G7" s="2041"/>
      <c r="H7" s="2041"/>
      <c r="I7" s="2041"/>
      <c r="J7" s="2041"/>
      <c r="K7" s="2050"/>
      <c r="L7" s="2027"/>
      <c r="M7" s="2027"/>
      <c r="N7" s="2028"/>
      <c r="O7" s="2029"/>
      <c r="P7" s="2028"/>
      <c r="Q7" s="2028"/>
      <c r="R7" s="2028"/>
    </row>
    <row r="8" spans="1:19" ht="18" customHeight="1">
      <c r="A8" s="2046" t="s">
        <v>1780</v>
      </c>
      <c r="B8" s="2051" t="s">
        <v>3051</v>
      </c>
      <c r="C8" s="2052"/>
      <c r="D8" s="3033" t="s">
        <v>1781</v>
      </c>
      <c r="E8" s="2053" t="s">
        <v>3052</v>
      </c>
      <c r="F8" s="2054"/>
      <c r="G8" s="2025"/>
      <c r="H8" s="2025"/>
      <c r="I8" s="2025"/>
      <c r="J8" s="2041"/>
      <c r="K8" s="2042"/>
      <c r="L8" s="2027"/>
      <c r="M8" s="2027"/>
      <c r="N8" s="2028"/>
      <c r="O8" s="2029"/>
      <c r="P8" s="2028"/>
      <c r="Q8" s="2028"/>
      <c r="R8" s="2028"/>
    </row>
    <row r="9" spans="1:19" ht="18" customHeight="1" thickBot="1">
      <c r="A9" s="2039" t="s">
        <v>1782</v>
      </c>
      <c r="B9" s="2055" t="s">
        <v>3052</v>
      </c>
      <c r="C9" s="2056"/>
      <c r="D9" s="3034"/>
      <c r="E9" s="2055" t="s">
        <v>70</v>
      </c>
      <c r="F9" s="2057"/>
      <c r="G9" s="2058"/>
      <c r="H9" s="2058"/>
      <c r="I9" s="2058"/>
      <c r="J9" s="2041"/>
      <c r="K9" s="2050"/>
      <c r="L9" s="2027"/>
      <c r="M9" s="2027"/>
      <c r="N9" s="2028"/>
      <c r="O9" s="2029"/>
      <c r="P9" s="2028"/>
      <c r="Q9" s="2028"/>
      <c r="R9" s="2028"/>
    </row>
    <row r="10" spans="1:19" ht="18" customHeight="1" thickTop="1">
      <c r="A10" s="2059" t="s">
        <v>1783</v>
      </c>
      <c r="B10" s="2060" t="s">
        <v>3053</v>
      </c>
      <c r="C10" s="2957" t="s">
        <v>3146</v>
      </c>
      <c r="D10" s="2045"/>
      <c r="E10" s="2061" t="s">
        <v>1784</v>
      </c>
      <c r="F10" s="2958" t="s">
        <v>3147</v>
      </c>
      <c r="G10" s="2062"/>
      <c r="H10" s="2063"/>
      <c r="I10" s="2045"/>
      <c r="J10" s="2041"/>
      <c r="K10" s="2050"/>
      <c r="L10" s="2027"/>
      <c r="M10" s="2027"/>
      <c r="N10" s="2028"/>
      <c r="O10" s="2029"/>
      <c r="P10" s="2028"/>
      <c r="Q10" s="2028"/>
      <c r="R10" s="2028"/>
    </row>
    <row r="11" spans="1:19" ht="18" customHeight="1">
      <c r="A11" s="2064" t="s">
        <v>1785</v>
      </c>
      <c r="B11" s="2065" t="s">
        <v>3054</v>
      </c>
      <c r="C11" s="2066"/>
      <c r="D11" s="2067"/>
      <c r="E11" s="2041"/>
      <c r="F11" s="2041"/>
      <c r="G11" s="2041"/>
      <c r="H11" s="2041"/>
      <c r="I11" s="2041"/>
      <c r="J11" s="2041"/>
      <c r="K11" s="2050"/>
      <c r="L11" s="2027"/>
      <c r="M11" s="2027"/>
      <c r="N11" s="2028"/>
      <c r="O11" s="2029"/>
      <c r="P11" s="2028"/>
      <c r="Q11" s="2028"/>
      <c r="R11" s="2028"/>
    </row>
    <row r="12" spans="1:19" ht="18" customHeight="1">
      <c r="A12" s="2068" t="s">
        <v>1786</v>
      </c>
      <c r="B12" s="2065" t="s">
        <v>3055</v>
      </c>
      <c r="C12" s="2069" t="s">
        <v>1787</v>
      </c>
      <c r="D12" s="2070" t="s">
        <v>1788</v>
      </c>
      <c r="E12" s="2070" t="s">
        <v>1789</v>
      </c>
      <c r="F12" s="2070" t="s">
        <v>1790</v>
      </c>
      <c r="G12" s="2070" t="s">
        <v>1791</v>
      </c>
      <c r="H12" s="2070" t="s">
        <v>1792</v>
      </c>
      <c r="I12" s="2070" t="s">
        <v>1793</v>
      </c>
      <c r="J12" s="2041"/>
      <c r="K12" s="2050"/>
      <c r="L12" s="2027"/>
      <c r="M12" s="2027"/>
      <c r="N12" s="2028"/>
      <c r="O12" s="2029"/>
      <c r="P12" s="2028"/>
      <c r="Q12" s="2028"/>
      <c r="R12" s="2028"/>
    </row>
    <row r="13" spans="1:19" ht="18" customHeight="1">
      <c r="A13" s="2071"/>
      <c r="B13" s="2072"/>
      <c r="C13" s="2073" t="s">
        <v>1794</v>
      </c>
      <c r="D13" s="2074"/>
      <c r="E13" s="2074">
        <v>56256</v>
      </c>
      <c r="F13" s="2074"/>
      <c r="G13" s="2074">
        <f>E13</f>
        <v>56256</v>
      </c>
      <c r="H13" s="2074"/>
      <c r="I13" s="1047"/>
      <c r="J13" s="2041"/>
      <c r="K13" s="2050"/>
      <c r="L13" s="2027"/>
      <c r="M13" s="2027"/>
      <c r="N13" s="2028"/>
      <c r="O13" s="2029"/>
      <c r="P13" s="2028"/>
      <c r="Q13" s="2028"/>
      <c r="R13" s="2028"/>
    </row>
    <row r="14" spans="1:19" ht="18" customHeight="1">
      <c r="A14" s="2071"/>
      <c r="B14" s="2072"/>
      <c r="C14" s="2073" t="s">
        <v>1795</v>
      </c>
      <c r="D14" s="1050"/>
      <c r="E14" s="1050">
        <v>40</v>
      </c>
      <c r="F14" s="1050"/>
      <c r="G14" s="1050">
        <v>40</v>
      </c>
      <c r="H14" s="1050"/>
      <c r="I14" s="1050"/>
      <c r="J14" s="2041"/>
      <c r="K14" s="2075"/>
      <c r="L14" s="2027"/>
      <c r="M14" s="2027"/>
      <c r="N14" s="2028"/>
      <c r="O14" s="2029"/>
      <c r="P14" s="2028"/>
      <c r="Q14" s="2028"/>
      <c r="R14" s="2028"/>
    </row>
    <row r="15" spans="1:19" ht="18" customHeight="1">
      <c r="A15" s="2059"/>
      <c r="B15" s="2076"/>
      <c r="C15" s="2073" t="s">
        <v>1796</v>
      </c>
      <c r="D15" s="1049" t="str">
        <f>IF(B12="出让",IF(D13="","",ROUNDDOWN(MIN((D13-$D$3)/365,D14),2)),D14)</f>
        <v/>
      </c>
      <c r="E15" s="1049">
        <f>IF(B12="出让",IF(E13="","",ROUNDDOWN(MIN((E13-$D$3)/365,E14),2)),E14)</f>
        <v>34.590000000000003</v>
      </c>
      <c r="F15" s="1049" t="str">
        <f>IF(B12="出让",IF(F13="","",ROUNDDOWN(MIN((F13-$D$3)/365,F14),2)),F14)</f>
        <v/>
      </c>
      <c r="G15" s="1049">
        <f>IF(B12="出让",IF(G13="","",ROUNDDOWN(MIN((G13-$D$3)/365,G14),2)),G14)</f>
        <v>34.590000000000003</v>
      </c>
      <c r="H15" s="1049" t="str">
        <f>IF(B12="出让",IF(H13="","",ROUNDDOWN(MIN((H13-$D$3)/365,H14),2)),H14)</f>
        <v/>
      </c>
      <c r="I15" s="1049" t="str">
        <f>IF(B12="出让",IF(I13="","",ROUNDDOWN(MIN((I13-$D$3)/365,I14),2)),I14)</f>
        <v/>
      </c>
      <c r="J15" s="2041"/>
      <c r="K15" s="2077"/>
      <c r="L15" s="2078"/>
      <c r="M15" s="2078"/>
      <c r="N15" s="2079"/>
      <c r="O15" s="2078"/>
      <c r="P15" s="2079"/>
      <c r="Q15" s="2028"/>
      <c r="R15" s="2028"/>
    </row>
    <row r="16" spans="1:19" ht="30.75" customHeight="1">
      <c r="A16" s="2061" t="s">
        <v>1797</v>
      </c>
      <c r="B16" s="3040"/>
      <c r="C16" s="3041"/>
      <c r="D16" s="3042"/>
      <c r="E16" s="2080" t="s">
        <v>1798</v>
      </c>
      <c r="F16" s="3043"/>
      <c r="G16" s="3044"/>
      <c r="H16" s="3044"/>
      <c r="I16" s="3045"/>
      <c r="J16" s="2028"/>
      <c r="K16" s="2077"/>
      <c r="L16" s="2078"/>
      <c r="M16" s="2078"/>
      <c r="N16" s="2079"/>
      <c r="O16" s="2078"/>
      <c r="P16" s="2079"/>
      <c r="Q16" s="2028"/>
      <c r="R16" s="2028"/>
    </row>
    <row r="17" spans="1:22" ht="18" customHeight="1">
      <c r="A17" s="2081" t="s">
        <v>1799</v>
      </c>
      <c r="B17" s="2034" t="s">
        <v>1800</v>
      </c>
      <c r="C17" s="1054">
        <f>'数据-汇总表'!E3</f>
        <v>109861.36</v>
      </c>
      <c r="D17" s="2082" t="s">
        <v>1801</v>
      </c>
      <c r="E17" s="3046" t="s">
        <v>1802</v>
      </c>
      <c r="F17" s="3047"/>
      <c r="G17" s="3047"/>
      <c r="H17" s="3047"/>
      <c r="I17" s="3048"/>
      <c r="J17" s="2028"/>
      <c r="K17" s="2083"/>
      <c r="L17" s="2078"/>
      <c r="M17" s="2078"/>
      <c r="N17" s="2079"/>
      <c r="O17" s="2078"/>
      <c r="P17" s="2079"/>
      <c r="Q17" s="2028"/>
      <c r="R17" s="2028"/>
      <c r="S17" s="2028"/>
      <c r="T17" s="2028"/>
      <c r="U17" s="2028"/>
      <c r="V17" s="2028"/>
    </row>
    <row r="18" spans="1:22" ht="36" customHeight="1" thickBot="1">
      <c r="A18" s="2084" t="s">
        <v>1803</v>
      </c>
      <c r="B18" s="2037" t="s">
        <v>1804</v>
      </c>
      <c r="C18" s="1444">
        <f>'数据-汇总表'!D3</f>
        <v>84185</v>
      </c>
      <c r="D18" s="2085" t="s">
        <v>1801</v>
      </c>
      <c r="E18" s="3049" t="s">
        <v>1805</v>
      </c>
      <c r="F18" s="3050"/>
      <c r="G18" s="3050"/>
      <c r="H18" s="3050"/>
      <c r="I18" s="3051"/>
      <c r="J18" s="2028"/>
      <c r="K18" s="2083"/>
      <c r="L18" s="2078"/>
      <c r="M18" s="2078"/>
      <c r="N18" s="2079"/>
      <c r="O18" s="2078"/>
      <c r="P18" s="2079"/>
      <c r="Q18" s="2028"/>
      <c r="R18" s="2028"/>
      <c r="S18" s="2028"/>
      <c r="T18" s="2028"/>
      <c r="U18" s="2028"/>
      <c r="V18" s="2028"/>
    </row>
    <row r="19" spans="1:22" ht="37.5" customHeight="1" thickTop="1" thickBot="1">
      <c r="A19" s="373" t="s">
        <v>1806</v>
      </c>
      <c r="B19" s="352" t="s">
        <v>1807</v>
      </c>
      <c r="C19" s="2086"/>
      <c r="D19" s="2087" t="s">
        <v>1808</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1809</v>
      </c>
      <c r="B20" s="3036" t="s">
        <v>1810</v>
      </c>
      <c r="C20" s="3037"/>
      <c r="D20" s="3038" t="s">
        <v>1811</v>
      </c>
      <c r="E20" s="3039"/>
      <c r="F20" s="2092" t="s">
        <v>1812</v>
      </c>
      <c r="G20" s="2041"/>
      <c r="H20" s="2041"/>
      <c r="I20" s="2041"/>
      <c r="J20" s="2041"/>
      <c r="K20" s="303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1814</v>
      </c>
      <c r="C21" s="2094" t="s">
        <v>1815</v>
      </c>
      <c r="D21" s="2095" t="s">
        <v>1816</v>
      </c>
      <c r="E21" s="2096" t="s">
        <v>1815</v>
      </c>
      <c r="F21" s="2097"/>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1817</v>
      </c>
      <c r="C22" s="2094" t="s">
        <v>1818</v>
      </c>
      <c r="D22" s="2025"/>
      <c r="E22" s="2025"/>
      <c r="F22" s="2099"/>
      <c r="G22" s="2041"/>
      <c r="H22" s="2041"/>
      <c r="I22" s="2041"/>
      <c r="J22" s="2041"/>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1819</v>
      </c>
      <c r="B23" s="183" t="s">
        <v>1820</v>
      </c>
      <c r="C23" s="2101"/>
      <c r="D23" s="2102" t="s">
        <v>1820</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1821</v>
      </c>
      <c r="C24" s="2106"/>
      <c r="D24" s="2100" t="s">
        <v>1821</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1822</v>
      </c>
      <c r="C25" s="2106"/>
      <c r="D25" s="2100" t="s">
        <v>1822</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1823</v>
      </c>
      <c r="C26" s="2110"/>
      <c r="D26" s="2111" t="s">
        <v>1824</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23" t="s">
        <v>1825</v>
      </c>
      <c r="B27" s="2059" t="s">
        <v>1826</v>
      </c>
      <c r="C27" s="2114" t="s">
        <v>3056</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23"/>
      <c r="B28" s="2034" t="s">
        <v>1827</v>
      </c>
      <c r="C28" s="2116" t="s">
        <v>3148</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23"/>
      <c r="B29" s="2034" t="s">
        <v>1828</v>
      </c>
      <c r="C29" s="2119" t="s">
        <v>3149</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24"/>
      <c r="B30" s="2034" t="s">
        <v>1829</v>
      </c>
      <c r="C30" s="3025"/>
      <c r="D30" s="3026"/>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27" t="s">
        <v>1830</v>
      </c>
      <c r="B31" s="2121" t="s">
        <v>3150</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28"/>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28"/>
      <c r="B33" s="2125"/>
      <c r="C33" s="2064"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8" t="s">
        <v>3057</v>
      </c>
      <c r="C34" s="2128" t="s">
        <v>3058</v>
      </c>
      <c r="D34" s="2128" t="s">
        <v>3059</v>
      </c>
      <c r="E34" s="2128" t="s">
        <v>3060</v>
      </c>
      <c r="F34" s="2128" t="s">
        <v>3061</v>
      </c>
      <c r="G34" s="2128" t="s">
        <v>3062</v>
      </c>
      <c r="H34" s="2128" t="s">
        <v>70</v>
      </c>
      <c r="I34" s="2041"/>
      <c r="J34" s="2041"/>
      <c r="K34" s="1794">
        <f>COUNTIF(B34:H34,"——")</f>
        <v>1</v>
      </c>
      <c r="L34" s="2069" t="s">
        <v>1832</v>
      </c>
      <c r="M34" s="2069" t="s">
        <v>1833</v>
      </c>
      <c r="N34" s="2069" t="s">
        <v>1834</v>
      </c>
      <c r="O34" s="2069" t="s">
        <v>1835</v>
      </c>
      <c r="P34" s="2069" t="s">
        <v>1836</v>
      </c>
      <c r="Q34" s="2069" t="s">
        <v>1837</v>
      </c>
      <c r="R34" s="2069" t="s">
        <v>1838</v>
      </c>
      <c r="S34" s="3022" t="s">
        <v>1839</v>
      </c>
      <c r="T34" s="2129" t="str">
        <f>NUMBERSTRING(7-K34,1)&amp;"通"</f>
        <v>六通</v>
      </c>
      <c r="U34" s="2028"/>
      <c r="V34" s="2028"/>
    </row>
    <row r="35" spans="1:22" ht="18" customHeight="1">
      <c r="A35" s="2130"/>
      <c r="B35" s="3029" t="s">
        <v>1840</v>
      </c>
      <c r="C35" s="3029"/>
      <c r="D35" s="3029"/>
      <c r="E35" s="3029"/>
      <c r="F35" s="2131" t="str">
        <f>C10</f>
        <v>安徽省芜湖市</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28"/>
      <c r="V35" s="2028"/>
    </row>
    <row r="36" spans="1:22" ht="18" customHeight="1">
      <c r="A36" s="2132"/>
      <c r="B36" s="2131" t="s">
        <v>1841</v>
      </c>
      <c r="C36" s="2131" t="s">
        <v>1842</v>
      </c>
      <c r="D36" s="2131" t="s">
        <v>1843</v>
      </c>
      <c r="E36" s="2131" t="s">
        <v>1844</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1845</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1846</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1848</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1849</v>
      </c>
      <c r="B42" s="1794" t="s">
        <v>1850</v>
      </c>
      <c r="C42" s="1794" t="s">
        <v>1851</v>
      </c>
      <c r="D42" s="1794" t="s">
        <v>1852</v>
      </c>
      <c r="E42" s="1794" t="s">
        <v>1853</v>
      </c>
      <c r="F42" s="1794" t="s">
        <v>1854</v>
      </c>
      <c r="G42" s="1794" t="s">
        <v>1855</v>
      </c>
      <c r="H42" s="1794" t="s">
        <v>1856</v>
      </c>
      <c r="I42" s="1794" t="s">
        <v>1857</v>
      </c>
      <c r="J42" s="2147" t="s">
        <v>1858</v>
      </c>
      <c r="K42" s="2070" t="s">
        <v>1859</v>
      </c>
      <c r="L42" s="2070" t="s">
        <v>1860</v>
      </c>
      <c r="M42" s="2070" t="s">
        <v>1861</v>
      </c>
      <c r="N42" s="1794" t="s">
        <v>1862</v>
      </c>
      <c r="O42" s="1794" t="s">
        <v>1863</v>
      </c>
      <c r="P42" s="1794" t="s">
        <v>1864</v>
      </c>
      <c r="Q42" s="2069" t="s">
        <v>1865</v>
      </c>
      <c r="R42" s="2069" t="s">
        <v>1866</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Q17" sqref="Q1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1872</v>
      </c>
      <c r="AZ2" s="1270"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84185</v>
      </c>
      <c r="B3" s="14">
        <f>IF(C3="否",G5-AT5,G5)</f>
        <v>109861.36</v>
      </c>
      <c r="C3" s="2163" t="s">
        <v>3093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2"/>
      <c r="C5" s="1802"/>
      <c r="D5" s="1805"/>
      <c r="E5" s="16" t="s">
        <v>1</v>
      </c>
      <c r="F5" s="16">
        <f>SUM(F13:F587)</f>
        <v>0</v>
      </c>
      <c r="G5" s="16">
        <f>SUM(G13:G587)</f>
        <v>109861.36</v>
      </c>
      <c r="H5" s="16">
        <f t="shared" ref="H5:AT5" si="0">SUM(H13:H656)</f>
        <v>109861.36</v>
      </c>
      <c r="I5" s="16">
        <f t="shared" si="0"/>
        <v>106422.48999999999</v>
      </c>
      <c r="J5" s="16">
        <f t="shared" si="0"/>
        <v>0</v>
      </c>
      <c r="K5" s="16">
        <f t="shared" si="0"/>
        <v>1179.1600000000001</v>
      </c>
      <c r="L5" s="16">
        <f t="shared" si="0"/>
        <v>0</v>
      </c>
      <c r="M5" s="16">
        <f t="shared" si="0"/>
        <v>2259.71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109861.36</v>
      </c>
      <c r="BA5" s="18">
        <f t="shared" si="1"/>
        <v>109861.36</v>
      </c>
      <c r="BB5" s="18">
        <f t="shared" si="1"/>
        <v>106422.48999999999</v>
      </c>
      <c r="BC5" s="18">
        <f t="shared" si="1"/>
        <v>1179.1600000000001</v>
      </c>
      <c r="BD5" s="18">
        <f t="shared" si="1"/>
        <v>2259.71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84185.000000000015</v>
      </c>
      <c r="F6" s="16" t="s">
        <v>1</v>
      </c>
      <c r="G6" s="16" t="s">
        <v>2</v>
      </c>
      <c r="H6" s="20">
        <f>SUMIF(I$12:AB$12,"总值",I6:AB6)</f>
        <v>84185.000000000015</v>
      </c>
      <c r="I6" s="16">
        <f t="shared" ref="I6:AB6" si="2">ROUND($A$3*I5/$B$3,2)</f>
        <v>81549.850000000006</v>
      </c>
      <c r="J6" s="16">
        <f t="shared" si="2"/>
        <v>0</v>
      </c>
      <c r="K6" s="16">
        <f t="shared" si="2"/>
        <v>903.57</v>
      </c>
      <c r="L6" s="16">
        <f t="shared" si="2"/>
        <v>0</v>
      </c>
      <c r="M6" s="16">
        <f t="shared" si="2"/>
        <v>1731.58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84185</v>
      </c>
      <c r="AZ6" s="16" t="s">
        <v>3</v>
      </c>
      <c r="BA6" s="16">
        <f>ROUND($AY$6*BA5/$AZ$5,2)</f>
        <v>84185</v>
      </c>
      <c r="BB6" s="16">
        <f>ROUND($AY$6*BB5/$AZ$5,2)</f>
        <v>81549.850000000006</v>
      </c>
      <c r="BC6" s="16">
        <f t="shared" ref="BC6:BH6" si="4">ROUND($AY$6*BC5/$AZ$5,2)</f>
        <v>903.57</v>
      </c>
      <c r="BD6" s="16">
        <f t="shared" si="4"/>
        <v>1731.58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1884</v>
      </c>
      <c r="AV7" s="23" t="s">
        <v>1885</v>
      </c>
      <c r="AW7" s="2161" t="s">
        <v>1886</v>
      </c>
      <c r="AX7" s="23" t="s">
        <v>1879</v>
      </c>
      <c r="AY7" s="1802"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7"/>
      <c r="K8" s="1817"/>
      <c r="L8" s="1817"/>
      <c r="M8" s="1817"/>
      <c r="N8" s="1817"/>
      <c r="O8" s="1817"/>
      <c r="P8" s="1817"/>
      <c r="Q8" s="1817"/>
      <c r="R8" s="1817"/>
      <c r="S8" s="1817"/>
      <c r="T8" s="1817"/>
      <c r="U8" s="1817"/>
      <c r="V8" s="2181"/>
      <c r="W8" s="1817"/>
      <c r="X8" s="1817"/>
      <c r="Y8" s="1817"/>
      <c r="Z8" s="1817"/>
      <c r="AA8" s="2181"/>
      <c r="AB8" s="2182"/>
      <c r="AC8" s="981" t="s">
        <v>1890</v>
      </c>
      <c r="AD8" s="2183"/>
      <c r="AE8" s="2175"/>
      <c r="AF8" s="1817"/>
      <c r="AG8" s="1817"/>
      <c r="AH8" s="1817"/>
      <c r="AI8" s="1817"/>
      <c r="AJ8" s="1817"/>
      <c r="AK8" s="1817"/>
      <c r="AL8" s="1817"/>
      <c r="AM8" s="1817"/>
      <c r="AN8" s="1817"/>
      <c r="AO8" s="1817"/>
      <c r="AP8" s="1817"/>
      <c r="AQ8" s="1817"/>
      <c r="AR8" s="1817"/>
      <c r="AS8" s="1817"/>
      <c r="AT8" s="1292" t="s">
        <v>1891</v>
      </c>
      <c r="AU8" s="2177" t="s">
        <v>1892</v>
      </c>
      <c r="AV8" s="1292"/>
      <c r="AW8" s="2160"/>
      <c r="AX8" s="1292"/>
      <c r="AY8" s="2161"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1895</v>
      </c>
      <c r="I9" s="2959" t="s">
        <v>3091</v>
      </c>
      <c r="J9" s="981"/>
      <c r="K9" s="2959" t="s">
        <v>3092</v>
      </c>
      <c r="L9" s="981"/>
      <c r="M9" s="2959" t="s">
        <v>3092</v>
      </c>
      <c r="N9" s="981"/>
      <c r="O9" s="2186"/>
      <c r="P9" s="981"/>
      <c r="Q9" s="2186"/>
      <c r="R9" s="981"/>
      <c r="S9" s="2186"/>
      <c r="T9" s="981"/>
      <c r="U9" s="2186"/>
      <c r="V9" s="981"/>
      <c r="W9" s="2186"/>
      <c r="X9" s="2187"/>
      <c r="Y9" s="2186"/>
      <c r="Z9" s="981"/>
      <c r="AA9" s="2186"/>
      <c r="AB9" s="981"/>
      <c r="AC9" s="2178"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88"/>
      <c r="AT9" s="2177"/>
      <c r="AU9" s="2177" t="s">
        <v>1898</v>
      </c>
      <c r="AV9" s="1292"/>
      <c r="AW9" s="2160"/>
      <c r="AX9" s="1292"/>
      <c r="AY9" s="28"/>
      <c r="AZ9" s="28" t="s">
        <v>1888</v>
      </c>
      <c r="BA9" s="2189" t="s">
        <v>1899</v>
      </c>
      <c r="BB9" s="2190"/>
      <c r="BC9" s="1338"/>
      <c r="BD9" s="1338"/>
      <c r="BE9" s="1338"/>
      <c r="BF9" s="1338"/>
      <c r="BG9" s="1338"/>
      <c r="BH9" s="1338"/>
      <c r="BI9" s="1338"/>
      <c r="BJ9" s="1338"/>
      <c r="BK9" s="2191"/>
      <c r="BL9" s="15" t="s">
        <v>1900</v>
      </c>
      <c r="BM9" s="1817"/>
      <c r="BN9" s="2180"/>
      <c r="BO9" s="1817"/>
      <c r="BP9" s="1817"/>
      <c r="BQ9" s="1817"/>
      <c r="BR9" s="1817"/>
      <c r="BS9" s="1817"/>
      <c r="BT9" s="26"/>
    </row>
    <row r="10" spans="1:72" s="2184" customFormat="1" ht="12.75">
      <c r="A10" s="2177"/>
      <c r="B10" s="2177"/>
      <c r="C10" s="2177"/>
      <c r="D10" s="2177"/>
      <c r="E10" s="2177"/>
      <c r="F10" s="2177"/>
      <c r="G10" s="1292"/>
      <c r="H10" s="28"/>
      <c r="I10" s="2959" t="s">
        <v>1373</v>
      </c>
      <c r="J10" s="981"/>
      <c r="K10" s="2961" t="s">
        <v>1373</v>
      </c>
      <c r="L10" s="981"/>
      <c r="M10" s="2961" t="s">
        <v>3112</v>
      </c>
      <c r="N10" s="981"/>
      <c r="O10" s="2192"/>
      <c r="P10" s="981"/>
      <c r="Q10" s="2192"/>
      <c r="R10" s="981"/>
      <c r="S10" s="2192"/>
      <c r="T10" s="981"/>
      <c r="U10" s="2192"/>
      <c r="V10" s="981"/>
      <c r="W10" s="2192"/>
      <c r="X10" s="981"/>
      <c r="Y10" s="2192"/>
      <c r="Z10" s="981"/>
      <c r="AA10" s="2192"/>
      <c r="AB10" s="981"/>
      <c r="AC10" s="1292"/>
      <c r="AD10" s="15" t="s">
        <v>1901</v>
      </c>
      <c r="AE10" s="2193"/>
      <c r="AF10" s="15" t="s">
        <v>1901</v>
      </c>
      <c r="AG10" s="2193"/>
      <c r="AH10" s="15" t="s">
        <v>1902</v>
      </c>
      <c r="AI10" s="2193"/>
      <c r="AJ10" s="15" t="s">
        <v>1902</v>
      </c>
      <c r="AK10" s="2193"/>
      <c r="AL10" s="15" t="s">
        <v>1903</v>
      </c>
      <c r="AM10" s="1298"/>
      <c r="AN10" s="15" t="s">
        <v>1903</v>
      </c>
      <c r="AO10" s="1298"/>
      <c r="AP10" s="15" t="s">
        <v>1904</v>
      </c>
      <c r="AQ10" s="1298"/>
      <c r="AR10" s="15" t="s">
        <v>1904</v>
      </c>
      <c r="AS10" s="1298"/>
      <c r="AT10" s="2177"/>
      <c r="AU10" s="2177"/>
      <c r="AV10" s="1292"/>
      <c r="AW10" s="2160"/>
      <c r="AX10" s="1292"/>
      <c r="AY10" s="28"/>
      <c r="AZ10" s="28"/>
      <c r="BA10" s="2194" t="s">
        <v>1895</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960" t="s">
        <v>3172</v>
      </c>
      <c r="J11" s="2198"/>
      <c r="K11" s="2960" t="s">
        <v>3172</v>
      </c>
      <c r="L11" s="2198"/>
      <c r="M11" s="2197" t="s">
        <v>3112</v>
      </c>
      <c r="N11" s="2198"/>
      <c r="O11" s="2197"/>
      <c r="P11" s="2198"/>
      <c r="Q11" s="2197"/>
      <c r="R11" s="2198"/>
      <c r="S11" s="2197"/>
      <c r="T11" s="2198"/>
      <c r="U11" s="2197"/>
      <c r="V11" s="2198"/>
      <c r="W11" s="2197"/>
      <c r="X11" s="2198"/>
      <c r="Y11" s="2197"/>
      <c r="Z11" s="2198"/>
      <c r="AA11" s="2197"/>
      <c r="AB11" s="2198"/>
      <c r="AC11" s="1292"/>
      <c r="AD11" s="2199" t="s">
        <v>1905</v>
      </c>
      <c r="AE11" s="1818"/>
      <c r="AF11" s="2199" t="s">
        <v>1905</v>
      </c>
      <c r="AG11" s="1818"/>
      <c r="AH11" s="2199" t="s">
        <v>1906</v>
      </c>
      <c r="AI11" s="2200"/>
      <c r="AJ11" s="2199" t="s">
        <v>1906</v>
      </c>
      <c r="AK11" s="1818"/>
      <c r="AL11" s="1816"/>
      <c r="AM11" s="1818"/>
      <c r="AN11" s="1816"/>
      <c r="AO11" s="1818"/>
      <c r="AP11" s="1816"/>
      <c r="AQ11" s="1818"/>
      <c r="AR11" s="1816"/>
      <c r="AS11" s="1818"/>
      <c r="AT11" s="2160"/>
      <c r="AU11" s="2177"/>
      <c r="AV11" s="1292"/>
      <c r="AW11" s="2160"/>
      <c r="AX11" s="1292"/>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4"/>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独立商业</v>
      </c>
      <c r="BC12" s="2207" t="str">
        <f>K11</f>
        <v>独立商业</v>
      </c>
      <c r="BD12" s="2207" t="str">
        <f>M11</f>
        <v>车库</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t="s">
        <v>3151</v>
      </c>
      <c r="C13" s="1272" t="s">
        <v>3152</v>
      </c>
      <c r="D13" s="2208" t="s">
        <v>3093</v>
      </c>
      <c r="E13" s="16">
        <f>IF($C$3="是",ROUND($A$3*G13/$B$3,2),ROUND($A$3*(G13-AT13)/$B$3,2))</f>
        <v>1370.48</v>
      </c>
      <c r="F13" s="32"/>
      <c r="G13" s="33">
        <f>H13+AC13+AT13</f>
        <v>1788.48</v>
      </c>
      <c r="H13" s="20">
        <f>SUMIF(I$12:AB$12,"总值",I13:AB13)</f>
        <v>1788.48</v>
      </c>
      <c r="I13" s="2209">
        <v>1788.48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t="str">
        <f t="shared" si="6"/>
        <v>B-1</v>
      </c>
      <c r="AX13" s="11" t="str">
        <f t="shared" si="6"/>
        <v>餐饮店</v>
      </c>
      <c r="AY13" s="1805">
        <f>ROUND($AY$6*AZ13/$AZ$5,2)</f>
        <v>1370.48</v>
      </c>
      <c r="AZ13" s="16">
        <f>BA13+BL13</f>
        <v>1788.48</v>
      </c>
      <c r="BA13" s="16">
        <f>SUM(BB13:BK13)</f>
        <v>1788.48</v>
      </c>
      <c r="BB13" s="16">
        <f>IF($D13="是",I13-J13,0)</f>
        <v>1788.48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t="s">
        <v>3153</v>
      </c>
      <c r="C14" s="1272" t="s">
        <v>3154</v>
      </c>
      <c r="D14" s="2208" t="s">
        <v>3093</v>
      </c>
      <c r="E14" s="16">
        <f>IF($C$3="是",ROUND($A$3*G14/$B$3,2),ROUND($A$3*(G14-AT14)/$B$3,2))</f>
        <v>3823.24</v>
      </c>
      <c r="F14" s="32"/>
      <c r="G14" s="33">
        <f>H14+AC14+AT14</f>
        <v>4989.32</v>
      </c>
      <c r="H14" s="20">
        <f>SUMIF(I$12:AB$12,"总值",I14:AB14)</f>
        <v>4989.32</v>
      </c>
      <c r="I14" s="2209">
        <v>4989.32</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t="str">
        <f t="shared" si="6"/>
        <v>B-2</v>
      </c>
      <c r="AX14" s="11" t="str">
        <f t="shared" si="6"/>
        <v>商业楼</v>
      </c>
      <c r="AY14" s="1805">
        <f>ROUND($AY$6*AZ14/$AZ$5,2)</f>
        <v>3823.24</v>
      </c>
      <c r="AZ14" s="16">
        <f>BA14+BL14</f>
        <v>4989.32</v>
      </c>
      <c r="BA14" s="16">
        <f>SUM(BB14:BK14)</f>
        <v>4989.32</v>
      </c>
      <c r="BB14" s="16">
        <f>IF($D14="是",I14-J14,0)</f>
        <v>4989.32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t="s">
        <v>3155</v>
      </c>
      <c r="C15" s="1272" t="s">
        <v>3152</v>
      </c>
      <c r="D15" s="2208" t="s">
        <v>3093</v>
      </c>
      <c r="E15" s="16">
        <f>IF($C$3="是",ROUND($A$3*G15/$B$3,2),ROUND($A$3*(G15-AT15)/$B$3,2))</f>
        <v>1078.02</v>
      </c>
      <c r="F15" s="32"/>
      <c r="G15" s="33">
        <f>H15+AC15+AT15</f>
        <v>1406.82</v>
      </c>
      <c r="H15" s="20">
        <f>SUMIF(I$12:AB$12,"总值",I15:AB15)</f>
        <v>1406.82</v>
      </c>
      <c r="I15" s="2209">
        <v>1406.82</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B-4</v>
      </c>
      <c r="AX15" s="11" t="str">
        <f t="shared" si="6"/>
        <v>餐饮店</v>
      </c>
      <c r="AY15" s="1805">
        <f>ROUND($AY$6*AZ15/$AZ$5,2)</f>
        <v>1078.02</v>
      </c>
      <c r="AZ15" s="16">
        <f>BA15+BL15</f>
        <v>1406.82</v>
      </c>
      <c r="BA15" s="16">
        <f>SUM(BB15:BK15)</f>
        <v>1406.82</v>
      </c>
      <c r="BB15" s="16">
        <f>IF($D15="是",I15-J15,0)</f>
        <v>1406.82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t="s">
        <v>3156</v>
      </c>
      <c r="C16" s="1272" t="s">
        <v>3154</v>
      </c>
      <c r="D16" s="2208" t="s">
        <v>3093</v>
      </c>
      <c r="E16" s="16">
        <f>IF($C$3="是",ROUND($A$3*G16/$B$3,2),ROUND($A$3*(G16-AT16)/$B$3,2))</f>
        <v>1499.66</v>
      </c>
      <c r="F16" s="32"/>
      <c r="G16" s="33">
        <f>H16+AC16+AT16</f>
        <v>1957.06</v>
      </c>
      <c r="H16" s="20">
        <f>SUMIF(I$12:AB$12,"总值",I16:AB16)</f>
        <v>1957.06</v>
      </c>
      <c r="I16" s="2209">
        <v>1957.06</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B-5</v>
      </c>
      <c r="AX16" s="11" t="str">
        <f t="shared" si="6"/>
        <v>商业楼</v>
      </c>
      <c r="AY16" s="1805">
        <f>ROUND($AY$6*AZ16/$AZ$5,2)</f>
        <v>1499.66</v>
      </c>
      <c r="AZ16" s="16">
        <f>BA16+BL16</f>
        <v>1957.06</v>
      </c>
      <c r="BA16" s="16">
        <f>SUM(BB16:BK16)</f>
        <v>1957.06</v>
      </c>
      <c r="BB16" s="16">
        <f>IF($D16="是",I16-J16,0)</f>
        <v>1957.06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25.5">
      <c r="A17" s="1272"/>
      <c r="B17" s="1272" t="s">
        <v>3157</v>
      </c>
      <c r="C17" s="1272" t="s">
        <v>3158</v>
      </c>
      <c r="D17" s="2208" t="s">
        <v>3093</v>
      </c>
      <c r="E17" s="16">
        <f>IF($C$3="是",ROUND($A$3*G17/$B$3,2),ROUND($A$3*(G17-AT17)/$B$3,2))</f>
        <v>15058.87</v>
      </c>
      <c r="F17" s="32"/>
      <c r="G17" s="33">
        <f>H17+AC17+AT17</f>
        <v>19651.82</v>
      </c>
      <c r="H17" s="20">
        <f>SUMIF(I$12:AB$12,"总值",I17:AB17)</f>
        <v>19651.82</v>
      </c>
      <c r="I17" s="2209">
        <v>18472.66</v>
      </c>
      <c r="J17" s="2209"/>
      <c r="K17" s="2209">
        <v>1179.1600000000001</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B-3</v>
      </c>
      <c r="AX17" s="11" t="str">
        <f t="shared" si="6"/>
        <v>商业楼及宾馆</v>
      </c>
      <c r="AY17" s="1805">
        <f>ROUND($AY$6*AZ17/$AZ$5,2)</f>
        <v>15058.87</v>
      </c>
      <c r="AZ17" s="16">
        <f>BA17+BL17</f>
        <v>19651.82</v>
      </c>
      <c r="BA17" s="16">
        <f>SUM(BB17:BK17)</f>
        <v>19651.82</v>
      </c>
      <c r="BB17" s="16">
        <f>IF($D17="是",I17-J17,0)</f>
        <v>18472.66</v>
      </c>
      <c r="BC17" s="16">
        <f>IF($D17="是",K17-L17,0)</f>
        <v>1179.1600000000001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3159</v>
      </c>
      <c r="C18" s="1272" t="s">
        <v>3154</v>
      </c>
      <c r="D18" s="2208" t="s">
        <v>3093</v>
      </c>
      <c r="E18" s="35">
        <f t="shared" ref="E18:E112" si="7">IF($C$3="是",ROUND($A$3*G18/$B$3,2),ROUND($A$3*(G18-AT18)/$B$3,2))</f>
        <v>1412.88</v>
      </c>
      <c r="F18" s="36"/>
      <c r="G18" s="37">
        <f t="shared" ref="G18:G109" si="8">H18+AC18+AT18</f>
        <v>1843.81</v>
      </c>
      <c r="H18" s="38">
        <f t="shared" ref="H18:H109" si="9">SUMIF(I$12:AB$12,"总值",I18:AB18)</f>
        <v>1843.81</v>
      </c>
      <c r="I18" s="2209">
        <v>1843.81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t="str">
        <f t="shared" ref="AW18:AW112" si="12">B18</f>
        <v>B-6</v>
      </c>
      <c r="AX18" s="1794" t="str">
        <f t="shared" ref="AX18:AX112" si="13">C18</f>
        <v>商业楼</v>
      </c>
      <c r="AY18" s="42">
        <f t="shared" ref="AY18:AY109" si="14">ROUND($AY$6*AZ18/$AZ$5,2)</f>
        <v>1412.88</v>
      </c>
      <c r="AZ18" s="35">
        <f t="shared" ref="AZ18:AZ109" si="15">BA18+BL18</f>
        <v>1843.81</v>
      </c>
      <c r="BA18" s="35">
        <f t="shared" ref="BA18:BA109" si="16">SUM(BB18:BK18)</f>
        <v>1843.81</v>
      </c>
      <c r="BB18" s="35">
        <f t="shared" ref="BB18:BB109" si="17">IF($D18="是",I18-J18,0)</f>
        <v>1843.81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3160</v>
      </c>
      <c r="C19" s="1272" t="s">
        <v>3154</v>
      </c>
      <c r="D19" s="2208" t="s">
        <v>3093</v>
      </c>
      <c r="E19" s="35">
        <f t="shared" si="7"/>
        <v>3116.71</v>
      </c>
      <c r="F19" s="36"/>
      <c r="G19" s="37">
        <f t="shared" si="8"/>
        <v>4067.3</v>
      </c>
      <c r="H19" s="38">
        <f t="shared" si="9"/>
        <v>4067.3</v>
      </c>
      <c r="I19" s="2209">
        <v>4067.3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t="str">
        <f t="shared" si="12"/>
        <v>B-7</v>
      </c>
      <c r="AX19" s="1794" t="str">
        <f t="shared" si="13"/>
        <v>商业楼</v>
      </c>
      <c r="AY19" s="42">
        <f t="shared" si="14"/>
        <v>3116.71</v>
      </c>
      <c r="AZ19" s="35">
        <f t="shared" si="15"/>
        <v>4067.3</v>
      </c>
      <c r="BA19" s="35">
        <f t="shared" si="16"/>
        <v>4067.3</v>
      </c>
      <c r="BB19" s="35">
        <f t="shared" si="17"/>
        <v>4067.3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t="s">
        <v>3161</v>
      </c>
      <c r="C20" s="1272" t="s">
        <v>3154</v>
      </c>
      <c r="D20" s="2208" t="s">
        <v>3093</v>
      </c>
      <c r="E20" s="35">
        <f t="shared" si="7"/>
        <v>1888.81</v>
      </c>
      <c r="F20" s="36"/>
      <c r="G20" s="37">
        <f t="shared" si="8"/>
        <v>2464.89</v>
      </c>
      <c r="H20" s="38">
        <f t="shared" si="9"/>
        <v>2464.89</v>
      </c>
      <c r="I20" s="2209">
        <v>2464.89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t="str">
        <f t="shared" si="12"/>
        <v>B-10</v>
      </c>
      <c r="AX20" s="1794" t="str">
        <f t="shared" si="13"/>
        <v>商业楼</v>
      </c>
      <c r="AY20" s="42">
        <f t="shared" si="14"/>
        <v>1888.81</v>
      </c>
      <c r="AZ20" s="35">
        <f t="shared" si="15"/>
        <v>2464.89</v>
      </c>
      <c r="BA20" s="35">
        <f t="shared" si="16"/>
        <v>2464.89</v>
      </c>
      <c r="BB20" s="35">
        <f t="shared" si="17"/>
        <v>2464.89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t="s">
        <v>3162</v>
      </c>
      <c r="C21" s="1272" t="s">
        <v>3152</v>
      </c>
      <c r="D21" s="2208" t="s">
        <v>3093</v>
      </c>
      <c r="E21" s="35">
        <f t="shared" si="7"/>
        <v>1187.54</v>
      </c>
      <c r="F21" s="36"/>
      <c r="G21" s="37">
        <f t="shared" si="8"/>
        <v>1549.74</v>
      </c>
      <c r="H21" s="38">
        <f t="shared" si="9"/>
        <v>1549.74</v>
      </c>
      <c r="I21" s="2209">
        <v>1549.74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t="str">
        <f t="shared" si="12"/>
        <v>B-8</v>
      </c>
      <c r="AX21" s="1794" t="str">
        <f t="shared" si="13"/>
        <v>餐饮店</v>
      </c>
      <c r="AY21" s="42">
        <f t="shared" si="14"/>
        <v>1187.54</v>
      </c>
      <c r="AZ21" s="35">
        <f t="shared" si="15"/>
        <v>1549.74</v>
      </c>
      <c r="BA21" s="35">
        <f t="shared" si="16"/>
        <v>1549.74</v>
      </c>
      <c r="BB21" s="35">
        <f t="shared" si="17"/>
        <v>1549.74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t="s">
        <v>3163</v>
      </c>
      <c r="C22" s="1272" t="s">
        <v>3154</v>
      </c>
      <c r="D22" s="2208" t="s">
        <v>3093</v>
      </c>
      <c r="E22" s="35">
        <f t="shared" si="7"/>
        <v>1490.28</v>
      </c>
      <c r="F22" s="36"/>
      <c r="G22" s="37">
        <f t="shared" si="8"/>
        <v>1944.82</v>
      </c>
      <c r="H22" s="38">
        <f t="shared" si="9"/>
        <v>1944.82</v>
      </c>
      <c r="I22" s="2209">
        <v>1944.82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t="str">
        <f t="shared" si="12"/>
        <v>B-9</v>
      </c>
      <c r="AX22" s="1794" t="str">
        <f t="shared" si="13"/>
        <v>商业楼</v>
      </c>
      <c r="AY22" s="42">
        <f t="shared" si="14"/>
        <v>1490.28</v>
      </c>
      <c r="AZ22" s="35">
        <f t="shared" si="15"/>
        <v>1944.82</v>
      </c>
      <c r="BA22" s="35">
        <f t="shared" si="16"/>
        <v>1944.82</v>
      </c>
      <c r="BB22" s="35">
        <f t="shared" si="17"/>
        <v>1944.82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t="s">
        <v>3164</v>
      </c>
      <c r="C23" s="1272" t="s">
        <v>3154</v>
      </c>
      <c r="D23" s="2208" t="s">
        <v>3093</v>
      </c>
      <c r="E23" s="35">
        <f t="shared" si="7"/>
        <v>5793.07</v>
      </c>
      <c r="F23" s="36"/>
      <c r="G23" s="37">
        <f t="shared" si="8"/>
        <v>7559.95</v>
      </c>
      <c r="H23" s="38">
        <f t="shared" si="9"/>
        <v>7559.95</v>
      </c>
      <c r="I23" s="2209">
        <v>7559.95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t="str">
        <f t="shared" si="12"/>
        <v>B-11</v>
      </c>
      <c r="AX23" s="1794" t="str">
        <f t="shared" si="13"/>
        <v>商业楼</v>
      </c>
      <c r="AY23" s="42">
        <f t="shared" si="14"/>
        <v>5793.07</v>
      </c>
      <c r="AZ23" s="35">
        <f t="shared" si="15"/>
        <v>7559.95</v>
      </c>
      <c r="BA23" s="35">
        <f t="shared" si="16"/>
        <v>7559.95</v>
      </c>
      <c r="BB23" s="35">
        <f t="shared" si="17"/>
        <v>7559.95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t="s">
        <v>3165</v>
      </c>
      <c r="C24" s="1272" t="s">
        <v>3152</v>
      </c>
      <c r="D24" s="2208" t="s">
        <v>3093</v>
      </c>
      <c r="E24" s="35">
        <f t="shared" si="7"/>
        <v>2474.14</v>
      </c>
      <c r="F24" s="36"/>
      <c r="G24" s="37">
        <f t="shared" si="8"/>
        <v>3228.75</v>
      </c>
      <c r="H24" s="38">
        <f t="shared" si="9"/>
        <v>3228.75</v>
      </c>
      <c r="I24" s="2209">
        <v>3228.75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t="str">
        <f t="shared" si="12"/>
        <v>B-12</v>
      </c>
      <c r="AX24" s="1794" t="str">
        <f t="shared" si="13"/>
        <v>餐饮店</v>
      </c>
      <c r="AY24" s="42">
        <f t="shared" si="14"/>
        <v>2474.14</v>
      </c>
      <c r="AZ24" s="35">
        <f t="shared" si="15"/>
        <v>3228.75</v>
      </c>
      <c r="BA24" s="35">
        <f t="shared" si="16"/>
        <v>3228.75</v>
      </c>
      <c r="BB24" s="35">
        <f t="shared" si="17"/>
        <v>3228.75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t="s">
        <v>3166</v>
      </c>
      <c r="C25" s="1272" t="s">
        <v>3154</v>
      </c>
      <c r="D25" s="2208" t="s">
        <v>3093</v>
      </c>
      <c r="E25" s="35">
        <f t="shared" si="7"/>
        <v>6464.86</v>
      </c>
      <c r="F25" s="36"/>
      <c r="G25" s="37">
        <f t="shared" si="8"/>
        <v>8436.64</v>
      </c>
      <c r="H25" s="38">
        <f t="shared" si="9"/>
        <v>8436.64</v>
      </c>
      <c r="I25" s="2209">
        <v>8436.64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t="str">
        <f t="shared" si="12"/>
        <v>B-13</v>
      </c>
      <c r="AX25" s="1794" t="str">
        <f t="shared" si="13"/>
        <v>商业楼</v>
      </c>
      <c r="AY25" s="42">
        <f t="shared" si="14"/>
        <v>6464.86</v>
      </c>
      <c r="AZ25" s="35">
        <f t="shared" si="15"/>
        <v>8436.64</v>
      </c>
      <c r="BA25" s="35">
        <f t="shared" si="16"/>
        <v>8436.64</v>
      </c>
      <c r="BB25" s="35">
        <f t="shared" si="17"/>
        <v>8436.64</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t="s">
        <v>3167</v>
      </c>
      <c r="C26" s="1272" t="s">
        <v>3154</v>
      </c>
      <c r="D26" s="2208" t="s">
        <v>3093</v>
      </c>
      <c r="E26" s="35">
        <f t="shared" si="7"/>
        <v>3456.24</v>
      </c>
      <c r="F26" s="36"/>
      <c r="G26" s="37">
        <f t="shared" si="8"/>
        <v>4510.3900000000003</v>
      </c>
      <c r="H26" s="38">
        <f t="shared" si="9"/>
        <v>4510.3900000000003</v>
      </c>
      <c r="I26" s="2209">
        <v>4510.3900000000003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t="str">
        <f t="shared" si="12"/>
        <v>B-14</v>
      </c>
      <c r="AX26" s="1794" t="str">
        <f t="shared" si="13"/>
        <v>商业楼</v>
      </c>
      <c r="AY26" s="42">
        <f t="shared" si="14"/>
        <v>3456.24</v>
      </c>
      <c r="AZ26" s="35">
        <f t="shared" si="15"/>
        <v>4510.3900000000003</v>
      </c>
      <c r="BA26" s="35">
        <f t="shared" si="16"/>
        <v>4510.3900000000003</v>
      </c>
      <c r="BB26" s="35">
        <f t="shared" si="17"/>
        <v>4510.3900000000003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t="s">
        <v>3168</v>
      </c>
      <c r="C27" s="1272" t="s">
        <v>3152</v>
      </c>
      <c r="D27" s="2208" t="s">
        <v>3093</v>
      </c>
      <c r="E27" s="35">
        <f t="shared" si="7"/>
        <v>2013.89</v>
      </c>
      <c r="F27" s="36"/>
      <c r="G27" s="37">
        <f t="shared" si="8"/>
        <v>2628.13</v>
      </c>
      <c r="H27" s="38">
        <f t="shared" si="9"/>
        <v>2628.13</v>
      </c>
      <c r="I27" s="2209">
        <v>2628.13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t="str">
        <f t="shared" si="12"/>
        <v>B-15</v>
      </c>
      <c r="AX27" s="1794" t="str">
        <f t="shared" si="13"/>
        <v>餐饮店</v>
      </c>
      <c r="AY27" s="42">
        <f t="shared" si="14"/>
        <v>2013.89</v>
      </c>
      <c r="AZ27" s="35">
        <f t="shared" si="15"/>
        <v>2628.13</v>
      </c>
      <c r="BA27" s="35">
        <f t="shared" si="16"/>
        <v>2628.13</v>
      </c>
      <c r="BB27" s="35">
        <f t="shared" si="17"/>
        <v>2628.13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3169</v>
      </c>
      <c r="C28" s="1272" t="s">
        <v>3154</v>
      </c>
      <c r="D28" s="2208" t="s">
        <v>3093</v>
      </c>
      <c r="E28" s="35">
        <f t="shared" si="7"/>
        <v>4697.82</v>
      </c>
      <c r="F28" s="36"/>
      <c r="G28" s="37">
        <f t="shared" si="8"/>
        <v>6130.65</v>
      </c>
      <c r="H28" s="38">
        <f t="shared" si="9"/>
        <v>6130.65</v>
      </c>
      <c r="I28" s="2209">
        <v>6130.65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t="str">
        <f t="shared" si="12"/>
        <v>B-16</v>
      </c>
      <c r="AX28" s="1794" t="str">
        <f t="shared" si="13"/>
        <v>商业楼</v>
      </c>
      <c r="AY28" s="42">
        <f t="shared" si="14"/>
        <v>4697.82</v>
      </c>
      <c r="AZ28" s="35">
        <f t="shared" si="15"/>
        <v>6130.65</v>
      </c>
      <c r="BA28" s="35">
        <f t="shared" si="16"/>
        <v>6130.65</v>
      </c>
      <c r="BB28" s="35">
        <f t="shared" si="17"/>
        <v>6130.65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3170</v>
      </c>
      <c r="C29" s="1272" t="s">
        <v>3154</v>
      </c>
      <c r="D29" s="2208" t="s">
        <v>3093</v>
      </c>
      <c r="E29" s="35">
        <f t="shared" si="7"/>
        <v>1193.9000000000001</v>
      </c>
      <c r="F29" s="36"/>
      <c r="G29" s="37">
        <f t="shared" si="8"/>
        <v>1558.04</v>
      </c>
      <c r="H29" s="38">
        <f t="shared" si="9"/>
        <v>1558.04</v>
      </c>
      <c r="I29" s="2209">
        <v>1558.04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t="str">
        <f t="shared" si="12"/>
        <v>B-17</v>
      </c>
      <c r="AX29" s="1794" t="str">
        <f t="shared" si="13"/>
        <v>商业楼</v>
      </c>
      <c r="AY29" s="42">
        <f t="shared" si="14"/>
        <v>1193.9000000000001</v>
      </c>
      <c r="AZ29" s="35">
        <f t="shared" si="15"/>
        <v>1558.04</v>
      </c>
      <c r="BA29" s="35">
        <f t="shared" si="16"/>
        <v>1558.04</v>
      </c>
      <c r="BB29" s="35">
        <f t="shared" si="17"/>
        <v>1558.04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t="s">
        <v>3171</v>
      </c>
      <c r="C30" s="1272" t="s">
        <v>3154</v>
      </c>
      <c r="D30" s="2208" t="s">
        <v>3093</v>
      </c>
      <c r="E30" s="35">
        <f t="shared" si="7"/>
        <v>24433</v>
      </c>
      <c r="F30" s="36"/>
      <c r="G30" s="37">
        <f t="shared" si="8"/>
        <v>31885.040000000001</v>
      </c>
      <c r="H30" s="38">
        <f t="shared" si="9"/>
        <v>31885.040000000001</v>
      </c>
      <c r="I30" s="2209">
        <v>31885.040000000001</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t="str">
        <f t="shared" si="12"/>
        <v>B-18</v>
      </c>
      <c r="AX30" s="1794" t="str">
        <f t="shared" si="13"/>
        <v>商业楼</v>
      </c>
      <c r="AY30" s="42">
        <f t="shared" si="14"/>
        <v>24433</v>
      </c>
      <c r="AZ30" s="35">
        <f t="shared" si="15"/>
        <v>31885.040000000001</v>
      </c>
      <c r="BA30" s="35">
        <f t="shared" si="16"/>
        <v>31885.040000000001</v>
      </c>
      <c r="BB30" s="35">
        <f t="shared" si="17"/>
        <v>31885.040000000001</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2" t="s">
        <v>48</v>
      </c>
      <c r="D31" s="2208" t="s">
        <v>3093</v>
      </c>
      <c r="E31" s="35">
        <f t="shared" si="7"/>
        <v>1731.58</v>
      </c>
      <c r="F31" s="36"/>
      <c r="G31" s="37">
        <f t="shared" si="8"/>
        <v>2259.71</v>
      </c>
      <c r="H31" s="38">
        <f t="shared" si="9"/>
        <v>2259.71</v>
      </c>
      <c r="I31" s="2209"/>
      <c r="J31" s="39"/>
      <c r="K31" s="39"/>
      <c r="L31" s="39"/>
      <c r="M31" s="39">
        <v>2259.71</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t="str">
        <f t="shared" si="13"/>
        <v>地下车库</v>
      </c>
      <c r="AY31" s="42">
        <f t="shared" si="14"/>
        <v>1731.58</v>
      </c>
      <c r="AZ31" s="35">
        <f t="shared" si="15"/>
        <v>2259.71</v>
      </c>
      <c r="BA31" s="35">
        <f t="shared" si="16"/>
        <v>2259.71</v>
      </c>
      <c r="BB31" s="35">
        <f t="shared" si="17"/>
        <v>0</v>
      </c>
      <c r="BC31" s="35">
        <f t="shared" si="18"/>
        <v>0</v>
      </c>
      <c r="BD31" s="35">
        <f t="shared" si="19"/>
        <v>2259.71</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2"/>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C1" zoomScale="90" zoomScaleNormal="100" zoomScaleSheetLayoutView="90" workbookViewId="0">
      <selection activeCell="H39" sqref="H3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2"/>
      <c r="C1" s="1392"/>
      <c r="D1" s="1392"/>
      <c r="E1" s="1392"/>
      <c r="F1" s="1392"/>
      <c r="G1" s="1392"/>
      <c r="H1" s="1392"/>
      <c r="I1" s="1392"/>
      <c r="J1" s="1392"/>
      <c r="K1" s="1392"/>
      <c r="L1" s="1392"/>
      <c r="M1" s="1392"/>
      <c r="N1" s="1392"/>
      <c r="O1" s="1392"/>
      <c r="P1" s="1392"/>
    </row>
    <row r="2" spans="1:16" ht="15">
      <c r="A2" s="3063" t="s">
        <v>1935</v>
      </c>
      <c r="B2" s="3063"/>
      <c r="C2" s="3063"/>
      <c r="D2" s="967" t="s">
        <v>1911</v>
      </c>
      <c r="E2" s="2222" t="s">
        <v>1912</v>
      </c>
      <c r="F2" s="1392"/>
      <c r="G2" s="2223"/>
      <c r="H2" s="2224"/>
      <c r="I2" s="2225" t="s">
        <v>1936</v>
      </c>
      <c r="J2" s="1392"/>
      <c r="K2" s="1392"/>
      <c r="L2" s="1392"/>
      <c r="M2" s="1392"/>
      <c r="N2" s="1427"/>
      <c r="O2" s="1392"/>
      <c r="P2" s="1392"/>
    </row>
    <row r="3" spans="1:16" ht="15.75" thickBot="1">
      <c r="A3" s="3064" t="s">
        <v>1909</v>
      </c>
      <c r="B3" s="3064"/>
      <c r="C3" s="3064"/>
      <c r="D3" s="46">
        <f>'数据-基础表'!AY6</f>
        <v>84185</v>
      </c>
      <c r="E3" s="46">
        <f>'数据-基础表'!AZ5</f>
        <v>109861.36</v>
      </c>
      <c r="F3" s="1392"/>
      <c r="G3" s="1399"/>
      <c r="H3" s="1247" t="s">
        <v>1910</v>
      </c>
      <c r="I3" s="55">
        <f>ROUND('数据-基础表'!B3/'数据-基础表'!A3,2)</f>
        <v>1.3</v>
      </c>
      <c r="J3" s="1392"/>
      <c r="K3" s="1392"/>
      <c r="L3" s="1392"/>
      <c r="M3" s="1392"/>
      <c r="N3" s="1427"/>
      <c r="O3" s="1392"/>
      <c r="P3" s="1392"/>
    </row>
    <row r="4" spans="1:16" ht="15">
      <c r="A4" s="3065"/>
      <c r="B4" s="3066"/>
      <c r="C4" s="3067"/>
      <c r="D4" s="2226" t="s">
        <v>1911</v>
      </c>
      <c r="E4" s="2227" t="s">
        <v>1912</v>
      </c>
      <c r="F4" s="1392"/>
      <c r="G4" s="2228" t="s">
        <v>1937</v>
      </c>
      <c r="H4" s="1247" t="s">
        <v>1917</v>
      </c>
      <c r="I4" s="55">
        <f>ROUND(SUMIF('数据-基础表'!I9:AS9,"地上",'数据-基础表'!I5:AS5)/'数据-基础表'!A3,2)</f>
        <v>1.26</v>
      </c>
      <c r="J4" s="1392"/>
      <c r="K4" s="1392"/>
      <c r="L4" s="1392"/>
      <c r="M4" s="1392"/>
      <c r="N4" s="1427"/>
      <c r="O4" s="1392"/>
      <c r="P4" s="1392"/>
    </row>
    <row r="5" spans="1:16">
      <c r="A5" s="47" t="s">
        <v>1913</v>
      </c>
      <c r="B5" s="3068" t="s">
        <v>1914</v>
      </c>
      <c r="C5" s="3068"/>
      <c r="D5" s="48">
        <f>ROUND($D$3*E5/$E$3,2)</f>
        <v>0</v>
      </c>
      <c r="E5" s="49">
        <f>SUMIF('数据-基础表'!$11:$11,"住宅",'数据-基础表'!$5:$5)</f>
        <v>0</v>
      </c>
      <c r="F5" s="1392"/>
      <c r="G5" s="1399"/>
      <c r="H5" s="1247" t="s">
        <v>1910</v>
      </c>
      <c r="I5" s="55">
        <f>ROUND(E31/D31,2)</f>
        <v>1.3</v>
      </c>
      <c r="J5" s="1392"/>
      <c r="K5" s="1392"/>
      <c r="L5" s="1392"/>
      <c r="M5" s="1392"/>
      <c r="N5" s="1392"/>
      <c r="O5" s="1392"/>
      <c r="P5" s="1392"/>
    </row>
    <row r="6" spans="1:16" ht="15" thickBot="1">
      <c r="A6" s="2229"/>
      <c r="B6" s="3068" t="s">
        <v>1915</v>
      </c>
      <c r="C6" s="3068"/>
      <c r="D6" s="48">
        <f>ROUND($D$3*E6/$E$3,2)</f>
        <v>84185</v>
      </c>
      <c r="E6" s="49">
        <f>E3-E5</f>
        <v>109861.36</v>
      </c>
      <c r="F6" s="1392"/>
      <c r="G6" s="2230" t="s">
        <v>1916</v>
      </c>
      <c r="H6" s="1399" t="s">
        <v>1917</v>
      </c>
      <c r="I6" s="939">
        <f>ROUND(F31/D31,2)</f>
        <v>1.26</v>
      </c>
      <c r="J6" s="1392"/>
      <c r="K6" s="1392"/>
      <c r="L6" s="1392"/>
      <c r="M6" s="1392"/>
      <c r="N6" s="1392"/>
      <c r="O6" s="1392"/>
      <c r="P6" s="1392"/>
    </row>
    <row r="7" spans="1:16" ht="15">
      <c r="A7" s="3060"/>
      <c r="B7" s="3061"/>
      <c r="C7" s="3062"/>
      <c r="D7" s="2226" t="s">
        <v>1911</v>
      </c>
      <c r="E7" s="2231" t="s">
        <v>1918</v>
      </c>
      <c r="F7" s="1392"/>
      <c r="G7" s="2223" t="s">
        <v>1919</v>
      </c>
      <c r="H7" s="64"/>
      <c r="I7" s="420">
        <v>2</v>
      </c>
      <c r="J7" s="1392"/>
      <c r="K7" s="1392"/>
      <c r="L7" s="1392"/>
      <c r="M7" s="1392"/>
      <c r="N7" s="1392"/>
      <c r="O7" s="1392"/>
      <c r="P7" s="1392"/>
    </row>
    <row r="8" spans="1:16">
      <c r="A8" s="47" t="s">
        <v>1920</v>
      </c>
      <c r="B8" s="50" t="s">
        <v>1921</v>
      </c>
      <c r="C8" s="48" t="s">
        <v>1922</v>
      </c>
      <c r="D8" s="48">
        <f t="shared" ref="D8:D15" si="0">ROUND($D$3*E8/$E$3,2)</f>
        <v>81549.850000000006</v>
      </c>
      <c r="E8" s="51">
        <f>SUMIF('数据-基础表'!BB10:BK10,"地上",'数据-基础表'!BB5:BK5)</f>
        <v>106422.48999999999</v>
      </c>
      <c r="F8" s="1392"/>
      <c r="G8" s="2232"/>
      <c r="H8" s="2232"/>
      <c r="I8" s="1392"/>
      <c r="J8" s="1392"/>
      <c r="K8" s="1392"/>
      <c r="L8" s="1392"/>
      <c r="M8" s="1392"/>
      <c r="N8" s="1392"/>
      <c r="O8" s="1392"/>
      <c r="P8" s="1392"/>
    </row>
    <row r="9" spans="1:16">
      <c r="A9" s="2233"/>
      <c r="B9" s="2234"/>
      <c r="C9" s="48" t="s">
        <v>1923</v>
      </c>
      <c r="D9" s="48">
        <f t="shared" si="0"/>
        <v>0</v>
      </c>
      <c r="E9" s="52">
        <v>0</v>
      </c>
      <c r="F9" s="1392"/>
      <c r="G9" s="2232"/>
      <c r="H9" s="2232"/>
      <c r="I9" s="1392"/>
      <c r="J9" s="1392"/>
      <c r="K9" s="1392"/>
      <c r="L9" s="1392"/>
      <c r="M9" s="1392"/>
      <c r="N9" s="1392"/>
      <c r="O9" s="1392"/>
      <c r="P9" s="1392"/>
    </row>
    <row r="10" spans="1:16">
      <c r="A10" s="2233"/>
      <c r="B10" s="2234"/>
      <c r="C10" s="48" t="s">
        <v>1932</v>
      </c>
      <c r="D10" s="48">
        <f t="shared" si="0"/>
        <v>903.57</v>
      </c>
      <c r="E10" s="51">
        <f>SUMPRODUCT(('数据-基础表'!BB10:BK10="地下")*('数据-基础表'!BB11:BK11="商业")*('数据-基础表'!BB5:BK5))</f>
        <v>1179.1600000000001</v>
      </c>
      <c r="F10" s="1392"/>
      <c r="G10" s="2232"/>
      <c r="H10" s="2232"/>
      <c r="I10" s="1392"/>
      <c r="J10" s="1392"/>
      <c r="K10" s="1392"/>
      <c r="L10" s="1392"/>
      <c r="M10" s="1392"/>
      <c r="N10" s="1392"/>
      <c r="O10" s="1392"/>
      <c r="P10" s="1392"/>
    </row>
    <row r="11" spans="1:16">
      <c r="A11" s="2233"/>
      <c r="B11" s="2234"/>
      <c r="C11" s="48" t="s">
        <v>1924</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1925</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1926</v>
      </c>
      <c r="D13" s="48">
        <f t="shared" si="0"/>
        <v>1731.58</v>
      </c>
      <c r="E13" s="51">
        <f>SUMPRODUCT(('数据-基础表'!BB10:BK10="地下")*('数据-基础表'!BB11:BK11="车库")*('数据-基础表'!BB5:BK5))</f>
        <v>2259.71</v>
      </c>
      <c r="F13" s="1392"/>
      <c r="G13" s="2232"/>
      <c r="H13" s="2232"/>
      <c r="I13" s="1392"/>
      <c r="J13" s="1392"/>
      <c r="K13" s="1392"/>
      <c r="L13" s="1392"/>
      <c r="M13" s="1392"/>
      <c r="N13" s="1392"/>
      <c r="O13" s="1392"/>
      <c r="P13" s="1392"/>
    </row>
    <row r="14" spans="1:16">
      <c r="A14" s="2233"/>
      <c r="B14" s="2234"/>
      <c r="C14" s="48" t="s">
        <v>1938</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1933</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1927</v>
      </c>
      <c r="D16" s="50">
        <f>SUM(D8:D15)</f>
        <v>84185.000000000015</v>
      </c>
      <c r="E16" s="53">
        <f>SUM(E8:E15)</f>
        <v>109861.36</v>
      </c>
      <c r="F16" s="1392"/>
      <c r="G16" s="2232"/>
      <c r="H16" s="2235" t="s">
        <v>1939</v>
      </c>
      <c r="I16" s="2236"/>
      <c r="J16" s="1392"/>
      <c r="K16" s="3057" t="s">
        <v>1939</v>
      </c>
      <c r="L16" s="3058"/>
      <c r="M16" s="3058"/>
      <c r="N16" s="3058"/>
      <c r="O16" s="3058"/>
      <c r="P16" s="3059"/>
    </row>
    <row r="17" spans="1:19" ht="15">
      <c r="A17" s="2237" t="s">
        <v>1940</v>
      </c>
      <c r="B17" s="2238" t="s">
        <v>1941</v>
      </c>
      <c r="C17" s="2239" t="s">
        <v>1942</v>
      </c>
      <c r="D17" s="2240" t="s">
        <v>1930</v>
      </c>
      <c r="E17" s="2241" t="s">
        <v>1931</v>
      </c>
      <c r="F17" s="2242"/>
      <c r="G17" s="2243"/>
      <c r="H17" s="2244" t="s">
        <v>1943</v>
      </c>
      <c r="I17" s="2245" t="s">
        <v>1928</v>
      </c>
      <c r="J17" s="1392"/>
      <c r="K17" s="3054" t="s">
        <v>1944</v>
      </c>
      <c r="L17" s="3055"/>
      <c r="M17" s="3056"/>
      <c r="N17" s="3054" t="s">
        <v>1945</v>
      </c>
      <c r="O17" s="3055"/>
      <c r="P17" s="3056"/>
      <c r="R17" s="2223" t="s">
        <v>1946</v>
      </c>
      <c r="S17" s="64"/>
    </row>
    <row r="18" spans="1:19" ht="15">
      <c r="A18" s="2233"/>
      <c r="B18" s="2246"/>
      <c r="C18" s="2247"/>
      <c r="D18" s="2248"/>
      <c r="E18" s="2249" t="s">
        <v>1947</v>
      </c>
      <c r="F18" s="2250" t="s">
        <v>1948</v>
      </c>
      <c r="G18" s="2251" t="s">
        <v>1949</v>
      </c>
      <c r="H18" s="1262" t="s">
        <v>1950</v>
      </c>
      <c r="I18" s="2252" t="s">
        <v>1951</v>
      </c>
      <c r="J18" s="1392"/>
      <c r="K18" s="1262" t="s">
        <v>1952</v>
      </c>
      <c r="L18" s="2253" t="s">
        <v>1953</v>
      </c>
      <c r="M18" s="1046" t="s">
        <v>1954</v>
      </c>
      <c r="N18" s="1262" t="s">
        <v>1952</v>
      </c>
      <c r="O18" s="2253" t="s">
        <v>1953</v>
      </c>
      <c r="P18" s="1046" t="s">
        <v>1954</v>
      </c>
      <c r="R18" s="1247" t="s">
        <v>1955</v>
      </c>
      <c r="S18" s="1247" t="s">
        <v>1956</v>
      </c>
    </row>
    <row r="19" spans="1:19">
      <c r="A19" s="2254"/>
      <c r="B19" s="50" t="s">
        <v>1929</v>
      </c>
      <c r="C19" s="2947" t="s">
        <v>3098</v>
      </c>
      <c r="D19" s="48">
        <f>ROUND($D$3*E19/$E$3,2)</f>
        <v>82453.42</v>
      </c>
      <c r="E19" s="56">
        <f t="shared" ref="E19:E26" si="1">SUM(F19:G19)</f>
        <v>107601.65</v>
      </c>
      <c r="F19" s="57">
        <f>'数据-基础表'!I5</f>
        <v>106422.48999999999</v>
      </c>
      <c r="G19" s="58">
        <f>'数据-基础表'!K5</f>
        <v>1179.1600000000001</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82453.42</v>
      </c>
      <c r="S19" s="1248">
        <f t="shared" si="5"/>
        <v>107601.65</v>
      </c>
    </row>
    <row r="20" spans="1:19">
      <c r="A20" s="2258"/>
      <c r="B20" s="50" t="s">
        <v>1957</v>
      </c>
      <c r="C20" s="2947" t="s">
        <v>3099</v>
      </c>
      <c r="D20" s="48">
        <f t="shared" ref="D20:D26" si="6">ROUND($D$3*E20/$E$3,2)</f>
        <v>1731.58</v>
      </c>
      <c r="E20" s="56">
        <f t="shared" si="1"/>
        <v>2259.71</v>
      </c>
      <c r="F20" s="57"/>
      <c r="G20" s="58">
        <f>'数据-基础表'!M5</f>
        <v>2259.71</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1731.58</v>
      </c>
      <c r="S20" s="1248">
        <f t="shared" si="5"/>
        <v>2259.71</v>
      </c>
    </row>
    <row r="21" spans="1:19">
      <c r="A21" s="2258"/>
      <c r="B21" s="50" t="s">
        <v>1957</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1958</v>
      </c>
      <c r="D27" s="1393">
        <f>SUM(D19:D26)</f>
        <v>84185</v>
      </c>
      <c r="E27" s="1394">
        <f>IF(SUM(E19:E26)='数据-基础表'!BA5,SUM(E19:E26),IF(F27="地上面积有误","面积有误","地下面积有误"))</f>
        <v>109861.36</v>
      </c>
      <c r="F27" s="1393">
        <f>IF(SUM(F19:F26)=E8,SUM(F19:F26),"地上面积有误")</f>
        <v>106422.48999999999</v>
      </c>
      <c r="G27" s="1395">
        <f>SUM(G19:G26)</f>
        <v>3438.87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84185</v>
      </c>
      <c r="S27" s="1247">
        <f>IF(SUM(S19:S26)=$E$3,SUM(S19:S26),SUM(S19:S26)&amp;"误差"&amp;ROUND(SUM(S19:S26)-E3,2))</f>
        <v>109861.36</v>
      </c>
    </row>
    <row r="28" spans="1:19">
      <c r="A28" s="2258"/>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1959</v>
      </c>
      <c r="C29" s="2262"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1962</v>
      </c>
      <c r="D31" s="729">
        <f>D27+D30</f>
        <v>84185</v>
      </c>
      <c r="E31" s="729">
        <f>E27+E30</f>
        <v>109861.36</v>
      </c>
      <c r="F31" s="730">
        <f>F27+F30</f>
        <v>106422.48999999999</v>
      </c>
      <c r="G31" s="731">
        <f>G27+G30</f>
        <v>3438.87</v>
      </c>
      <c r="H31" s="1392"/>
      <c r="I31" s="1392"/>
      <c r="J31" s="1392"/>
      <c r="K31" s="1392"/>
      <c r="L31" s="1392"/>
      <c r="M31" s="1392"/>
      <c r="N31" s="1392"/>
      <c r="O31" s="1392"/>
      <c r="P31" s="1392"/>
    </row>
    <row r="32" spans="1:19">
      <c r="A32" s="2228"/>
      <c r="B32" s="2228" t="s">
        <v>1963</v>
      </c>
      <c r="C32" s="2228"/>
      <c r="D32" s="2228"/>
      <c r="E32" s="1274">
        <f>SUMIF(C19:C26,"*住宅*",E19:E26)</f>
        <v>0</v>
      </c>
      <c r="F32" s="2228"/>
      <c r="G32" s="2228"/>
      <c r="H32" s="1392"/>
      <c r="I32" s="1392"/>
      <c r="J32" s="1392"/>
      <c r="K32" s="1392"/>
      <c r="L32" s="1392"/>
      <c r="M32" s="1392"/>
      <c r="N32" s="1392"/>
      <c r="O32" s="1392"/>
      <c r="P32" s="1392"/>
    </row>
    <row r="33" spans="4:8">
      <c r="D33" s="2266"/>
      <c r="H33" s="2221">
        <v>94792300</v>
      </c>
    </row>
    <row r="34" spans="4:8">
      <c r="H34" s="2221">
        <f>H33/E3</f>
        <v>862.83566851894057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4" sqref="K34"/>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1965</v>
      </c>
      <c r="B2" s="1266">
        <f>项目基本情况!D3</f>
        <v>43630</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1972</v>
      </c>
      <c r="B5" s="2285" t="s">
        <v>1973</v>
      </c>
      <c r="C5" s="2286" t="s">
        <v>1974</v>
      </c>
      <c r="D5" s="2287" t="s">
        <v>1975</v>
      </c>
      <c r="E5" s="1268" t="s">
        <v>1976</v>
      </c>
      <c r="F5" s="2288" t="s">
        <v>1977</v>
      </c>
      <c r="G5" s="1268" t="s">
        <v>1978</v>
      </c>
      <c r="H5" s="1268" t="s">
        <v>1979</v>
      </c>
      <c r="I5" s="1268" t="s">
        <v>1980</v>
      </c>
      <c r="J5" s="2289" t="s">
        <v>1981</v>
      </c>
      <c r="K5" s="2290" t="s">
        <v>1982</v>
      </c>
      <c r="L5" s="2291" t="s">
        <v>1983</v>
      </c>
      <c r="M5" s="2292" t="s">
        <v>1984</v>
      </c>
      <c r="N5" s="2293" t="s">
        <v>1985</v>
      </c>
      <c r="O5" s="2291" t="s">
        <v>1986</v>
      </c>
      <c r="P5" s="2294" t="s">
        <v>1987</v>
      </c>
      <c r="Q5" s="69" t="s">
        <v>1988</v>
      </c>
      <c r="R5" s="2295" t="s">
        <v>1989</v>
      </c>
      <c r="S5" s="2296" t="s">
        <v>1990</v>
      </c>
      <c r="T5" s="2297" t="s">
        <v>1991</v>
      </c>
      <c r="U5" s="1267" t="s">
        <v>1992</v>
      </c>
      <c r="V5" s="1268" t="s">
        <v>1993</v>
      </c>
      <c r="W5" s="1268" t="s">
        <v>1994</v>
      </c>
      <c r="X5" s="71"/>
      <c r="Y5" s="70" t="s">
        <v>1995</v>
      </c>
      <c r="Z5" s="2298" t="s">
        <v>1992</v>
      </c>
      <c r="AA5" s="1268" t="s">
        <v>1993</v>
      </c>
      <c r="AB5" s="1268" t="s">
        <v>1994</v>
      </c>
      <c r="AC5" s="71"/>
      <c r="AD5" s="71" t="s">
        <v>1995</v>
      </c>
      <c r="AE5" s="1267" t="s">
        <v>1996</v>
      </c>
      <c r="AF5" s="1268" t="s">
        <v>1997</v>
      </c>
      <c r="AG5" s="70" t="s">
        <v>1998</v>
      </c>
      <c r="AH5" s="1267" t="s">
        <v>1999</v>
      </c>
      <c r="AI5" s="2298" t="s">
        <v>2000</v>
      </c>
      <c r="AJ5" s="2298" t="s">
        <v>2001</v>
      </c>
      <c r="AK5" s="1268" t="s">
        <v>2002</v>
      </c>
      <c r="AL5" s="1268" t="s">
        <v>2003</v>
      </c>
      <c r="AM5" s="70" t="s">
        <v>2004</v>
      </c>
      <c r="AN5" s="2299" t="s">
        <v>2005</v>
      </c>
      <c r="AO5" s="2069" t="s">
        <v>2006</v>
      </c>
      <c r="AP5" s="1249" t="s">
        <v>2007</v>
      </c>
      <c r="AQ5" s="2300" t="s">
        <v>2008</v>
      </c>
      <c r="AR5" s="2300"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商业</v>
      </c>
      <c r="B6" s="2302" t="str">
        <f>IF(A6=0,"","经营性")</f>
        <v>经营性</v>
      </c>
      <c r="C6" s="2303" t="s">
        <v>1373</v>
      </c>
      <c r="D6" s="1051">
        <f>SUMIF(项目基本情况!D$12:I$12,C6,项目基本情况!D$14:I$14)</f>
        <v>40</v>
      </c>
      <c r="E6" s="1048">
        <f>IF(B6="","",SUMIF(项目基本情况!D$12:I$12,C6,项目基本情况!D$13:I$13))</f>
        <v>56256</v>
      </c>
      <c r="F6" s="72">
        <f>SUMIF(项目基本情况!D$12:I$12,C6,项目基本情况!D$15:I$15)</f>
        <v>34.590000000000003</v>
      </c>
      <c r="G6" s="73">
        <f>IF(ISERROR(ROUND(POWER(1+H6,D6-F6)*(POWER(1+H6,F6)-1)/(POWER(1+H6,D6)-1),3)),0,ROUND(POWER(1+H6,D6-F6)*(POWER(1+H6,F6)-1)/(POWER(1+H6,D6)-1),3))</f>
        <v>0.95</v>
      </c>
      <c r="H6" s="802">
        <v>0.05</v>
      </c>
      <c r="I6" s="802">
        <v>0.06</v>
      </c>
      <c r="J6" s="74">
        <v>8.5000000000000006E-2</v>
      </c>
      <c r="K6" s="1251">
        <f>SUMIF('数据-汇总表'!C$19:C$33,A6,'数据-汇总表'!E$19:E$33)</f>
        <v>107601.65</v>
      </c>
      <c r="L6" s="803">
        <v>2700</v>
      </c>
      <c r="M6" s="75">
        <f t="shared" ref="M6:M14" si="0">ROUND(K6*L6/10000,0)</f>
        <v>29052</v>
      </c>
      <c r="N6" s="801">
        <f>面积表!L22</f>
        <v>0.28999999999999998</v>
      </c>
      <c r="O6" s="75">
        <f>IF($N$5="成新度","——",ROUND(M6*N6,0))</f>
        <v>8425</v>
      </c>
      <c r="P6" s="76">
        <f>IF($N$5="成新度","——",M6-O6)</f>
        <v>20627</v>
      </c>
      <c r="Q6" s="804">
        <v>0.1</v>
      </c>
      <c r="R6" s="77">
        <f ca="1">SUMIF('数据-汇总表'!C$19:C$33,A6,'数据-汇总表'!R$19:R$27)</f>
        <v>82453.42</v>
      </c>
      <c r="S6" s="54">
        <f>IF('数据-汇总表'!$I$17="按面积比例",SUMIF('数据-汇总表'!C$19:C$33,A6,'数据-汇总表'!K$19:K$33),SUMIF('数据-汇总表'!C$19:C$33,A6,'数据-汇总表'!N$19:N$33))</f>
        <v>0</v>
      </c>
      <c r="T6" s="1443">
        <f>ROUND($L$14*S6/10000,0)</f>
        <v>0</v>
      </c>
      <c r="U6" s="2970">
        <f>V27</f>
        <v>1.4</v>
      </c>
      <c r="V6" s="79">
        <v>0.03</v>
      </c>
      <c r="W6" s="79">
        <v>0.1</v>
      </c>
      <c r="X6" s="1261"/>
      <c r="Y6" s="80">
        <v>1</v>
      </c>
      <c r="Z6" s="81"/>
      <c r="AA6" s="74"/>
      <c r="AB6" s="74"/>
      <c r="AC6" s="1261"/>
      <c r="AD6" s="82"/>
      <c r="AE6" s="1262">
        <f ca="1">IF(AN6="",0,SUMIF(INDIRECT("'"&amp;AN6&amp;"'"&amp;"!E:E"),$AE$5,INDIRECT("'"&amp;AN6&amp;"'"&amp;"!F:F")))</f>
        <v>33.39</v>
      </c>
      <c r="AF6" s="1803"/>
      <c r="AG6" s="147">
        <f>IF(AF6="",0,AE6-AF6)</f>
        <v>0</v>
      </c>
      <c r="AH6" s="83"/>
      <c r="AI6" s="85">
        <v>365</v>
      </c>
      <c r="AJ6" s="86"/>
      <c r="AK6" s="87">
        <v>1.4999999999999999E-2</v>
      </c>
      <c r="AL6" s="88">
        <v>1.5E-3</v>
      </c>
      <c r="AM6" s="89">
        <v>0.01</v>
      </c>
      <c r="AN6" s="2304" t="s">
        <v>3173</v>
      </c>
      <c r="AO6" s="55">
        <f ca="1">SUMIF(INDIRECT("'"&amp;AN6&amp;"'"&amp;"!A:A"),"总价",INDIRECT("'"&amp;AN6&amp;"'"&amp;"!B:B"))</f>
        <v>67742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v>
      </c>
      <c r="B7" s="2302" t="str">
        <f t="shared" ref="B7:B13" si="1">IF(A7=0,"","经营性")</f>
        <v>经营性</v>
      </c>
      <c r="C7" s="2303" t="s">
        <v>3112</v>
      </c>
      <c r="D7" s="1051">
        <f>SUMIF(项目基本情况!D$12:I$12,C7,项目基本情况!D$14:I$14)</f>
        <v>40</v>
      </c>
      <c r="E7" s="1048">
        <f>IF(B7="","",SUMIF(项目基本情况!D$12:I$12,C7,项目基本情况!D$13:I$13))</f>
        <v>56256</v>
      </c>
      <c r="F7" s="72">
        <f>SUMIF(项目基本情况!D$12:I$12,C7,项目基本情况!D$15:I$15)</f>
        <v>34.590000000000003</v>
      </c>
      <c r="G7" s="73">
        <f t="shared" ref="G7:G11" si="2">IF(ISERROR(ROUND(POWER(1+H7,D7-F7)*(POWER(1+H7,F7)-1)/(POWER(1+H7,D7)-1),3)),0,ROUND(POWER(1+H7,D7-F7)*(POWER(1+H7,F7)-1)/(POWER(1+H7,D7)-1),3))</f>
        <v>0.94399999999999995</v>
      </c>
      <c r="H7" s="802">
        <v>4.4999999999999998E-2</v>
      </c>
      <c r="I7" s="802">
        <v>0.05</v>
      </c>
      <c r="J7" s="74">
        <v>8.5000000000000006E-2</v>
      </c>
      <c r="K7" s="1251">
        <f>SUMIF('数据-汇总表'!C$19:C$33,A7,'数据-汇总表'!E$19:E$33)</f>
        <v>2259.71</v>
      </c>
      <c r="L7" s="803">
        <v>2200</v>
      </c>
      <c r="M7" s="75">
        <f t="shared" si="0"/>
        <v>497</v>
      </c>
      <c r="N7" s="801">
        <f>面积表!K20</f>
        <v>0.6</v>
      </c>
      <c r="O7" s="75">
        <f t="shared" ref="O7:O14" si="3">IF($N$5="成新度","——",ROUND(M7*N7,0))</f>
        <v>298</v>
      </c>
      <c r="P7" s="76">
        <f t="shared" ref="P7:P14" si="4">IF($N$5="成新度","——",M7-O7)</f>
        <v>199</v>
      </c>
      <c r="Q7" s="804">
        <v>0.05</v>
      </c>
      <c r="R7" s="77">
        <f ca="1">SUMIF('数据-汇总表'!C$19:C$33,A7,'数据-汇总表'!R$19:R$27)</f>
        <v>1731.58</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2010</v>
      </c>
      <c r="B14" s="2302" t="s">
        <v>2011</v>
      </c>
      <c r="C14" s="2307"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2012</v>
      </c>
      <c r="B15" s="2302" t="s">
        <v>2011</v>
      </c>
      <c r="C15" s="2307"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2014</v>
      </c>
      <c r="B16" s="97"/>
      <c r="C16" s="1005"/>
      <c r="D16" s="2309"/>
      <c r="E16" s="97"/>
      <c r="F16" s="97"/>
      <c r="G16" s="98">
        <f>ROUND(SUMPRODUCT(G6:G13,K6:K13)/SUMPRODUCT((G6:G13&gt;0)*(K6:K13)),3)</f>
        <v>0.95</v>
      </c>
      <c r="H16" s="99">
        <f>ROUND(SUMPRODUCT(H6:H13,K6:K13)/SUMPRODUCT((H6:H13&gt;0)*(K6:K13)),3)</f>
        <v>0.05</v>
      </c>
      <c r="I16" s="100"/>
      <c r="J16" s="100"/>
      <c r="K16" s="101">
        <f>SUM(K6:K15)</f>
        <v>109861.36</v>
      </c>
      <c r="L16" s="102">
        <f>ROUND(M16*10000/SUM(K6:K14),0)</f>
        <v>2690</v>
      </c>
      <c r="M16" s="102">
        <f>SUM(M6:M14)</f>
        <v>29549</v>
      </c>
      <c r="N16" s="103">
        <f>ROUND(SUMPRODUCT(M6:M14,N6:N14)/M16,3)</f>
        <v>0.29499999999999998</v>
      </c>
      <c r="O16" s="102">
        <f>SUM(O6:O14)</f>
        <v>8723</v>
      </c>
      <c r="P16" s="102">
        <f>SUM(P6:P14)</f>
        <v>20826</v>
      </c>
      <c r="Q16" s="104">
        <f>ROUND(SUMPRODUCT(Q6:Q13,K6:K13)/SUMPRODUCT((Q6:Q13&gt;0)*(K6:K13)),2)</f>
        <v>0.1</v>
      </c>
      <c r="R16" s="1255">
        <f ca="1">SUM(R6:R13)</f>
        <v>84185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2977" t="s">
        <v>3304</v>
      </c>
      <c r="V17" s="1580">
        <v>2</v>
      </c>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5"/>
      <c r="C18" s="2272"/>
      <c r="D18" s="2273"/>
      <c r="E18" s="2272"/>
      <c r="F18" s="2272"/>
      <c r="G18" s="2272"/>
      <c r="H18" s="2272"/>
      <c r="I18" s="2272"/>
      <c r="J18" s="2272"/>
      <c r="K18" s="168"/>
      <c r="L18" s="168"/>
      <c r="M18" s="1580"/>
      <c r="N18" s="1580"/>
      <c r="O18" s="1580"/>
      <c r="P18" s="1580"/>
      <c r="Q18" s="1580"/>
      <c r="R18" s="1580"/>
      <c r="S18" s="1580">
        <v>-1</v>
      </c>
      <c r="T18" s="1580">
        <v>1179.1600000000001</v>
      </c>
      <c r="U18" s="1580">
        <v>0.5</v>
      </c>
      <c r="V18" s="1580">
        <f>ROUND($V$17*U18,1)</f>
        <v>1</v>
      </c>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2">
        <v>0</v>
      </c>
      <c r="C19" s="2272" t="s">
        <v>2017</v>
      </c>
      <c r="D19" s="2273"/>
      <c r="E19" s="2272"/>
      <c r="F19" s="2272"/>
      <c r="G19" s="2272"/>
      <c r="H19" s="2272"/>
      <c r="I19" s="2272"/>
      <c r="J19" s="2272"/>
      <c r="K19" s="168"/>
      <c r="L19" s="168"/>
      <c r="M19" s="1580"/>
      <c r="N19" s="1580"/>
      <c r="O19" s="1580"/>
      <c r="P19" s="1580"/>
      <c r="Q19" s="1580"/>
      <c r="R19" s="1580"/>
      <c r="S19" s="1580">
        <v>1</v>
      </c>
      <c r="T19" s="1580">
        <v>30051.329999999994</v>
      </c>
      <c r="U19" s="1580">
        <v>1</v>
      </c>
      <c r="V19" s="1580">
        <f t="shared" ref="V19:V26" si="12">ROUND($V$17*U19,1)</f>
        <v>2</v>
      </c>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3">
        <v>2</v>
      </c>
      <c r="C20" s="2272" t="s">
        <v>2019</v>
      </c>
      <c r="D20" s="2273"/>
      <c r="E20" s="2272"/>
      <c r="F20" s="2272"/>
      <c r="G20" s="2272"/>
      <c r="H20" s="2272"/>
      <c r="I20" s="2272"/>
      <c r="J20" s="2272"/>
      <c r="K20" s="168"/>
      <c r="L20" s="168"/>
      <c r="M20" s="1580"/>
      <c r="N20" s="1580"/>
      <c r="O20" s="1580"/>
      <c r="P20" s="1580"/>
      <c r="Q20" s="1580"/>
      <c r="R20" s="1580"/>
      <c r="S20" s="1580">
        <v>2</v>
      </c>
      <c r="T20" s="1580">
        <v>30051.329999999994</v>
      </c>
      <c r="U20" s="1580">
        <v>0.7</v>
      </c>
      <c r="V20" s="1580">
        <f t="shared" si="12"/>
        <v>1.4</v>
      </c>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3">
        <v>0.8</v>
      </c>
      <c r="C21" s="2272"/>
      <c r="D21" s="2273"/>
      <c r="E21" s="2272"/>
      <c r="F21" s="2272"/>
      <c r="G21" s="2272"/>
      <c r="H21" s="2272"/>
      <c r="I21" s="2272"/>
      <c r="J21" s="2272"/>
      <c r="K21" s="168"/>
      <c r="L21" s="168"/>
      <c r="M21" s="1580"/>
      <c r="N21" s="1580"/>
      <c r="O21" s="1580"/>
      <c r="P21" s="1580"/>
      <c r="Q21" s="1580"/>
      <c r="R21" s="1580"/>
      <c r="S21" s="1580">
        <v>3</v>
      </c>
      <c r="T21" s="1580">
        <v>22020.400000000001</v>
      </c>
      <c r="U21" s="1580">
        <v>0.6</v>
      </c>
      <c r="V21" s="1580">
        <f t="shared" si="12"/>
        <v>1.2</v>
      </c>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4">
        <f>B19+B20</f>
        <v>2</v>
      </c>
      <c r="C22" s="2272"/>
      <c r="D22" s="2273"/>
      <c r="E22" s="2272"/>
      <c r="F22" s="2272"/>
      <c r="G22" s="2272"/>
      <c r="H22" s="2272"/>
      <c r="I22" s="2272"/>
      <c r="J22" s="2272"/>
      <c r="K22" s="168"/>
      <c r="L22" s="168"/>
      <c r="M22" s="1580"/>
      <c r="N22" s="1580"/>
      <c r="O22" s="1580"/>
      <c r="P22" s="1580"/>
      <c r="Q22" s="1580"/>
      <c r="R22" s="1580"/>
      <c r="S22" s="1580">
        <v>4</v>
      </c>
      <c r="T22" s="1580">
        <v>8686.09</v>
      </c>
      <c r="U22" s="1580">
        <v>0.5</v>
      </c>
      <c r="V22" s="1580">
        <f t="shared" si="12"/>
        <v>1</v>
      </c>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4">
        <f>B19+B21</f>
        <v>0.8</v>
      </c>
      <c r="C23" s="2272"/>
      <c r="D23" s="2273"/>
      <c r="E23" s="2272"/>
      <c r="F23" s="2272"/>
      <c r="G23" s="2272"/>
      <c r="H23" s="2272"/>
      <c r="I23" s="2272"/>
      <c r="J23" s="2272"/>
      <c r="K23" s="168"/>
      <c r="L23" s="168"/>
      <c r="M23" s="1580"/>
      <c r="N23" s="1580"/>
      <c r="O23" s="1580"/>
      <c r="P23" s="1580"/>
      <c r="Q23" s="1580"/>
      <c r="R23" s="1580"/>
      <c r="S23" s="1580">
        <v>5</v>
      </c>
      <c r="T23" s="1580">
        <v>8686.09</v>
      </c>
      <c r="U23" s="1580">
        <v>0.45</v>
      </c>
      <c r="V23" s="1580">
        <f t="shared" si="12"/>
        <v>0.9</v>
      </c>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5">
        <f>B20-B21</f>
        <v>1.2</v>
      </c>
      <c r="C24" s="2272"/>
      <c r="D24" s="2273"/>
      <c r="E24" s="2272"/>
      <c r="F24" s="2272"/>
      <c r="G24" s="2272"/>
      <c r="H24" s="2272"/>
      <c r="I24" s="2272"/>
      <c r="J24" s="2272"/>
      <c r="K24" s="168"/>
      <c r="L24" s="168"/>
      <c r="M24" s="1580"/>
      <c r="N24" s="1580"/>
      <c r="O24" s="1580"/>
      <c r="P24" s="1580"/>
      <c r="Q24" s="1580"/>
      <c r="R24" s="1580"/>
      <c r="S24" s="1580">
        <v>6</v>
      </c>
      <c r="T24" s="1580">
        <v>2309.08</v>
      </c>
      <c r="U24" s="1580">
        <f>U23</f>
        <v>0.45</v>
      </c>
      <c r="V24" s="1580">
        <f t="shared" si="12"/>
        <v>0.9</v>
      </c>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v>7</v>
      </c>
      <c r="T25" s="1580">
        <v>2309.08</v>
      </c>
      <c r="U25" s="1580">
        <f>U23</f>
        <v>0.45</v>
      </c>
      <c r="V25" s="1580">
        <f t="shared" si="12"/>
        <v>0.9</v>
      </c>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8"/>
      <c r="L26" s="168"/>
      <c r="M26" s="1580"/>
      <c r="N26" s="1580"/>
      <c r="O26" s="1580"/>
      <c r="P26" s="1580"/>
      <c r="Q26" s="1580"/>
      <c r="R26" s="1580"/>
      <c r="S26" s="1580">
        <v>8</v>
      </c>
      <c r="T26" s="1580">
        <v>2309.08</v>
      </c>
      <c r="U26" s="1580">
        <f>U23</f>
        <v>0.45</v>
      </c>
      <c r="V26" s="1580">
        <f t="shared" si="12"/>
        <v>0.9</v>
      </c>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6">
        <v>160</v>
      </c>
      <c r="C27" s="1763" t="s">
        <v>2028</v>
      </c>
      <c r="D27" s="2318"/>
      <c r="E27" s="1427"/>
      <c r="F27" s="1427"/>
      <c r="G27" s="2272"/>
      <c r="H27" s="2272"/>
      <c r="I27" s="2272"/>
      <c r="J27" s="2272"/>
      <c r="K27" s="168"/>
      <c r="L27" s="168"/>
      <c r="M27" s="1580"/>
      <c r="N27" s="1580"/>
      <c r="O27" s="1580"/>
      <c r="P27" s="1580"/>
      <c r="Q27" s="1580"/>
      <c r="R27" s="1580"/>
      <c r="S27" s="1580"/>
      <c r="T27" s="1580">
        <v>107601.64</v>
      </c>
      <c r="U27" s="1580"/>
      <c r="V27" s="1580">
        <f>ROUND((V18*T18+V19*T19+V20*T20+V21*T21+V22*T22+V23*T23+V24*T24+V25*T25+V26*T26)/T27,1)</f>
        <v>1.4</v>
      </c>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2029</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2030</v>
      </c>
      <c r="B29" s="121">
        <f ca="1">成本法!C10</f>
        <v>2197</v>
      </c>
      <c r="C29" s="1763" t="s">
        <v>2031</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2032</v>
      </c>
      <c r="B30" s="724">
        <v>150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2033</v>
      </c>
      <c r="B31" s="120">
        <f>B30-B32</f>
        <v>50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2034</v>
      </c>
      <c r="B32" s="725">
        <v>100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2035</v>
      </c>
      <c r="B33" s="726">
        <v>0.03</v>
      </c>
      <c r="C33" s="1762" t="s">
        <v>2036</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2037</v>
      </c>
      <c r="B34" s="122">
        <v>0</v>
      </c>
      <c r="C34" s="1762" t="s">
        <v>2038</v>
      </c>
      <c r="D34" s="2273" t="s">
        <v>2039</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2040</v>
      </c>
      <c r="B35" s="119">
        <v>150</v>
      </c>
      <c r="C35" s="1762" t="s">
        <v>2041</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2042</v>
      </c>
      <c r="B36" s="123">
        <v>1.4999999999999999E-2</v>
      </c>
      <c r="C36" s="1762" t="s">
        <v>2043</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4">
        <v>0.02</v>
      </c>
      <c r="C37" s="1762" t="s">
        <v>2045</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2">
        <v>0.02</v>
      </c>
      <c r="C38" s="1762" t="s">
        <v>2045</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300">
        <f ca="1">存贷款利率!G1</f>
        <v>4.7500000000000001E-2</v>
      </c>
      <c r="C40" s="1762" t="s">
        <v>2049</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8">
        <v>7.0000000000000007E-2</v>
      </c>
      <c r="C44" s="1762" t="s">
        <v>2054</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6">
        <v>0.03</v>
      </c>
      <c r="C45" s="1763" t="s">
        <v>2056</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6">
        <v>0.02</v>
      </c>
      <c r="C46" s="1763" t="s">
        <v>2058</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9">
        <v>0</v>
      </c>
      <c r="C47" s="1763" t="s">
        <v>2060</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30">
        <v>0.03</v>
      </c>
      <c r="C48" s="1770" t="s">
        <v>2062</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6">
        <v>5.0000000000000001E-4</v>
      </c>
      <c r="C49" s="1770" t="s">
        <v>2064</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3">
        <f>SUMIF(A54:A63,B53,B54:B63)</f>
        <v>10</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137</v>
      </c>
      <c r="C53" s="1427" t="s">
        <v>2069</v>
      </c>
      <c r="D53" s="2332" t="s">
        <v>2070</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4">
        <v>20</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4">
        <v>16</v>
      </c>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4">
        <v>13</v>
      </c>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4">
        <v>10</v>
      </c>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9" sqref="G39"/>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69" t="s">
        <v>2081</v>
      </c>
      <c r="B1" s="3070"/>
      <c r="C1" s="3070"/>
      <c r="D1" s="3070"/>
      <c r="E1" s="3070"/>
      <c r="F1" s="3070"/>
      <c r="G1" s="307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42.75">
      <c r="A3" s="415" t="s">
        <v>2084</v>
      </c>
      <c r="B3" s="1268" t="s">
        <v>2085</v>
      </c>
      <c r="C3" s="2962" t="s">
        <v>3174</v>
      </c>
      <c r="D3" s="2365"/>
      <c r="E3" s="431" t="s">
        <v>2084</v>
      </c>
      <c r="F3" s="2366" t="s">
        <v>2086</v>
      </c>
      <c r="G3" s="2367" t="s">
        <v>2087</v>
      </c>
      <c r="H3" s="2363"/>
      <c r="I3" s="2363"/>
      <c r="J3" s="2363"/>
      <c r="K3" s="2363"/>
      <c r="L3" s="2363"/>
      <c r="M3" s="2363"/>
      <c r="N3" s="2363"/>
      <c r="O3" s="2363"/>
      <c r="P3" s="2363"/>
      <c r="Q3" s="2363"/>
      <c r="R3" s="2363"/>
    </row>
    <row r="4" spans="1:29" ht="40.5">
      <c r="A4" s="431"/>
      <c r="B4" s="1794" t="s">
        <v>2088</v>
      </c>
      <c r="C4" s="2963" t="s">
        <v>3174</v>
      </c>
      <c r="D4" s="2365"/>
      <c r="E4" s="2368"/>
      <c r="F4" s="42" t="s">
        <v>2089</v>
      </c>
      <c r="G4" s="2369" t="s">
        <v>2090</v>
      </c>
      <c r="H4" s="2363"/>
      <c r="I4" s="2363"/>
      <c r="J4" s="2363"/>
      <c r="K4" s="2363"/>
      <c r="L4" s="2363"/>
      <c r="M4" s="2363"/>
      <c r="N4" s="2363"/>
      <c r="O4" s="2363"/>
      <c r="P4" s="2363"/>
      <c r="Q4" s="2363"/>
      <c r="R4" s="2363"/>
    </row>
    <row r="5" spans="1:29" ht="27">
      <c r="A5" s="431"/>
      <c r="B5" s="1794" t="s">
        <v>2091</v>
      </c>
      <c r="C5" s="2963" t="s">
        <v>3174</v>
      </c>
      <c r="D5" s="2365"/>
      <c r="E5" s="2368"/>
      <c r="F5" s="1794" t="s">
        <v>2092</v>
      </c>
      <c r="G5" s="2369" t="s">
        <v>2093</v>
      </c>
      <c r="H5" s="2363"/>
      <c r="I5" s="2363"/>
      <c r="J5" s="2363"/>
      <c r="K5" s="2363"/>
      <c r="L5" s="2363"/>
      <c r="M5" s="2363"/>
      <c r="N5" s="2363"/>
      <c r="O5" s="2363"/>
      <c r="P5" s="2363"/>
      <c r="Q5" s="2363"/>
      <c r="R5" s="2363"/>
    </row>
    <row r="6" spans="1:29" ht="15">
      <c r="A6" s="431"/>
      <c r="B6" s="1794" t="s">
        <v>2094</v>
      </c>
      <c r="C6" s="2964" t="s">
        <v>3174</v>
      </c>
      <c r="D6" s="2365"/>
      <c r="E6" s="2368"/>
      <c r="F6" s="1794" t="s">
        <v>2095</v>
      </c>
      <c r="G6" s="2369" t="s">
        <v>2096</v>
      </c>
      <c r="H6" s="2363"/>
      <c r="I6" s="2363"/>
      <c r="J6" s="2363"/>
      <c r="K6" s="2363"/>
      <c r="L6" s="2363"/>
      <c r="M6" s="2363"/>
      <c r="N6" s="2363"/>
      <c r="O6" s="2363"/>
      <c r="P6" s="2363"/>
      <c r="Q6" s="2363"/>
      <c r="R6" s="2363"/>
    </row>
    <row r="7" spans="1:29" ht="41.25" thickBot="1">
      <c r="A7" s="431"/>
      <c r="B7" s="1794" t="s">
        <v>2092</v>
      </c>
      <c r="C7" s="2964" t="s">
        <v>3174</v>
      </c>
      <c r="D7" s="2370"/>
      <c r="E7" s="2371"/>
      <c r="F7" s="2372" t="s">
        <v>2097</v>
      </c>
      <c r="G7" s="2373" t="s">
        <v>2098</v>
      </c>
      <c r="H7" s="2363"/>
      <c r="I7" s="2363"/>
      <c r="J7" s="2363"/>
      <c r="K7" s="2363"/>
      <c r="L7" s="2363"/>
      <c r="M7" s="2363"/>
      <c r="N7" s="2363"/>
      <c r="O7" s="2363"/>
      <c r="P7" s="2363"/>
      <c r="Q7" s="2363"/>
      <c r="R7" s="2363"/>
    </row>
    <row r="8" spans="1:29" ht="15">
      <c r="A8" s="431"/>
      <c r="B8" s="1794" t="s">
        <v>2095</v>
      </c>
      <c r="C8" s="2964" t="s">
        <v>3175</v>
      </c>
      <c r="D8" s="2370"/>
      <c r="E8" s="2370"/>
      <c r="F8" s="1133"/>
      <c r="G8" s="1133"/>
      <c r="H8" s="2363"/>
      <c r="I8" s="2363"/>
      <c r="J8" s="2363"/>
      <c r="K8" s="2363"/>
      <c r="L8" s="2363"/>
      <c r="M8" s="2363"/>
      <c r="N8" s="2363"/>
      <c r="O8" s="2363"/>
      <c r="P8" s="2363"/>
      <c r="Q8" s="2363"/>
      <c r="R8" s="2363"/>
    </row>
    <row r="9" spans="1:29" ht="15">
      <c r="A9" s="431"/>
      <c r="B9" s="1794" t="s">
        <v>2099</v>
      </c>
      <c r="C9" s="2963" t="s">
        <v>3174</v>
      </c>
      <c r="D9" s="2365"/>
      <c r="E9" s="2370"/>
      <c r="F9" s="1133"/>
      <c r="G9" s="1133"/>
      <c r="H9" s="2363"/>
      <c r="I9" s="2363"/>
      <c r="J9" s="2363"/>
      <c r="K9" s="2363"/>
      <c r="L9" s="2363"/>
      <c r="M9" s="2363"/>
      <c r="N9" s="2363"/>
      <c r="O9" s="2363"/>
      <c r="P9" s="2363"/>
      <c r="Q9" s="2363"/>
      <c r="R9" s="2363"/>
    </row>
    <row r="10" spans="1:29" s="117" customFormat="1" ht="15.75" thickBot="1">
      <c r="A10" s="2374"/>
      <c r="B10" s="2375" t="s">
        <v>2100</v>
      </c>
      <c r="C10" s="2376"/>
      <c r="D10" s="2365"/>
      <c r="E10" s="2365"/>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0"/>
      <c r="C11" s="2365"/>
      <c r="D11" s="2365"/>
      <c r="E11" s="2365"/>
      <c r="F11" s="2370"/>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0"/>
      <c r="C12" s="2365"/>
      <c r="D12" s="2381"/>
      <c r="E12" s="2365"/>
      <c r="F12" s="2370"/>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2101</v>
      </c>
      <c r="B13" s="2381"/>
      <c r="C13" s="2381"/>
      <c r="D13" s="2388"/>
      <c r="E13" s="2381"/>
      <c r="F13" s="2381"/>
      <c r="G13" s="2381"/>
    </row>
    <row r="14" spans="1:29" ht="15.75" thickBot="1">
      <c r="A14" s="2392"/>
      <c r="B14" s="2393"/>
      <c r="C14" s="2394" t="s">
        <v>2102</v>
      </c>
      <c r="D14" s="2365"/>
      <c r="E14" s="2395"/>
      <c r="F14" s="2395"/>
      <c r="G14" s="2360" t="s">
        <v>2103</v>
      </c>
    </row>
    <row r="15" spans="1:29" ht="42.75">
      <c r="A15" s="68" t="s">
        <v>2104</v>
      </c>
      <c r="B15" s="1267" t="s">
        <v>2085</v>
      </c>
      <c r="C15" s="2396" t="str">
        <f>C3</f>
        <v>一般</v>
      </c>
      <c r="D15" s="2365"/>
      <c r="E15" s="2397" t="s">
        <v>2105</v>
      </c>
      <c r="F15" s="1267" t="s">
        <v>2106</v>
      </c>
      <c r="G15" s="135" t="str">
        <f>G3</f>
        <v>估价对象位于XX开发区，园区建设成熟度XX，产业集聚程度XX</v>
      </c>
    </row>
    <row r="16" spans="1:29" ht="42.75">
      <c r="A16" s="645"/>
      <c r="B16" s="2398" t="s">
        <v>2088</v>
      </c>
      <c r="C16" s="2399" t="str">
        <f>C4</f>
        <v>一般</v>
      </c>
      <c r="D16" s="2365"/>
      <c r="E16" s="2400"/>
      <c r="F16" s="2401" t="s">
        <v>2089</v>
      </c>
      <c r="G16" s="136" t="str">
        <f>G4</f>
        <v>估价对象周边道路状况、公共交通通达情况、停车便捷程度，综合评价交通便捷度较好</v>
      </c>
    </row>
    <row r="17" spans="1:18" ht="15">
      <c r="A17" s="645"/>
      <c r="B17" s="2398" t="s">
        <v>2091</v>
      </c>
      <c r="C17" s="2399" t="str">
        <f>C5</f>
        <v>一般</v>
      </c>
      <c r="D17" s="2370"/>
      <c r="E17" s="2400"/>
      <c r="F17" s="2401" t="s">
        <v>2107</v>
      </c>
      <c r="G17" s="1568"/>
    </row>
    <row r="18" spans="1:18" ht="42.75">
      <c r="A18" s="645"/>
      <c r="B18" s="2401" t="s">
        <v>2094</v>
      </c>
      <c r="C18" s="136" t="str">
        <f>C6</f>
        <v>一般</v>
      </c>
      <c r="D18" s="2370"/>
      <c r="E18" s="2400"/>
      <c r="F18" s="2401" t="s">
        <v>2097</v>
      </c>
      <c r="G18" s="136" t="str">
        <f>G7</f>
        <v>该园区内是否有污染型企业，绿化情况，卫生条件，整体环境状况判断</v>
      </c>
    </row>
    <row r="19" spans="1:18" ht="28.5">
      <c r="A19" s="645"/>
      <c r="B19" s="2401" t="s">
        <v>2108</v>
      </c>
      <c r="C19" s="1568"/>
      <c r="D19" s="2365"/>
      <c r="E19" s="2400"/>
      <c r="F19" s="1794" t="s">
        <v>2092</v>
      </c>
      <c r="G19" s="136" t="str">
        <f>G5</f>
        <v>估价对象所在区域公共配套设施齐备情况</v>
      </c>
    </row>
    <row r="20" spans="1:18" ht="15">
      <c r="A20" s="645"/>
      <c r="B20" s="2401" t="s">
        <v>2109</v>
      </c>
      <c r="C20" s="2399" t="str">
        <f>C9</f>
        <v>一般</v>
      </c>
      <c r="D20" s="2370"/>
      <c r="E20" s="2400"/>
      <c r="F20" s="1794" t="s">
        <v>2110</v>
      </c>
      <c r="G20" s="136" t="str">
        <f>G6</f>
        <v>估价对象所在区域基础设施水平</v>
      </c>
    </row>
    <row r="21" spans="1:18" ht="15">
      <c r="A21" s="645"/>
      <c r="B21" s="1794" t="s">
        <v>2092</v>
      </c>
      <c r="C21" s="136" t="str">
        <f>C7</f>
        <v>一般</v>
      </c>
      <c r="D21" s="2365"/>
      <c r="E21" s="2400"/>
      <c r="F21" s="2401" t="s">
        <v>2111</v>
      </c>
      <c r="G21" s="2402"/>
    </row>
    <row r="22" spans="1:18" ht="13.5" customHeight="1">
      <c r="A22" s="645"/>
      <c r="B22" s="1794" t="s">
        <v>2095</v>
      </c>
      <c r="C22" s="136" t="str">
        <f>C8</f>
        <v>六通</v>
      </c>
      <c r="D22" s="2365"/>
      <c r="E22" s="2400"/>
      <c r="F22" s="2401" t="s">
        <v>2100</v>
      </c>
      <c r="G22" s="1568"/>
    </row>
    <row r="23" spans="1:18" s="2363" customFormat="1" ht="15.75" thickBot="1">
      <c r="A23" s="645"/>
      <c r="B23" s="2401" t="s">
        <v>2111</v>
      </c>
      <c r="C23" s="2402"/>
      <c r="D23" s="2389"/>
      <c r="E23" s="2403"/>
      <c r="F23" s="2404" t="s">
        <v>2112</v>
      </c>
      <c r="G23" s="2405"/>
      <c r="H23" s="2389"/>
      <c r="I23" s="2390"/>
      <c r="J23" s="2389"/>
      <c r="K23" s="2389"/>
      <c r="L23" s="2390"/>
      <c r="M23" s="2389"/>
      <c r="N23" s="2389"/>
      <c r="O23" s="2390"/>
      <c r="P23" s="2389"/>
      <c r="Q23" s="2389"/>
      <c r="R23" s="2391"/>
    </row>
    <row r="24" spans="1:18" s="2363" customFormat="1" ht="15.75" thickBot="1">
      <c r="A24" s="2406"/>
      <c r="B24" s="2404" t="s">
        <v>2113</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109861.36</v>
      </c>
      <c r="C1" s="1741"/>
      <c r="D1" s="1741"/>
      <c r="E1" s="1741"/>
      <c r="F1" s="1741"/>
      <c r="G1" s="1739"/>
    </row>
    <row r="2" spans="1:10" ht="16.5">
      <c r="A2" s="1742" t="s">
        <v>1349</v>
      </c>
      <c r="B2" s="1742">
        <f>SUM(C14:C23)</f>
        <v>84185</v>
      </c>
      <c r="C2" s="1741"/>
      <c r="D2" s="1741"/>
      <c r="E2" s="1741"/>
      <c r="F2" s="1741"/>
      <c r="G2" s="1739"/>
    </row>
    <row r="3" spans="1:10" ht="16.5">
      <c r="A3" s="1742" t="s">
        <v>1358</v>
      </c>
      <c r="B3" s="1743">
        <f>项目基本情况!D3</f>
        <v>43630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31414</v>
      </c>
      <c r="C5" s="1742">
        <f ca="1">ROUND(B5*10000/$B$1,0)</f>
        <v>2859</v>
      </c>
      <c r="D5" s="1742">
        <f ca="1">ROUND(B5*10000/$B$2,0)</f>
        <v>3732</v>
      </c>
      <c r="E5" s="1741"/>
      <c r="F5" s="1739"/>
      <c r="G5" s="1739"/>
    </row>
    <row r="6" spans="1:10" ht="16.5">
      <c r="A6" s="1742" t="s">
        <v>1352</v>
      </c>
      <c r="B6" s="1742">
        <f ca="1">SUM(G14:G23)</f>
        <v>31414</v>
      </c>
      <c r="C6" s="1742">
        <f ca="1">ROUND(B6*10000/$B$1,0)</f>
        <v>2859</v>
      </c>
      <c r="D6" s="1742">
        <f ca="1">ROUND(B6*10000/$B$2,0)</f>
        <v>3732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109861.36</v>
      </c>
      <c r="C14" s="1740">
        <f>结果表!C118</f>
        <v>84185</v>
      </c>
      <c r="D14" s="1740">
        <f ca="1">结果表!H118</f>
        <v>31414</v>
      </c>
      <c r="E14" s="1740">
        <f ca="1">ROUND(D14*10000/B14,0)</f>
        <v>2859</v>
      </c>
      <c r="F14" s="1740">
        <f ca="1">ROUND(D14*10000/C14,0)</f>
        <v>3732</v>
      </c>
      <c r="G14" s="1740">
        <f ca="1">结果表!D122</f>
        <v>31414</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2114</v>
      </c>
      <c r="B1" s="2412"/>
      <c r="C1" s="2413"/>
      <c r="D1" s="2412"/>
      <c r="E1" s="2412"/>
      <c r="F1" s="2414" t="s">
        <v>2115</v>
      </c>
      <c r="G1" s="2065" t="s">
        <v>2116</v>
      </c>
      <c r="H1" s="2415" t="str">
        <f>IF(G1="现房","——","估价对象范围")</f>
        <v>估价对象范围</v>
      </c>
      <c r="I1" s="2416" t="s">
        <v>3123</v>
      </c>
    </row>
    <row r="2" spans="1:12" ht="21.75" customHeight="1" thickBot="1">
      <c r="A2" s="3104" t="str">
        <f>项目基本情况!S2</f>
        <v>安徽省芜湖市鸠江区江北集中区东至和声路、北至长河南路商务金融用地出让国有建设用地使用权及在建建筑物房地产</v>
      </c>
      <c r="B2" s="3105"/>
      <c r="C2" s="3105"/>
      <c r="D2" s="3105"/>
      <c r="E2" s="3105"/>
      <c r="F2" s="3105"/>
      <c r="G2" s="3105"/>
      <c r="H2" s="3105"/>
      <c r="I2" s="3106"/>
    </row>
    <row r="3" spans="1:12" ht="12.75">
      <c r="A3" s="3108" t="s">
        <v>2117</v>
      </c>
      <c r="B3" s="3109"/>
      <c r="C3" s="3109"/>
      <c r="D3" s="3109"/>
      <c r="E3" s="3109"/>
      <c r="F3" s="3109"/>
      <c r="G3" s="3109"/>
      <c r="H3" s="3109"/>
      <c r="I3" s="3109"/>
    </row>
    <row r="4" spans="1:12" ht="14.25">
      <c r="A4" s="2419" t="s">
        <v>2118</v>
      </c>
      <c r="B4" s="2420" t="s">
        <v>2119</v>
      </c>
      <c r="C4" s="2421" t="s">
        <v>3124</v>
      </c>
      <c r="D4" s="2421" t="s">
        <v>3125</v>
      </c>
      <c r="E4" s="3101" t="s">
        <v>2120</v>
      </c>
      <c r="F4" s="3102"/>
      <c r="G4" s="3102"/>
      <c r="H4" s="3102"/>
      <c r="I4" s="3110"/>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84" t="s">
        <v>2121</v>
      </c>
      <c r="B5" s="3022">
        <v>25</v>
      </c>
      <c r="C5" s="3087"/>
      <c r="D5" s="3107"/>
      <c r="E5" s="140" t="s">
        <v>2122</v>
      </c>
      <c r="F5" s="2423"/>
      <c r="G5" s="2423"/>
      <c r="H5" s="2423"/>
      <c r="I5" s="1830"/>
    </row>
    <row r="6" spans="1:12" ht="12.75">
      <c r="A6" s="3084"/>
      <c r="B6" s="3022"/>
      <c r="C6" s="3088"/>
      <c r="D6" s="3107"/>
      <c r="E6" s="140" t="s">
        <v>2123</v>
      </c>
      <c r="F6" s="2423"/>
      <c r="G6" s="2423"/>
      <c r="H6" s="2423"/>
      <c r="I6" s="1830"/>
    </row>
    <row r="7" spans="1:12" ht="12.75">
      <c r="A7" s="3084"/>
      <c r="B7" s="3022"/>
      <c r="C7" s="3089"/>
      <c r="D7" s="3107"/>
      <c r="E7" s="140" t="s">
        <v>2124</v>
      </c>
      <c r="F7" s="2423"/>
      <c r="G7" s="2423"/>
      <c r="H7" s="2423"/>
      <c r="I7" s="1830"/>
    </row>
    <row r="8" spans="1:12" ht="12.75">
      <c r="A8" s="3084" t="s">
        <v>2125</v>
      </c>
      <c r="B8" s="3022">
        <v>15</v>
      </c>
      <c r="C8" s="3087"/>
      <c r="D8" s="3107"/>
      <c r="E8" s="140" t="s">
        <v>2126</v>
      </c>
      <c r="F8" s="2423"/>
      <c r="G8" s="2423"/>
      <c r="H8" s="2423"/>
      <c r="I8" s="1830"/>
    </row>
    <row r="9" spans="1:12" ht="12.75">
      <c r="A9" s="3084"/>
      <c r="B9" s="3022"/>
      <c r="C9" s="3089"/>
      <c r="D9" s="3107"/>
      <c r="E9" s="140" t="s">
        <v>2127</v>
      </c>
      <c r="F9" s="2423"/>
      <c r="G9" s="2423"/>
      <c r="H9" s="2423"/>
      <c r="I9" s="1830"/>
    </row>
    <row r="10" spans="1:12" ht="12.75">
      <c r="A10" s="3084" t="s">
        <v>2128</v>
      </c>
      <c r="B10" s="3022">
        <v>15</v>
      </c>
      <c r="C10" s="3087"/>
      <c r="D10" s="3107"/>
      <c r="E10" s="140" t="s">
        <v>2129</v>
      </c>
      <c r="F10" s="2423"/>
      <c r="G10" s="2423"/>
      <c r="H10" s="2423"/>
      <c r="I10" s="1830"/>
    </row>
    <row r="11" spans="1:12" ht="12.75">
      <c r="A11" s="3084"/>
      <c r="B11" s="3022"/>
      <c r="C11" s="3089"/>
      <c r="D11" s="3107"/>
      <c r="E11" s="140" t="s">
        <v>2130</v>
      </c>
      <c r="F11" s="2423"/>
      <c r="G11" s="2423"/>
      <c r="H11" s="2423"/>
      <c r="I11" s="1830"/>
    </row>
    <row r="12" spans="1:12" ht="12.75">
      <c r="A12" s="3084" t="s">
        <v>2131</v>
      </c>
      <c r="B12" s="3022">
        <v>15</v>
      </c>
      <c r="C12" s="3087"/>
      <c r="D12" s="3107"/>
      <c r="E12" s="140" t="s">
        <v>2132</v>
      </c>
      <c r="F12" s="2423"/>
      <c r="G12" s="2423"/>
      <c r="H12" s="2423"/>
      <c r="I12" s="1830"/>
    </row>
    <row r="13" spans="1:12" ht="12.75">
      <c r="A13" s="3084"/>
      <c r="B13" s="3022"/>
      <c r="C13" s="3089"/>
      <c r="D13" s="3107"/>
      <c r="E13" s="140" t="s">
        <v>2133</v>
      </c>
      <c r="F13" s="2423"/>
      <c r="G13" s="2423"/>
      <c r="H13" s="2423"/>
      <c r="I13" s="1830"/>
    </row>
    <row r="14" spans="1:12" ht="12.75">
      <c r="A14" s="3084" t="s">
        <v>2134</v>
      </c>
      <c r="B14" s="3022">
        <v>30</v>
      </c>
      <c r="C14" s="3087">
        <v>5</v>
      </c>
      <c r="D14" s="3107">
        <v>5</v>
      </c>
      <c r="E14" s="140" t="s">
        <v>2135</v>
      </c>
      <c r="F14" s="2423"/>
      <c r="G14" s="2423"/>
      <c r="H14" s="2423"/>
      <c r="I14" s="1830"/>
    </row>
    <row r="15" spans="1:12" ht="12.75">
      <c r="A15" s="3084"/>
      <c r="B15" s="3022"/>
      <c r="C15" s="3088"/>
      <c r="D15" s="3107"/>
      <c r="E15" s="140" t="s">
        <v>2136</v>
      </c>
      <c r="F15" s="2423"/>
      <c r="G15" s="2423"/>
      <c r="H15" s="2423"/>
      <c r="I15" s="1830"/>
    </row>
    <row r="16" spans="1:12" ht="12.75">
      <c r="A16" s="3084"/>
      <c r="B16" s="3022"/>
      <c r="C16" s="3089"/>
      <c r="D16" s="3107"/>
      <c r="E16" s="140" t="s">
        <v>2137</v>
      </c>
      <c r="F16" s="2423"/>
      <c r="G16" s="2423"/>
      <c r="H16" s="2423"/>
      <c r="I16" s="1830"/>
    </row>
    <row r="17" spans="1:35" ht="15">
      <c r="A17" s="2424" t="s">
        <v>2138</v>
      </c>
      <c r="B17" s="64"/>
      <c r="C17" s="141">
        <f>SUM(C5:C16)</f>
        <v>5</v>
      </c>
      <c r="D17" s="141">
        <f>SUM(D5:D16)</f>
        <v>5</v>
      </c>
      <c r="E17" s="138"/>
      <c r="F17" s="138"/>
      <c r="G17" s="138"/>
      <c r="H17" s="138"/>
      <c r="I17" s="138"/>
      <c r="K17" s="2422"/>
      <c r="L17" s="2425" t="s">
        <v>2139</v>
      </c>
      <c r="M17" s="2425" t="s">
        <v>2140</v>
      </c>
    </row>
    <row r="18" spans="1:35" ht="15.75" thickBot="1">
      <c r="A18" s="2426" t="s">
        <v>2141</v>
      </c>
      <c r="B18" s="2427"/>
      <c r="C18" s="142">
        <f>ROUND(C17/SUM(C17:D17),2)</f>
        <v>0.5</v>
      </c>
      <c r="D18" s="142">
        <f>1-C18</f>
        <v>0.5</v>
      </c>
      <c r="E18" s="138"/>
      <c r="F18" s="138"/>
      <c r="G18" s="138"/>
      <c r="H18" s="138"/>
      <c r="I18" s="138"/>
      <c r="J18" s="2976" t="s">
        <v>3303</v>
      </c>
      <c r="K18" s="2422" t="s">
        <v>2142</v>
      </c>
      <c r="L18" s="2422">
        <f>IF(C1="",'数据-汇总表'!E3,SUMIF(项目类型,C1,'数据-汇总表'!E17:E26)+SUMIF(项目类型,C1,'数据-汇总表'!I17:I26))</f>
        <v>109861.36</v>
      </c>
      <c r="M18" s="2422">
        <f>IF(C1="",'数据-汇总表'!E3,SUMIF(项目类型,C1,'数据-汇总表'!E17:E26))</f>
        <v>109861.36</v>
      </c>
    </row>
    <row r="19" spans="1:35" ht="15">
      <c r="A19" s="2428" t="s">
        <v>2143</v>
      </c>
      <c r="B19" s="2429" t="s">
        <v>2144</v>
      </c>
      <c r="C19" s="143">
        <f ca="1">SUMIF(INDIRECT("'"&amp;C4&amp;"'"&amp;"!A:A"),结果表!B19,INDIRECT("'"&amp;C4&amp;"'"&amp;"!B:B"))</f>
        <v>32030</v>
      </c>
      <c r="D19" s="144">
        <f ca="1">SUMIF(INDIRECT("'"&amp;D4&amp;"'"&amp;"!A:A"),结果表!B19,INDIRECT("'"&amp;D4&amp;"'"&amp;"!B:B"))</f>
        <v>30798</v>
      </c>
      <c r="E19" s="2428" t="s">
        <v>2145</v>
      </c>
      <c r="F19" s="2429" t="s">
        <v>2144</v>
      </c>
      <c r="G19" s="145">
        <f ca="1">ROUND(C19*$C$18+D19*$D$18,0)</f>
        <v>31414</v>
      </c>
      <c r="H19" s="2430" t="s">
        <v>2146</v>
      </c>
      <c r="I19" s="138"/>
      <c r="J19" s="795">
        <v>31000</v>
      </c>
      <c r="K19" s="2422" t="s">
        <v>2147</v>
      </c>
      <c r="L19" s="2422">
        <f>IF(C1="",'数据-汇总表'!D3,SUMIF(项目类型,C1,'数据-汇总表'!D17:D26)+SUMIF(项目类型,C1,'数据-汇总表'!H17:H27))</f>
        <v>84185</v>
      </c>
      <c r="M19" s="2422">
        <f>IF(C1="",'数据-汇总表'!D3,SUMIF(项目类型,C1,'数据-汇总表'!D17:D26))</f>
        <v>84185</v>
      </c>
    </row>
    <row r="20" spans="1:35" ht="15">
      <c r="A20" s="2431"/>
      <c r="B20" s="1247" t="s">
        <v>2148</v>
      </c>
      <c r="C20" s="146">
        <f ca="1">SUMIF(INDIRECT("'"&amp;C4&amp;"'"&amp;"!A:A"),结果表!B20,INDIRECT("'"&amp;C4&amp;"'"&amp;"!B:B"))</f>
        <v>2915</v>
      </c>
      <c r="D20" s="147">
        <f ca="1">SUMIF(INDIRECT("'"&amp;D4&amp;"'"&amp;"!A:A"),结果表!B20,INDIRECT("'"&amp;D4&amp;"'"&amp;"!B:B"))</f>
        <v>2803</v>
      </c>
      <c r="E20" s="2431"/>
      <c r="F20" s="1247" t="s">
        <v>2148</v>
      </c>
      <c r="G20" s="148">
        <f ca="1">ROUND(C20*$C$18+D20*$D$18,0)</f>
        <v>2859</v>
      </c>
      <c r="H20" s="980" t="s">
        <v>2149</v>
      </c>
      <c r="I20" s="138"/>
    </row>
    <row r="21" spans="1:35" ht="15" customHeight="1" thickBot="1">
      <c r="A21" s="1000"/>
      <c r="B21" s="2432" t="s">
        <v>2150</v>
      </c>
      <c r="C21" s="789">
        <f ca="1">ROUND(C19*10000/L19,0)</f>
        <v>3805</v>
      </c>
      <c r="D21" s="790">
        <f ca="1">ROUND(D19*10000/L19,0)</f>
        <v>3658</v>
      </c>
      <c r="E21" s="1000"/>
      <c r="F21" s="2432" t="s">
        <v>2150</v>
      </c>
      <c r="G21" s="149">
        <f ca="1">ROUND(G19*10000/L19,0)</f>
        <v>3732</v>
      </c>
      <c r="H21" s="2433" t="s">
        <v>2149</v>
      </c>
      <c r="I21" s="138"/>
    </row>
    <row r="22" spans="1:35" ht="15" thickBot="1">
      <c r="A22" s="2276" t="s">
        <v>2151</v>
      </c>
      <c r="B22" s="2434"/>
      <c r="C22" s="2435"/>
      <c r="D22" s="791">
        <f ca="1">IF(C19&lt;D19,D19/C19-1,C19/D19-1)</f>
        <v>4.0002597571270782E-2</v>
      </c>
      <c r="E22" s="138"/>
      <c r="F22" s="138"/>
      <c r="G22" s="138"/>
      <c r="H22" s="138"/>
      <c r="I22" s="138"/>
    </row>
    <row r="23" spans="1:35" ht="13.5" thickBot="1">
      <c r="A23" s="2412"/>
      <c r="B23" s="2412"/>
      <c r="C23" s="2412"/>
      <c r="D23" s="2412"/>
      <c r="E23" s="138"/>
      <c r="F23" s="138"/>
      <c r="G23" s="138"/>
      <c r="H23" s="138"/>
      <c r="I23" s="138"/>
    </row>
    <row r="24" spans="1:35" ht="14.25">
      <c r="A24" s="3078" t="s">
        <v>2152</v>
      </c>
      <c r="B24" s="2429" t="s">
        <v>2144</v>
      </c>
      <c r="C24" s="145">
        <f>IF(B30=0,0,D30)</f>
        <v>0</v>
      </c>
      <c r="D24" s="2436"/>
      <c r="E24" s="138"/>
      <c r="F24" s="138"/>
      <c r="G24" s="138"/>
      <c r="H24" s="138"/>
      <c r="I24" s="138"/>
    </row>
    <row r="25" spans="1:35" ht="14.25">
      <c r="A25" s="3079"/>
      <c r="B25" s="1247" t="s">
        <v>2148</v>
      </c>
      <c r="C25" s="150">
        <f>IF(B30=0,0,C30)</f>
        <v>0</v>
      </c>
      <c r="D25" s="2437"/>
      <c r="E25" s="138"/>
      <c r="F25" s="138"/>
      <c r="G25" s="138"/>
      <c r="H25" s="138"/>
      <c r="I25" s="138"/>
      <c r="J25" s="795">
        <f ca="1">ROUND(G19*10000/'数据-汇总表'!F27,0)</f>
        <v>2952</v>
      </c>
    </row>
    <row r="26" spans="1:35" ht="13.5" customHeight="1">
      <c r="A26" s="2438" t="s">
        <v>2153</v>
      </c>
      <c r="B26" s="151" t="s">
        <v>2154</v>
      </c>
      <c r="C26" s="151" t="s">
        <v>2155</v>
      </c>
      <c r="D26" s="152" t="s">
        <v>2156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2157</v>
      </c>
      <c r="B30" s="151"/>
      <c r="C30" s="151"/>
      <c r="D30" s="151"/>
      <c r="E30" s="2911" t="s">
        <v>3032</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2158</v>
      </c>
      <c r="B32" s="2442"/>
      <c r="C32" s="153">
        <f ca="1">IF(D32="总价",G19-C24,G20-C25)</f>
        <v>31414</v>
      </c>
      <c r="D32" s="2443" t="s">
        <v>2159</v>
      </c>
      <c r="E32" s="138"/>
      <c r="F32" s="138"/>
      <c r="G32" s="138"/>
      <c r="H32" s="138"/>
      <c r="I32" s="138"/>
    </row>
    <row r="33" spans="1:15" ht="15">
      <c r="A33" s="957" t="s">
        <v>2160</v>
      </c>
      <c r="B33" s="2444"/>
      <c r="C33" s="2445" t="s">
        <v>3129</v>
      </c>
      <c r="D33" s="2446" t="s">
        <v>3124</v>
      </c>
      <c r="E33" s="2447" t="s">
        <v>2161</v>
      </c>
      <c r="F33" s="2448" t="str">
        <f>IF(D32="楼面单价","取值（单价）","取值（总价）")</f>
        <v>取值（总价）</v>
      </c>
      <c r="G33" s="138"/>
      <c r="H33" s="138"/>
      <c r="I33" s="138"/>
    </row>
    <row r="34" spans="1:15" ht="15">
      <c r="A34" s="2449"/>
      <c r="B34" s="2450" t="s">
        <v>2162</v>
      </c>
      <c r="C34" s="157">
        <f ca="1">IF(C33="自定义",F34,C32-C35)</f>
        <v>19791</v>
      </c>
      <c r="D34" s="1055">
        <f ca="1">IF(C33="自定义",ROUND(C34/C32,3),IF(C33="收益比率",SUMIF(INDIRECT("'"&amp;D33&amp;"'"&amp;"!b:b"),"土地收益比率",INDIRECT("'"&amp;D33&amp;"'"&amp;"!c:c")),SUMIF(INDIRECT("'"&amp;D33&amp;"'"&amp;"!b:b"),"土地成本比率",INDIRECT("'"&amp;D33&amp;"'"&amp;"!c:c"))))</f>
        <v>0.63</v>
      </c>
      <c r="E34" s="2451" t="s">
        <v>2163</v>
      </c>
      <c r="F34" s="1735"/>
      <c r="G34" s="138">
        <f ca="1">C34*10000/面积表!F21</f>
        <v>1859.6633098887276</v>
      </c>
      <c r="H34" s="138"/>
      <c r="I34" s="138"/>
    </row>
    <row r="35" spans="1:15" ht="15.75" thickBot="1">
      <c r="A35" s="2452"/>
      <c r="B35" s="2453" t="s">
        <v>2164</v>
      </c>
      <c r="C35" s="1441">
        <f ca="1">IF(C33="自定义",F35,ROUND(C32*D35,0))</f>
        <v>11623</v>
      </c>
      <c r="D35" s="1442">
        <f ca="1">IF(C33="自定义",ROUND(C35/C32,3),IF(C33="收益比率",SUMIF(INDIRECT("'"&amp;D33&amp;"'"&amp;"!b:b"),"建筑物收益比率",INDIRECT("'"&amp;D33&amp;"'"&amp;"!c:c")),SUMIF(INDIRECT("'"&amp;D33&amp;"'"&amp;"!b:b"),"建筑物成本比率",INDIRECT("'"&amp;D33&amp;"'"&amp;"!c:c"))))</f>
        <v>0.37</v>
      </c>
      <c r="E35" s="2454" t="s">
        <v>2165</v>
      </c>
      <c r="F35" s="163"/>
      <c r="G35" s="138"/>
      <c r="H35" s="138"/>
      <c r="I35" s="138"/>
    </row>
    <row r="36" spans="1:15" ht="15.75" thickBot="1">
      <c r="A36" s="3096" t="s">
        <v>2166</v>
      </c>
      <c r="B36" s="2455" t="s">
        <v>2167</v>
      </c>
      <c r="C36" s="154"/>
      <c r="D36" s="2456"/>
      <c r="E36" s="2457"/>
      <c r="F36" s="2458"/>
      <c r="G36" s="138"/>
      <c r="H36" s="138"/>
      <c r="I36" s="138"/>
    </row>
    <row r="37" spans="1:15" ht="15.75" thickBot="1">
      <c r="A37" s="3097"/>
      <c r="B37" s="2262" t="s">
        <v>2168</v>
      </c>
      <c r="C37" s="156"/>
      <c r="D37" s="1392"/>
      <c r="E37" s="1392"/>
      <c r="F37" s="2458"/>
      <c r="G37" s="138"/>
      <c r="H37" s="138"/>
      <c r="I37" s="138"/>
    </row>
    <row r="38" spans="1:15" ht="15.75" thickBot="1">
      <c r="A38" s="3098"/>
      <c r="B38" s="2459" t="s">
        <v>2169</v>
      </c>
      <c r="C38" s="727"/>
      <c r="D38" s="2460" t="s">
        <v>2170</v>
      </c>
      <c r="E38" s="1392"/>
      <c r="F38" s="2458"/>
      <c r="G38" s="138"/>
      <c r="H38" s="138"/>
      <c r="I38" s="138"/>
    </row>
    <row r="39" spans="1:15" ht="15">
      <c r="A39" s="2431" t="s">
        <v>2171</v>
      </c>
      <c r="B39" s="2461" t="s">
        <v>2172</v>
      </c>
      <c r="C39" s="2462" t="s">
        <v>2173</v>
      </c>
      <c r="D39" s="2462" t="s">
        <v>2174</v>
      </c>
      <c r="E39" s="2463" t="s">
        <v>2175</v>
      </c>
      <c r="F39" s="2458"/>
      <c r="G39" s="138"/>
      <c r="H39" s="138"/>
      <c r="I39" s="138"/>
    </row>
    <row r="40" spans="1:15" ht="14.25">
      <c r="A40" s="2464" t="s">
        <v>2176</v>
      </c>
      <c r="B40" s="158"/>
      <c r="C40" s="159"/>
      <c r="D40" s="159"/>
      <c r="E40" s="160"/>
      <c r="F40" s="2458"/>
      <c r="G40" s="138"/>
      <c r="H40" s="138"/>
      <c r="I40" s="138"/>
    </row>
    <row r="41" spans="1:15" ht="14.25">
      <c r="A41" s="2464" t="s">
        <v>2177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hidden="1">
      <c r="A44" s="2468" t="s">
        <v>2178</v>
      </c>
      <c r="B44" s="2469"/>
      <c r="C44" s="2469"/>
      <c r="D44" s="2470"/>
      <c r="E44" s="2470"/>
      <c r="F44" s="2471"/>
      <c r="G44" s="2471"/>
      <c r="H44" s="2471"/>
      <c r="I44" s="2471"/>
      <c r="J44" s="2472" t="s">
        <v>2179</v>
      </c>
      <c r="K44" s="2473"/>
      <c r="L44" s="2473"/>
      <c r="M44" s="2473"/>
      <c r="N44" s="2473"/>
      <c r="O44" s="2473"/>
    </row>
    <row r="45" spans="1:15" ht="14.25" hidden="1" customHeight="1" thickBot="1">
      <c r="A45" s="3075" t="s">
        <v>2180</v>
      </c>
      <c r="B45" s="3076"/>
      <c r="C45" s="3077"/>
      <c r="D45" s="164">
        <f ca="1">ROUND(H101*F45,0)</f>
        <v>31414</v>
      </c>
      <c r="E45" s="165" t="s">
        <v>2181</v>
      </c>
      <c r="F45" s="166">
        <v>1</v>
      </c>
      <c r="G45" s="167" t="s">
        <v>2182</v>
      </c>
      <c r="H45" s="138"/>
      <c r="I45" s="138"/>
      <c r="J45" s="3135" t="s">
        <v>2183</v>
      </c>
      <c r="K45" s="3135"/>
      <c r="L45" s="3135"/>
      <c r="M45" s="3135"/>
      <c r="N45" s="3135"/>
      <c r="O45" s="3135"/>
    </row>
    <row r="46" spans="1:15" ht="14.25" hidden="1" customHeight="1">
      <c r="A46" s="3072" t="s">
        <v>2184</v>
      </c>
      <c r="B46" s="3073"/>
      <c r="C46" s="3073"/>
      <c r="D46" s="3073"/>
      <c r="E46" s="3073"/>
      <c r="F46" s="3073"/>
      <c r="G46" s="3074"/>
      <c r="H46" s="2474"/>
      <c r="I46" s="168"/>
      <c r="J46" s="1808">
        <v>1</v>
      </c>
      <c r="K46" s="3135" t="s">
        <v>2185</v>
      </c>
      <c r="L46" s="3135"/>
      <c r="M46" s="3155"/>
      <c r="N46" s="3155"/>
      <c r="O46" s="3155"/>
    </row>
    <row r="47" spans="1:15" ht="12" hidden="1" customHeight="1">
      <c r="A47" s="169" t="s">
        <v>2186</v>
      </c>
      <c r="B47" s="170"/>
      <c r="C47" s="171"/>
      <c r="D47" s="172" t="s">
        <v>2187</v>
      </c>
      <c r="E47" s="24" t="s">
        <v>2188</v>
      </c>
      <c r="F47" s="173" t="s">
        <v>2189</v>
      </c>
      <c r="G47" s="174" t="s">
        <v>2190</v>
      </c>
      <c r="H47" s="2474"/>
      <c r="I47" s="168"/>
      <c r="J47" s="1808">
        <v>2</v>
      </c>
      <c r="K47" s="3135" t="s">
        <v>2191</v>
      </c>
      <c r="L47" s="3135"/>
      <c r="M47" s="3156">
        <f>'数据-取费表'!B2</f>
        <v>43630</v>
      </c>
      <c r="N47" s="3156"/>
      <c r="O47" s="3156"/>
    </row>
    <row r="48" spans="1:15" ht="25.5" hidden="1">
      <c r="A48" s="3103" t="s">
        <v>2192</v>
      </c>
      <c r="B48" s="3086"/>
      <c r="C48" s="3086"/>
      <c r="D48" s="140">
        <f>IF(H48="情况1",0,IF(H48="情况2",D52,IF(H48="情况3",D53,IF(H48="情况4",D54))))</f>
        <v>0</v>
      </c>
      <c r="E48" s="1797" t="str">
        <f>IF(H48="情况4","(销售额-原购置价)×税（费）率","销售额×税（费）率")</f>
        <v>销售额×税（费）率</v>
      </c>
      <c r="F48" s="175" t="str">
        <f>IF(H48="情况1","免征",'数据-取费表'!B41)</f>
        <v>免征</v>
      </c>
      <c r="G48" s="2475" t="s">
        <v>2193</v>
      </c>
      <c r="H48" s="2476" t="s">
        <v>2194</v>
      </c>
      <c r="I48" s="2474"/>
      <c r="J48" s="1808">
        <v>3</v>
      </c>
      <c r="K48" s="3135" t="s">
        <v>2195</v>
      </c>
      <c r="L48" s="3135"/>
      <c r="M48" s="3157">
        <f ca="1">H101</f>
        <v>31414</v>
      </c>
      <c r="N48" s="3157"/>
      <c r="O48" s="3157"/>
    </row>
    <row r="49" spans="1:35" ht="25.5" hidden="1" customHeight="1">
      <c r="A49" s="176" t="s">
        <v>2196</v>
      </c>
      <c r="B49" s="3071" t="s">
        <v>2197</v>
      </c>
      <c r="C49" s="3071"/>
      <c r="D49" s="177">
        <v>0</v>
      </c>
      <c r="E49" s="23" t="s">
        <v>2198</v>
      </c>
      <c r="F49" s="28" t="s">
        <v>34</v>
      </c>
      <c r="G49" s="3141"/>
      <c r="H49" s="138"/>
      <c r="I49" s="2477"/>
      <c r="J49" s="1808">
        <v>4</v>
      </c>
      <c r="K49" s="3135" t="str">
        <f>IF(项目基本情况!E8="房地产抵押价值","房地产抵押价值","抵押担保权已注销时的房地产抵押价值")</f>
        <v>房地产抵押价值</v>
      </c>
      <c r="L49" s="3135"/>
      <c r="M49" s="3157">
        <f ca="1">IF(项目基本情况!E8="房地产抵押价值",H107,H109)</f>
        <v>31414</v>
      </c>
      <c r="N49" s="3157"/>
      <c r="O49" s="3157"/>
    </row>
    <row r="50" spans="1:35" ht="25.5" hidden="1" customHeight="1">
      <c r="A50" s="178"/>
      <c r="B50" s="3071" t="s">
        <v>2199</v>
      </c>
      <c r="C50" s="3071"/>
      <c r="D50" s="179"/>
      <c r="E50" s="31"/>
      <c r="F50" s="180"/>
      <c r="G50" s="3142"/>
      <c r="H50" s="138"/>
      <c r="I50" s="2477"/>
      <c r="J50" s="3135" t="s">
        <v>2200</v>
      </c>
      <c r="K50" s="3135"/>
      <c r="L50" s="3135"/>
      <c r="M50" s="3135"/>
      <c r="N50" s="3135"/>
      <c r="O50" s="3135"/>
    </row>
    <row r="51" spans="1:35" ht="12" hidden="1" customHeight="1">
      <c r="A51" s="181"/>
      <c r="B51" s="3071" t="s">
        <v>2201</v>
      </c>
      <c r="C51" s="3071"/>
      <c r="D51" s="182"/>
      <c r="E51" s="30"/>
      <c r="F51" s="180"/>
      <c r="G51" s="3143"/>
      <c r="H51" s="138"/>
      <c r="I51" s="2477"/>
      <c r="J51" s="2478" t="s">
        <v>2202</v>
      </c>
      <c r="K51" s="3135" t="s">
        <v>2203</v>
      </c>
      <c r="L51" s="3135"/>
      <c r="M51" s="2478" t="s">
        <v>2204</v>
      </c>
      <c r="N51" s="2478" t="s">
        <v>2205</v>
      </c>
      <c r="O51" s="2478" t="s">
        <v>2206</v>
      </c>
    </row>
    <row r="52" spans="1:35" ht="24" hidden="1" customHeight="1">
      <c r="A52" s="183" t="s">
        <v>2207</v>
      </c>
      <c r="B52" s="3071" t="s">
        <v>2208</v>
      </c>
      <c r="C52" s="3071"/>
      <c r="D52" s="182">
        <f ca="1">ROUND(D45*'数据-取费表'!B41/(1+'数据-取费表'!C42),0)</f>
        <v>1675</v>
      </c>
      <c r="E52" s="11" t="s">
        <v>2209</v>
      </c>
      <c r="F52" s="184">
        <f>'数据-取费表'!B41</f>
        <v>5.6000000000000001E-2</v>
      </c>
      <c r="G52" s="2479"/>
      <c r="H52" s="138"/>
      <c r="I52" s="2477"/>
      <c r="J52" s="1808">
        <v>1</v>
      </c>
      <c r="K52" s="3136" t="s">
        <v>2210</v>
      </c>
      <c r="L52" s="3136"/>
      <c r="M52" s="1750">
        <f>D48</f>
        <v>0</v>
      </c>
      <c r="N52" s="1808" t="str">
        <f>E48</f>
        <v>销售额×税（费）率</v>
      </c>
      <c r="O52" s="1751" t="str">
        <f>F48</f>
        <v>免征</v>
      </c>
    </row>
    <row r="53" spans="1:35" ht="12" hidden="1" customHeight="1">
      <c r="A53" s="183" t="s">
        <v>2211</v>
      </c>
      <c r="B53" s="3094" t="s">
        <v>2212</v>
      </c>
      <c r="C53" s="3095"/>
      <c r="D53" s="182">
        <f ca="1">ROUND(D45*'数据-取费表'!B41/(1+'数据-取费表'!C42),0)</f>
        <v>1675</v>
      </c>
      <c r="E53" s="11" t="s">
        <v>2209</v>
      </c>
      <c r="F53" s="184">
        <f>'数据-取费表'!B41</f>
        <v>5.6000000000000001E-2</v>
      </c>
      <c r="G53" s="2479"/>
      <c r="H53" s="138"/>
      <c r="I53" s="2477"/>
      <c r="J53" s="1808">
        <v>2</v>
      </c>
      <c r="K53" s="3136" t="s">
        <v>2213</v>
      </c>
      <c r="L53" s="3136"/>
      <c r="M53" s="1750">
        <f t="shared" ref="M53:O54" ca="1" si="0">D55</f>
        <v>16</v>
      </c>
      <c r="N53" s="1808" t="str">
        <f t="shared" si="0"/>
        <v>销售额×税（费）率</v>
      </c>
      <c r="O53" s="1751">
        <f t="shared" si="0"/>
        <v>5.0000000000000001E-4</v>
      </c>
    </row>
    <row r="54" spans="1:35" ht="12" hidden="1" customHeight="1">
      <c r="A54" s="183" t="s">
        <v>2214</v>
      </c>
      <c r="B54" s="3094" t="s">
        <v>2215</v>
      </c>
      <c r="C54" s="3095"/>
      <c r="D54" s="182">
        <f ca="1">C68</f>
        <v>1675</v>
      </c>
      <c r="E54" s="30" t="s">
        <v>2216</v>
      </c>
      <c r="F54" s="184">
        <f>'数据-取费表'!B41</f>
        <v>5.6000000000000001E-2</v>
      </c>
      <c r="G54" s="2479"/>
      <c r="H54" s="2480"/>
      <c r="I54" s="2477"/>
      <c r="J54" s="1808">
        <v>3</v>
      </c>
      <c r="K54" s="3136" t="s">
        <v>2217</v>
      </c>
      <c r="L54" s="3136"/>
      <c r="M54" s="1750">
        <f t="shared" ca="1" si="0"/>
        <v>17780</v>
      </c>
      <c r="N54" s="1808" t="str">
        <f t="shared" si="0"/>
        <v>增值额×税（费）率</v>
      </c>
      <c r="O54" s="1752" t="str">
        <f t="shared" si="0"/>
        <v>——</v>
      </c>
    </row>
    <row r="55" spans="1:35" ht="24" hidden="1" customHeight="1">
      <c r="A55" s="3085" t="s">
        <v>2218</v>
      </c>
      <c r="B55" s="3086"/>
      <c r="C55" s="3086"/>
      <c r="D55" s="185">
        <f ca="1">IF(H55="个人住宅",0,ROUND(D45*I55,0))</f>
        <v>16</v>
      </c>
      <c r="E55" s="11" t="s">
        <v>2219</v>
      </c>
      <c r="F55" s="184">
        <f>IF(H55="正常",I55,"免征")</f>
        <v>5.0000000000000001E-4</v>
      </c>
      <c r="G55" s="2479"/>
      <c r="H55" s="2476" t="s">
        <v>2220</v>
      </c>
      <c r="I55" s="186">
        <f>'数据-取费表'!B49</f>
        <v>5.0000000000000001E-4</v>
      </c>
      <c r="J55" s="1808" t="str">
        <f>IF(H59="非个人房产","",4)</f>
        <v/>
      </c>
      <c r="K55" s="3136" t="str">
        <f>IF(H59="非个人房产","——","个人所得税")</f>
        <v>——</v>
      </c>
      <c r="L55" s="3136"/>
      <c r="M55" s="1753" t="str">
        <f>D59</f>
        <v>——</v>
      </c>
      <c r="N55" s="1806" t="str">
        <f>E59</f>
        <v>——</v>
      </c>
      <c r="O55" s="1754" t="str">
        <f>F59</f>
        <v>——</v>
      </c>
    </row>
    <row r="56" spans="1:35" ht="24.75" hidden="1">
      <c r="A56" s="3085" t="s">
        <v>2221</v>
      </c>
      <c r="B56" s="3086"/>
      <c r="C56" s="3086"/>
      <c r="D56" s="185">
        <f ca="1">IF(H56="个人住宅",D57,D58)</f>
        <v>17780</v>
      </c>
      <c r="E56" s="11" t="s">
        <v>2222</v>
      </c>
      <c r="F56" s="184" t="str">
        <f>IF(H56="正常",F58,"免征")</f>
        <v>——</v>
      </c>
      <c r="G56" s="2481" t="s">
        <v>2223</v>
      </c>
      <c r="H56" s="2482" t="s">
        <v>2220</v>
      </c>
      <c r="I56" s="2483"/>
      <c r="J56" s="1808" t="str">
        <f>IF(项目基本情况!K6="上海银行",IF(J55="",4,J55+1),"")</f>
        <v/>
      </c>
      <c r="K56" s="3159" t="str">
        <f>IF(项目基本情况!K6="上海银行","其他处置费用","")</f>
        <v/>
      </c>
      <c r="L56" s="3160"/>
      <c r="M56" s="1750" t="str">
        <f>IF(项目基本情况!K6="上海银行",M69,"")</f>
        <v/>
      </c>
      <c r="N56" s="3162" t="str">
        <f>IF(项目基本情况!K6="上海银行","包含处置中涉及的律师、诉讼、拍卖、评估等费用","")</f>
        <v/>
      </c>
      <c r="O56" s="3163"/>
    </row>
    <row r="57" spans="1:35" ht="12.75" hidden="1">
      <c r="A57" s="183" t="s">
        <v>2196</v>
      </c>
      <c r="B57" s="3101" t="s">
        <v>2224</v>
      </c>
      <c r="C57" s="3110"/>
      <c r="D57" s="187">
        <v>0</v>
      </c>
      <c r="E57" s="23" t="s">
        <v>2198</v>
      </c>
      <c r="F57" s="155"/>
      <c r="G57" s="2479"/>
      <c r="H57" s="2483"/>
      <c r="I57" s="2483"/>
      <c r="J57" s="3136">
        <f>IF(AND(J55="",J56=""),4,IF(项目基本情况!K6="上海银行",结果表!J56+1,结果表!J55+1))</f>
        <v>4</v>
      </c>
      <c r="K57" s="3136" t="s">
        <v>2225</v>
      </c>
      <c r="L57" s="2484" t="s">
        <v>2226</v>
      </c>
      <c r="M57" s="1755"/>
      <c r="N57" s="1756">
        <f ca="1">SUMIF(M52:M56,"&lt;9e307")</f>
        <v>17796</v>
      </c>
      <c r="O57" s="2485"/>
      <c r="P57" s="1749">
        <f ca="1">N57/M49</f>
        <v>0.56649901317883744</v>
      </c>
    </row>
    <row r="58" spans="1:35" ht="24.75" hidden="1">
      <c r="A58" s="183" t="s">
        <v>2207</v>
      </c>
      <c r="B58" s="3101" t="s">
        <v>2227</v>
      </c>
      <c r="C58" s="3102"/>
      <c r="D58" s="185">
        <f ca="1">IF(H58="转让取得",C81,C97)</f>
        <v>17780</v>
      </c>
      <c r="E58" s="11" t="s">
        <v>2222</v>
      </c>
      <c r="F58" s="24" t="s">
        <v>34</v>
      </c>
      <c r="G58" s="2479"/>
      <c r="H58" s="2482" t="s">
        <v>2228</v>
      </c>
      <c r="I58" s="2483"/>
      <c r="J58" s="3136"/>
      <c r="K58" s="3136"/>
      <c r="L58" s="2484" t="s">
        <v>2229</v>
      </c>
      <c r="M58" s="1757"/>
      <c r="N58" s="2486" t="str">
        <f ca="1">NUMBERSTRING(INT(N57*10000),2)&amp;"元整"</f>
        <v>壹亿柒仟柒佰玖拾陆万元整</v>
      </c>
      <c r="O58" s="2487"/>
    </row>
    <row r="59" spans="1:35" ht="24.75" hidden="1" thickBot="1">
      <c r="A59" s="3139" t="s">
        <v>2230</v>
      </c>
      <c r="B59" s="3140"/>
      <c r="C59" s="3140"/>
      <c r="D59" s="188" t="str">
        <f>IF(H59="非个人房产","——",IF(H59="个人住宅",0,ROUND(D45*I59,0)))</f>
        <v>——</v>
      </c>
      <c r="E59" s="189" t="str">
        <f>IF(H59="非个人房产","——","销售额×税（费）率")</f>
        <v>——</v>
      </c>
      <c r="F59" s="190" t="str">
        <f>IF(H59="非个人房产","——",IF(H59="个人住宅","免征",I59))</f>
        <v>——</v>
      </c>
      <c r="G59" s="2488" t="s">
        <v>2223</v>
      </c>
      <c r="H59" s="2482" t="s">
        <v>2231</v>
      </c>
      <c r="I59" s="191">
        <v>0.01</v>
      </c>
      <c r="J59" s="3137">
        <f>J57+1</f>
        <v>5</v>
      </c>
      <c r="K59" s="3136" t="s">
        <v>2232</v>
      </c>
      <c r="L59" s="1808" t="s">
        <v>2226</v>
      </c>
      <c r="M59" s="1758"/>
      <c r="N59" s="1759">
        <f ca="1">M49-N57</f>
        <v>13618</v>
      </c>
      <c r="O59" s="2489"/>
    </row>
    <row r="60" spans="1:35" ht="12" hidden="1" customHeight="1">
      <c r="A60" s="2490"/>
      <c r="B60" s="2412"/>
      <c r="C60" s="2412"/>
      <c r="D60" s="2412"/>
      <c r="E60" s="2161"/>
      <c r="F60" s="2483"/>
      <c r="G60" s="2483"/>
      <c r="H60" s="2491"/>
      <c r="I60" s="138"/>
      <c r="J60" s="3138"/>
      <c r="K60" s="3136"/>
      <c r="L60" s="2484" t="s">
        <v>2229</v>
      </c>
      <c r="M60" s="1757"/>
      <c r="N60" s="2486" t="str">
        <f ca="1">NUMBERSTRING(INT(N59*10000),2)&amp;"元整"</f>
        <v>壹亿叁仟陆佰壹拾捌万元整</v>
      </c>
      <c r="O60" s="2487"/>
    </row>
    <row r="61" spans="1:35" ht="13.5" hidden="1" thickBot="1">
      <c r="A61" s="3083" t="s">
        <v>2233</v>
      </c>
      <c r="B61" s="3083"/>
      <c r="C61" s="3083"/>
      <c r="D61" s="3083"/>
      <c r="E61" s="3083"/>
      <c r="F61" s="2483"/>
      <c r="G61" s="2483"/>
      <c r="H61" s="2491"/>
      <c r="I61" s="138"/>
      <c r="J61" s="1808">
        <f>J59+1</f>
        <v>6</v>
      </c>
      <c r="K61" s="3136" t="s">
        <v>2234</v>
      </c>
      <c r="L61" s="3136"/>
      <c r="M61" s="1760"/>
      <c r="N61" s="1761">
        <f ca="1">ROUND(N59*10000/'数据-汇总表'!E3,0)</f>
        <v>1240</v>
      </c>
      <c r="O61" s="2492"/>
    </row>
    <row r="62" spans="1:35" ht="12.75" hidden="1">
      <c r="A62" s="3099" t="s">
        <v>2235</v>
      </c>
      <c r="B62" s="3100"/>
      <c r="C62" s="1800"/>
      <c r="D62" s="1800" t="s">
        <v>2236</v>
      </c>
      <c r="E62" s="192" t="s">
        <v>2237</v>
      </c>
      <c r="F62" s="2483"/>
      <c r="G62" s="2483"/>
      <c r="H62" s="2491"/>
      <c r="I62" s="138"/>
    </row>
    <row r="63" spans="1:35" ht="12.75" hidden="1">
      <c r="A63" s="203" t="s">
        <v>775</v>
      </c>
      <c r="B63" s="193" t="s">
        <v>2238</v>
      </c>
      <c r="C63" s="194">
        <f ca="1">ROUND((C64+C65)/(1+'数据-取费表'!C42),0)</f>
        <v>29918</v>
      </c>
      <c r="D63" s="195"/>
      <c r="E63" s="196"/>
      <c r="F63" s="2483"/>
      <c r="G63" s="2483"/>
      <c r="H63" s="2491"/>
      <c r="I63" s="138"/>
      <c r="J63" s="3161" t="s">
        <v>2239</v>
      </c>
      <c r="K63" s="2493" t="s">
        <v>2240</v>
      </c>
      <c r="L63" s="1748">
        <f ca="1">IF(M49&gt;10000,M49*0.5%,IF(AND(M49&gt;1000,M49&lt;=10000),M49*1%,IF(AND(M49&gt;100,M49&lt;=1000),M49*3%,IF(AND(M49&gt;10,M49&lt;=100),M49*5%,M49*8%))))</f>
        <v>157.07</v>
      </c>
      <c r="M63" s="24">
        <f ca="1">ROUND(L63,1)</f>
        <v>157.1</v>
      </c>
      <c r="Z63" s="2417"/>
      <c r="AI63" s="2418"/>
    </row>
    <row r="64" spans="1:35" ht="14.25" hidden="1" customHeight="1">
      <c r="A64" s="197" t="s">
        <v>770</v>
      </c>
      <c r="B64" s="198" t="s">
        <v>2241</v>
      </c>
      <c r="C64" s="199">
        <f ca="1">D45</f>
        <v>31414</v>
      </c>
      <c r="D64" s="200" t="s">
        <v>32</v>
      </c>
      <c r="E64" s="201"/>
      <c r="F64" s="2483"/>
      <c r="G64" s="2483"/>
      <c r="H64" s="2491"/>
      <c r="I64" s="138"/>
      <c r="J64" s="3161"/>
      <c r="K64" s="2493" t="s">
        <v>2242</v>
      </c>
      <c r="L64" s="1748">
        <f ca="1">IF(M49&gt;2000,M49*0.5%,IF(AND(M49&gt;1000,M49&lt;=2000),M49*0.6%,IF(AND(M49&gt;500,M49&lt;=1000),M49*0.7%,IF(AND(M49&gt;200,M49&lt;=500),M49*0.8%,IF(AND(M49&gt;100,M49&lt;=200),M49*0.9%,IF(AND(M49&gt;50,M49&lt;=100),M49*1%,IF(AND(M49&gt;20,M49&lt;=50),M49*1.5%,IF(AND(M49&gt;10,M49&lt;=20),M49*2%,IF(AND(M49&gt;1,M49&lt;=10),M49*2.5%)))))))))</f>
        <v>157.07</v>
      </c>
      <c r="M64" s="24">
        <f t="shared" ref="M64:M65" ca="1" si="1">ROUND(L64,1)</f>
        <v>157.1</v>
      </c>
      <c r="N64" s="138" t="s">
        <v>2243</v>
      </c>
      <c r="Z64" s="2417"/>
      <c r="AI64" s="2418"/>
    </row>
    <row r="65" spans="1:35" ht="14.25" hidden="1" customHeight="1">
      <c r="A65" s="197" t="s">
        <v>771</v>
      </c>
      <c r="B65" s="198" t="s">
        <v>2244</v>
      </c>
      <c r="C65" s="202"/>
      <c r="D65" s="200"/>
      <c r="E65" s="201"/>
      <c r="F65" s="2483"/>
      <c r="G65" s="2483"/>
      <c r="H65" s="2491"/>
      <c r="I65" s="138"/>
      <c r="J65" s="3161"/>
      <c r="K65" s="2493" t="s">
        <v>2245</v>
      </c>
      <c r="L65" s="1748">
        <f ca="1">IF(M49&gt;1000,M49*0.1%,IF(AND(M49&gt;500,M49&lt;=1000),M49*0.5%,IF(AND(M49&gt;50,M49&lt;=500),M49*1%,IF(AND(M49&gt;1,M49&lt;=50),M49*1.5%))))</f>
        <v>31.414000000000001</v>
      </c>
      <c r="M65" s="24">
        <f t="shared" ca="1" si="1"/>
        <v>31.4</v>
      </c>
      <c r="N65" s="138" t="s">
        <v>2243</v>
      </c>
      <c r="Z65" s="2417"/>
      <c r="AI65" s="2418"/>
    </row>
    <row r="66" spans="1:35" ht="14.25" hidden="1" customHeight="1">
      <c r="A66" s="203" t="s">
        <v>772</v>
      </c>
      <c r="B66" s="204" t="s">
        <v>2246</v>
      </c>
      <c r="C66" s="205"/>
      <c r="D66" s="206" t="s">
        <v>32</v>
      </c>
      <c r="E66" s="1772" t="s">
        <v>1367</v>
      </c>
      <c r="F66" s="2483"/>
      <c r="G66" s="2483"/>
      <c r="H66" s="2491"/>
      <c r="I66" s="138"/>
      <c r="J66" s="3161"/>
      <c r="K66" s="2493" t="s">
        <v>2247</v>
      </c>
      <c r="L66" s="1748">
        <f ca="1">M49*0.5%</f>
        <v>157.07</v>
      </c>
      <c r="M66" s="24">
        <f ca="1">IF(L66&gt;0.5,0.5,ROUND(L66,0))</f>
        <v>0.5</v>
      </c>
      <c r="N66" s="138" t="s">
        <v>2248</v>
      </c>
      <c r="Z66" s="2417"/>
      <c r="AI66" s="2418"/>
    </row>
    <row r="67" spans="1:35" ht="14.25" hidden="1" customHeight="1">
      <c r="A67" s="203" t="s">
        <v>773</v>
      </c>
      <c r="B67" s="204" t="s">
        <v>2249</v>
      </c>
      <c r="C67" s="207">
        <f ca="1">C63-C66</f>
        <v>29918</v>
      </c>
      <c r="D67" s="200" t="s">
        <v>32</v>
      </c>
      <c r="E67" s="201"/>
      <c r="F67" s="2483"/>
      <c r="G67" s="2483"/>
      <c r="H67" s="2491"/>
      <c r="I67" s="138"/>
      <c r="J67" s="3161"/>
      <c r="K67" s="2493" t="s">
        <v>2250</v>
      </c>
      <c r="L67" s="1748">
        <f ca="1">IF(M49&gt;=10000,(8.25+(M49-10000)*0.01%),IF(AND(M49&gt;=8000,M49&lt;10000),(7.85+(M49-8000)*0.02%),IF(AND(M49&gt;=5000,M49&lt;8000),(6.65+(M49-5000)*0.04%),IF(AND(M49&gt;=2000,M49&lt;5000),(4.25+(PM49-2000)*0.08%),IF(AND(M49&gt;=1000,M49&lt;2000),(2.75+(M49-1000)*0.15%),IF(AND(M49&gt;=100,M49&lt;1000),(0.5+(M49-100)*0.25%),IF(AND(M49&gt;0,M49&lt;100),M49*0.5%)))))))</f>
        <v>10.391400000000001</v>
      </c>
      <c r="M67" s="24">
        <f ca="1">ROUND(L67*0.9,1)</f>
        <v>9.4</v>
      </c>
      <c r="Z67" s="2417"/>
      <c r="AI67" s="2418"/>
    </row>
    <row r="68" spans="1:35" ht="14.25" hidden="1" customHeight="1" thickBot="1">
      <c r="A68" s="208" t="s">
        <v>774</v>
      </c>
      <c r="B68" s="209" t="s">
        <v>2251</v>
      </c>
      <c r="C68" s="210">
        <f ca="1">IF(C67&lt;=0,0,ROUND(C67*D68,0))</f>
        <v>1675</v>
      </c>
      <c r="D68" s="211">
        <f>'数据-取费表'!B41</f>
        <v>5.6000000000000001E-2</v>
      </c>
      <c r="E68" s="212"/>
      <c r="F68" s="2483"/>
      <c r="G68" s="2483"/>
      <c r="H68" s="2491"/>
      <c r="I68" s="138"/>
      <c r="J68" s="3161"/>
      <c r="K68" s="2493" t="s">
        <v>2252</v>
      </c>
      <c r="L68" s="1748">
        <f ca="1">IF(M49&gt;10000,M49*0.5%,IF(AND(M49&gt;5000,M49&lt;=10000),M49*1%,IF(AND(M49&gt;1000,M49&lt;=5000),M49*2%,IF(AND(M49&gt;200,M49&lt;=1000),M49*3%,M49*5%))))</f>
        <v>157.07</v>
      </c>
      <c r="M68" s="24">
        <f ca="1">ROUND(L68,1)</f>
        <v>157.1</v>
      </c>
      <c r="Z68" s="2417"/>
      <c r="AI68" s="2418"/>
    </row>
    <row r="69" spans="1:35" s="2440" customFormat="1" ht="16.5" hidden="1" customHeight="1">
      <c r="A69" s="2494"/>
      <c r="B69" s="2495"/>
      <c r="C69" s="2496"/>
      <c r="D69" s="2497"/>
      <c r="E69" s="2498"/>
      <c r="F69" s="2161"/>
      <c r="G69" s="2161"/>
      <c r="H69" s="2160"/>
      <c r="I69" s="2412"/>
      <c r="J69" s="3161"/>
      <c r="K69" s="2493" t="s">
        <v>2253</v>
      </c>
      <c r="L69" s="2499"/>
      <c r="M69" s="24">
        <f ca="1">ROUND(SUM(M63:M68),0)</f>
        <v>513</v>
      </c>
      <c r="N69" s="1749">
        <f ca="1">M69/M49</f>
        <v>1.633029859298402E-2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20" t="s">
        <v>2254</v>
      </c>
      <c r="B70" s="3121"/>
      <c r="C70" s="3121"/>
      <c r="D70" s="3121"/>
      <c r="E70" s="3121"/>
      <c r="F70" s="3121"/>
      <c r="G70" s="3121"/>
      <c r="H70" s="312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099" t="s">
        <v>2235</v>
      </c>
      <c r="B71" s="3100"/>
      <c r="C71" s="1800"/>
      <c r="D71" s="1800" t="s">
        <v>2236</v>
      </c>
      <c r="E71" s="213" t="s">
        <v>2237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2255</v>
      </c>
      <c r="C72" s="207">
        <f ca="1">ROUND(D45/(1+'数据-取费表'!C42),0)</f>
        <v>29918</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2256</v>
      </c>
      <c r="C73" s="207">
        <f ca="1">C74+C78</f>
        <v>180</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2257</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2258</v>
      </c>
      <c r="C75" s="218"/>
      <c r="D75" s="200" t="s">
        <v>32</v>
      </c>
      <c r="E75" s="219" t="s">
        <v>2259</v>
      </c>
      <c r="F75" s="2505" t="s">
        <v>2260</v>
      </c>
      <c r="G75" s="219" t="s">
        <v>2261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2262</v>
      </c>
      <c r="C76" s="200">
        <f>IF(F75="购房发票",ROUND(C75*H75*D76,0),0)</f>
        <v>0</v>
      </c>
      <c r="D76" s="222">
        <v>0.05</v>
      </c>
      <c r="E76" s="3094" t="s">
        <v>2263</v>
      </c>
      <c r="F76" s="3071"/>
      <c r="G76" s="3071"/>
      <c r="H76" s="311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7" t="s">
        <v>2266</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2267</v>
      </c>
      <c r="C78" s="225">
        <f ca="1">ROUND(D45*D78/(1+'数据-取费表'!C42),0)</f>
        <v>180</v>
      </c>
      <c r="D78" s="226">
        <f>'数据-取费表'!B43</f>
        <v>6.000000000000001E-3</v>
      </c>
      <c r="E78" s="3080" t="s">
        <v>2268</v>
      </c>
      <c r="F78" s="3081"/>
      <c r="G78" s="3081"/>
      <c r="H78" s="309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2269</v>
      </c>
      <c r="C79" s="207">
        <f ca="1">C72-C73</f>
        <v>29738</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2270</v>
      </c>
      <c r="C80" s="227">
        <f ca="1">IF(C79&lt;=0,0,C79/C73)</f>
        <v>165.21111111111111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2271</v>
      </c>
      <c r="C81" s="228">
        <f ca="1">ROUND(IF(C79&lt;=0,0,IF(C80&gt;=200%,C79*60%-C73*35%,IF(C80&gt;=100%,C79*50%-C73*15%,IF(C80&gt;=50%,C79*40%-C73*5%,IF(C80&lt;50%,C79*30%,0))))),0)</f>
        <v>17780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20" t="s">
        <v>2272</v>
      </c>
      <c r="B83" s="3121"/>
      <c r="C83" s="3121"/>
      <c r="D83" s="3121"/>
      <c r="E83" s="3121"/>
      <c r="F83" s="3121"/>
      <c r="G83" s="3121"/>
      <c r="H83" s="312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099" t="s">
        <v>2235</v>
      </c>
      <c r="B84" s="3100"/>
      <c r="C84" s="1800"/>
      <c r="D84" s="1800" t="s">
        <v>2236</v>
      </c>
      <c r="E84" s="213" t="s">
        <v>2237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2255</v>
      </c>
      <c r="C85" s="207">
        <f ca="1">ROUND(D45/(1+'数据-取费表'!C42),0)</f>
        <v>29918</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2256</v>
      </c>
      <c r="C86" s="207">
        <f ca="1">IF(H88="仅含出让金",C87+C90+C91+C92+C93+C94,C87+C91+C92+C93+C94)</f>
        <v>180</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2273</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2274</v>
      </c>
      <c r="C88" s="236"/>
      <c r="D88" s="226"/>
      <c r="E88" s="237" t="s">
        <v>2275</v>
      </c>
      <c r="F88" s="1796"/>
      <c r="G88" s="238" t="s">
        <v>2276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2264</v>
      </c>
      <c r="C89" s="225">
        <f>ROUND(C88*D89,0)</f>
        <v>0</v>
      </c>
      <c r="D89" s="226">
        <f>'数据-取费表'!B48+'数据-取费表'!B49</f>
        <v>3.0499999999999999E-2</v>
      </c>
      <c r="E89" s="237" t="s">
        <v>2277</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2278</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2279</v>
      </c>
      <c r="B91" s="198" t="s">
        <v>2280</v>
      </c>
      <c r="C91" s="225">
        <f>IF(H91="——",成本法!C33,I91)</f>
        <v>0</v>
      </c>
      <c r="D91" s="226"/>
      <c r="E91" s="3080" t="s">
        <v>2281</v>
      </c>
      <c r="F91" s="3081"/>
      <c r="G91" s="3081"/>
      <c r="H91" s="2512" t="s">
        <v>2282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2283</v>
      </c>
      <c r="B92" s="198" t="s">
        <v>2284</v>
      </c>
      <c r="C92" s="225">
        <f>ROUND((C87+C90+C91)*D92,0)</f>
        <v>0</v>
      </c>
      <c r="D92" s="226">
        <v>0.1</v>
      </c>
      <c r="E92" s="3080" t="s">
        <v>2285</v>
      </c>
      <c r="F92" s="3081"/>
      <c r="G92" s="3081"/>
      <c r="H92" s="309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2286</v>
      </c>
      <c r="B93" s="198" t="s">
        <v>2267</v>
      </c>
      <c r="C93" s="225">
        <f ca="1">ROUND(D45*D93/(1+'数据-取费表'!C42),0)</f>
        <v>180</v>
      </c>
      <c r="D93" s="226">
        <f>'数据-取费表'!B43</f>
        <v>6.000000000000001E-3</v>
      </c>
      <c r="E93" s="3080" t="s">
        <v>2268</v>
      </c>
      <c r="F93" s="3081"/>
      <c r="G93" s="3081"/>
      <c r="H93" s="309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2287</v>
      </c>
      <c r="B94" s="198" t="s">
        <v>2288</v>
      </c>
      <c r="C94" s="236">
        <f>ROUND((C87+C90+C91)*D94,0)</f>
        <v>0</v>
      </c>
      <c r="D94" s="226">
        <v>0.2</v>
      </c>
      <c r="E94" s="3091" t="s">
        <v>2289</v>
      </c>
      <c r="F94" s="3092"/>
      <c r="G94" s="3092"/>
      <c r="H94" s="309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2269</v>
      </c>
      <c r="C95" s="207">
        <f ca="1">ROUND(C85-C86,0)</f>
        <v>29738</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2270</v>
      </c>
      <c r="C96" s="227">
        <f ca="1">IF(C95&lt;=0,0,C95/C86)</f>
        <v>165.21111111111111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2271</v>
      </c>
      <c r="C97" s="228">
        <f ca="1">ROUND(IF(C95&lt;=0,0,IF(C96&gt;=200%,C95*60%-C86*35%,IF(C96&gt;=100%,C95*50%-C86*15%,IF(C96&gt;=50%,C95*40%-C86*5%,IF(C96&lt;50%,C95*30%,0))))),0)</f>
        <v>17780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8"/>
    </row>
    <row r="99" spans="1:35" ht="21.75" customHeight="1" thickBot="1">
      <c r="A99" s="2468" t="s">
        <v>2290</v>
      </c>
      <c r="B99" s="2412"/>
      <c r="C99" s="2412"/>
      <c r="D99" s="2412"/>
      <c r="E99" s="2161"/>
      <c r="F99" s="2161"/>
      <c r="G99" s="2161"/>
      <c r="H99" s="2160"/>
      <c r="I99" s="138"/>
    </row>
    <row r="100" spans="1:35" ht="18.75" customHeight="1">
      <c r="A100" s="3065" t="s">
        <v>2291</v>
      </c>
      <c r="B100" s="3066"/>
      <c r="C100" s="3066"/>
      <c r="D100" s="3082"/>
      <c r="E100" s="3066" t="s">
        <v>2292</v>
      </c>
      <c r="F100" s="3066"/>
      <c r="G100" s="3066"/>
      <c r="H100" s="3082"/>
      <c r="I100" s="138"/>
    </row>
    <row r="101" spans="1:35" ht="18.75" customHeight="1">
      <c r="A101" s="3144" t="s">
        <v>2293</v>
      </c>
      <c r="B101" s="3145"/>
      <c r="C101" s="736" t="str">
        <f>C4</f>
        <v>成本法</v>
      </c>
      <c r="D101" s="737" t="str">
        <f>D4</f>
        <v>假设开发法</v>
      </c>
      <c r="E101" s="3158" t="s">
        <v>2294</v>
      </c>
      <c r="F101" s="3112"/>
      <c r="G101" s="2514" t="s">
        <v>2295</v>
      </c>
      <c r="H101" s="1045">
        <f ca="1">H118</f>
        <v>31414</v>
      </c>
      <c r="I101" s="138"/>
    </row>
    <row r="102" spans="1:35" ht="18.75" customHeight="1">
      <c r="A102" s="3114" t="s">
        <v>2296</v>
      </c>
      <c r="B102" s="2514" t="s">
        <v>2295</v>
      </c>
      <c r="C102" s="736">
        <f ca="1">C19</f>
        <v>32030</v>
      </c>
      <c r="D102" s="737">
        <f ca="1">D19</f>
        <v>30798</v>
      </c>
      <c r="E102" s="3158"/>
      <c r="F102" s="3112"/>
      <c r="G102" s="2514" t="s">
        <v>2297</v>
      </c>
      <c r="H102" s="371">
        <f ca="1">I118</f>
        <v>2859</v>
      </c>
      <c r="I102" s="138"/>
    </row>
    <row r="103" spans="1:35" ht="42.75" customHeight="1">
      <c r="A103" s="3114"/>
      <c r="B103" s="2514" t="s">
        <v>2297</v>
      </c>
      <c r="C103" s="738">
        <f ca="1">C20</f>
        <v>2915</v>
      </c>
      <c r="D103" s="739">
        <f ca="1">D20</f>
        <v>2803</v>
      </c>
      <c r="E103" s="3153" t="s">
        <v>2298</v>
      </c>
      <c r="F103" s="3154"/>
      <c r="G103" s="2515" t="s">
        <v>2299</v>
      </c>
      <c r="H103" s="1045">
        <f>IF(D36="正常操作",H104+H105+H106,H105+H106)</f>
        <v>0</v>
      </c>
      <c r="I103" s="138"/>
    </row>
    <row r="104" spans="1:35" ht="18.75" customHeight="1">
      <c r="A104" s="3114" t="s">
        <v>2300</v>
      </c>
      <c r="B104" s="2516" t="s">
        <v>2295</v>
      </c>
      <c r="C104" s="740">
        <f ca="1">H118</f>
        <v>31414</v>
      </c>
      <c r="D104" s="741"/>
      <c r="E104" s="2262" t="s">
        <v>2301</v>
      </c>
      <c r="F104" s="2253"/>
      <c r="G104" s="2515" t="s">
        <v>2299</v>
      </c>
      <c r="H104" s="1046">
        <f>IF(D36="同一抵押权人同一抵押物续贷",C36&amp;"（未扣减，详见特别提示）",C36)</f>
        <v>0</v>
      </c>
      <c r="I104" s="138"/>
    </row>
    <row r="105" spans="1:35" ht="18.75" customHeight="1" thickBot="1">
      <c r="A105" s="3115"/>
      <c r="B105" s="2517" t="s">
        <v>2297</v>
      </c>
      <c r="C105" s="742">
        <f ca="1">I118</f>
        <v>2859</v>
      </c>
      <c r="D105" s="743"/>
      <c r="E105" s="2262" t="s">
        <v>2302</v>
      </c>
      <c r="F105" s="2253"/>
      <c r="G105" s="2515" t="s">
        <v>2299</v>
      </c>
      <c r="H105" s="1046">
        <f>C37</f>
        <v>0</v>
      </c>
      <c r="I105" s="138"/>
    </row>
    <row r="106" spans="1:35" ht="18.75" customHeight="1">
      <c r="A106" s="2412" t="s">
        <v>2303</v>
      </c>
      <c r="B106" s="2412"/>
      <c r="C106" s="2412"/>
      <c r="D106" s="2412"/>
      <c r="E106" s="2518" t="s">
        <v>2304</v>
      </c>
      <c r="F106" s="2253"/>
      <c r="G106" s="2515" t="s">
        <v>2299</v>
      </c>
      <c r="H106" s="1046">
        <f>C38</f>
        <v>0</v>
      </c>
      <c r="I106" s="138"/>
    </row>
    <row r="107" spans="1:35" ht="18.75" customHeight="1">
      <c r="A107" s="138"/>
      <c r="B107" s="138"/>
      <c r="C107" s="138"/>
      <c r="D107" s="138"/>
      <c r="E107" s="3111" t="str">
        <f>IF(项目基本情况!E8="已注销","——","3.房地产抵押价值")</f>
        <v>3.房地产抵押价值</v>
      </c>
      <c r="F107" s="3112"/>
      <c r="G107" s="2514" t="s">
        <v>2295</v>
      </c>
      <c r="H107" s="1045">
        <f ca="1">IF(E107="——","——",H101-H103)</f>
        <v>31414</v>
      </c>
      <c r="I107" s="138"/>
    </row>
    <row r="108" spans="1:35" ht="18.75" customHeight="1" thickBot="1">
      <c r="A108" s="138"/>
      <c r="B108" s="138"/>
      <c r="C108" s="138"/>
      <c r="D108" s="138"/>
      <c r="E108" s="3111"/>
      <c r="F108" s="3112"/>
      <c r="G108" s="2514" t="s">
        <v>2297</v>
      </c>
      <c r="H108" s="371">
        <f ca="1">ROUND(H107*10000/'数据-汇总表'!E3,0)</f>
        <v>2859</v>
      </c>
      <c r="I108" s="138"/>
    </row>
    <row r="109" spans="1:35" ht="18.75" hidden="1"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4" t="s">
        <v>2295</v>
      </c>
      <c r="H109" s="348" t="str">
        <f>IF(E109="——","——",H101-H105-H106)</f>
        <v>——</v>
      </c>
      <c r="I109" s="138"/>
    </row>
    <row r="110" spans="1:35" ht="18.75" hidden="1" customHeight="1">
      <c r="A110" s="138"/>
      <c r="B110" s="138"/>
      <c r="C110" s="138"/>
      <c r="D110" s="138"/>
      <c r="E110" s="3111"/>
      <c r="F110" s="3112"/>
      <c r="G110" s="2514" t="s">
        <v>2297</v>
      </c>
      <c r="H110" s="371" t="str">
        <f>IF(H109="——","——",ROUND(H109*10000/'数据-汇总表'!E3,0))</f>
        <v>——</v>
      </c>
      <c r="I110" s="138"/>
    </row>
    <row r="111" spans="1:35" ht="18.75" hidden="1" customHeight="1">
      <c r="A111" s="138"/>
      <c r="B111" s="138"/>
      <c r="C111" s="138"/>
      <c r="D111" s="138"/>
      <c r="E111" s="3146" t="str">
        <f>IF(项目基本情况!E9="抵押净值",IF(OR(项目基本情况!E8="已注销",项目基本情况!E8="房地产抵押价值"),"4.抵押净值","5.抵押净值"),"——")</f>
        <v>——</v>
      </c>
      <c r="F111" s="3147"/>
      <c r="G111" s="2514" t="s">
        <v>2295</v>
      </c>
      <c r="H111" s="1045" t="str">
        <f>IF(E111="——","——",N59)</f>
        <v>——</v>
      </c>
      <c r="I111" s="138"/>
    </row>
    <row r="112" spans="1:35" ht="18.75" hidden="1" customHeight="1" thickBot="1">
      <c r="A112" s="138"/>
      <c r="B112" s="138"/>
      <c r="C112" s="138"/>
      <c r="D112" s="138"/>
      <c r="E112" s="3148"/>
      <c r="F112" s="3149"/>
      <c r="G112" s="2519" t="s">
        <v>2297</v>
      </c>
      <c r="H112" s="790" t="str">
        <f>IF(E111="——","——",N61)</f>
        <v>——</v>
      </c>
      <c r="I112" s="138"/>
    </row>
    <row r="113" spans="1:11" ht="18.75" customHeight="1">
      <c r="A113" s="138"/>
      <c r="B113" s="138"/>
      <c r="C113" s="138"/>
      <c r="D113" s="138"/>
      <c r="E113" s="3116" t="s">
        <v>2303</v>
      </c>
      <c r="F113" s="3116"/>
      <c r="G113" s="3116"/>
      <c r="H113" s="3116"/>
      <c r="I113" s="138"/>
    </row>
    <row r="114" spans="1:11" ht="3.75" customHeight="1">
      <c r="A114" s="2412"/>
      <c r="B114" s="2412"/>
      <c r="C114" s="2412"/>
      <c r="D114" s="2412"/>
      <c r="E114" s="2490"/>
      <c r="F114" s="2490"/>
      <c r="G114" s="2490"/>
      <c r="H114" s="2490"/>
      <c r="I114" s="2412"/>
    </row>
    <row r="115" spans="1:11" ht="18.75" customHeight="1">
      <c r="A115" s="3129" t="s">
        <v>2305</v>
      </c>
      <c r="B115" s="3130"/>
      <c r="C115" s="3130"/>
      <c r="D115" s="3130"/>
      <c r="E115" s="3130"/>
      <c r="F115" s="3130"/>
      <c r="G115" s="3130"/>
      <c r="H115" s="3130"/>
      <c r="I115" s="3131"/>
    </row>
    <row r="116" spans="1:11" ht="27" customHeight="1">
      <c r="A116" s="3022" t="s">
        <v>2306</v>
      </c>
      <c r="B116" s="3117" t="s">
        <v>2307</v>
      </c>
      <c r="C116" s="3117" t="s">
        <v>2308</v>
      </c>
      <c r="D116" s="3133" t="s">
        <v>2309</v>
      </c>
      <c r="E116" s="3134"/>
      <c r="F116" s="3125" t="s">
        <v>2310</v>
      </c>
      <c r="G116" s="3125"/>
      <c r="H116" s="3022" t="s">
        <v>2311</v>
      </c>
      <c r="I116" s="3022"/>
    </row>
    <row r="117" spans="1:11" ht="18.75" customHeight="1">
      <c r="A117" s="3022"/>
      <c r="B117" s="3118"/>
      <c r="C117" s="3118"/>
      <c r="D117" s="1794" t="s">
        <v>2312</v>
      </c>
      <c r="E117" s="1794" t="s">
        <v>2313</v>
      </c>
      <c r="F117" s="1794" t="s">
        <v>2312</v>
      </c>
      <c r="G117" s="1794" t="s">
        <v>2314</v>
      </c>
      <c r="H117" s="1794" t="s">
        <v>2312</v>
      </c>
      <c r="I117" s="1794" t="s">
        <v>2314</v>
      </c>
    </row>
    <row r="118" spans="1:11" ht="24.75" customHeight="1">
      <c r="A118" s="2520" t="str">
        <f>项目基本情况!S2</f>
        <v>安徽省芜湖市鸠江区江北集中区东至和声路、北至长河南路商务金融用地出让国有建设用地使用权及在建建筑物房地产</v>
      </c>
      <c r="B118" s="1794">
        <f>M18</f>
        <v>109861.36</v>
      </c>
      <c r="C118" s="1794">
        <f>M19</f>
        <v>84185</v>
      </c>
      <c r="D118" s="1794">
        <f ca="1">ROUND(IF(D32="总价",C34,E118*B118/10000),0)</f>
        <v>19791</v>
      </c>
      <c r="E118" s="1794">
        <f ca="1">ROUND(IF(C33="自定义",IF(D32="楼面单价",C34,D118*10000/B118),I118-G118),0)</f>
        <v>1801</v>
      </c>
      <c r="F118" s="1794">
        <f ca="1">ROUND(IF(D32="总价",C35,G118*B118/10000),0)</f>
        <v>11623</v>
      </c>
      <c r="G118" s="1794">
        <f ca="1">ROUND(IF(D32="楼面单价",C35,F118*10000/B118),0)</f>
        <v>1058</v>
      </c>
      <c r="H118" s="1794">
        <f ca="1">ROUND(IF(D32="总价",C32,I118*B118/10000),0)</f>
        <v>31414</v>
      </c>
      <c r="I118" s="1794">
        <f ca="1">ROUND(IF(D32="楼面单价",C32,H118*10000/B118),0)</f>
        <v>2859</v>
      </c>
    </row>
    <row r="119" spans="1:11" ht="18.75" customHeight="1">
      <c r="A119" s="3022" t="s">
        <v>2315</v>
      </c>
      <c r="B119" s="3022"/>
      <c r="C119" s="3022"/>
      <c r="D119" s="3122" t="str">
        <f ca="1">NUMBERSTRING(INT(D118*10000),2)&amp;"元整"</f>
        <v>壹亿玖仟柒佰玖拾壹万元整</v>
      </c>
      <c r="E119" s="3124"/>
      <c r="F119" s="3122" t="str">
        <f ca="1">NUMBERSTRING(INT(F118*10000),2)&amp;"元整"</f>
        <v>壹亿壹仟陆佰贰拾叁万元整</v>
      </c>
      <c r="G119" s="3124"/>
      <c r="H119" s="3122" t="str">
        <f ca="1">NUMBERSTRING(INT(H118*10000),2)&amp;"元整"</f>
        <v>叁亿壹仟肆佰壹拾肆万元整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17" t="str">
        <f>IF(D120=0,"故，本次评估不存在"&amp;A120,"故，本次评估"&amp;A120&amp;"为人民币"&amp;D120&amp;"万元整。")</f>
        <v>故，本次评估不存在估价师知悉的法定优先受偿款</v>
      </c>
    </row>
    <row r="121" spans="1:11" ht="18.75" customHeight="1">
      <c r="A121" s="3126" t="s">
        <v>2315</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31414</v>
      </c>
      <c r="E122" s="3151"/>
      <c r="F122" s="3151"/>
      <c r="G122" s="3151"/>
      <c r="H122" s="3151"/>
      <c r="I122" s="3152"/>
    </row>
    <row r="123" spans="1:11" ht="18.75" customHeight="1">
      <c r="A123" s="3022" t="s">
        <v>2315</v>
      </c>
      <c r="B123" s="3022"/>
      <c r="C123" s="3022"/>
      <c r="D123" s="3122" t="str">
        <f ca="1">NUMBERSTRING(INT(D122*10000),2)&amp;"元整"</f>
        <v>叁亿壹仟肆佰壹拾肆万元整</v>
      </c>
      <c r="E123" s="3123"/>
      <c r="F123" s="3123"/>
      <c r="G123" s="3123"/>
      <c r="H123" s="3123"/>
      <c r="I123" s="3124"/>
    </row>
    <row r="124" spans="1:11" ht="18.75" hidden="1" customHeight="1">
      <c r="A124" s="3113" t="str">
        <f>IF(项目基本情况!B9="房地产市场价值","",MID(E109,3,LEN(E109)-2))</f>
        <v/>
      </c>
      <c r="B124" s="3113"/>
      <c r="C124" s="3113"/>
      <c r="D124" s="3150" t="str">
        <f>H109</f>
        <v>——</v>
      </c>
      <c r="E124" s="3151"/>
      <c r="F124" s="3151"/>
      <c r="G124" s="3151"/>
      <c r="H124" s="3151"/>
      <c r="I124" s="3152"/>
    </row>
    <row r="125" spans="1:11" ht="18.75" hidden="1" customHeight="1">
      <c r="A125" s="3022" t="s">
        <v>2315</v>
      </c>
      <c r="B125" s="3022"/>
      <c r="C125" s="3022"/>
      <c r="D125" s="3122" t="e">
        <f>NUMBERSTRING(INT(D124*10000),2)&amp;"元整"</f>
        <v>#VALUE!</v>
      </c>
      <c r="E125" s="3123"/>
      <c r="F125" s="3123"/>
      <c r="G125" s="3123"/>
      <c r="H125" s="3123"/>
      <c r="I125" s="3124"/>
    </row>
    <row r="126" spans="1:11" ht="18.75" hidden="1" customHeight="1">
      <c r="A126" s="3113" t="str">
        <f>IF(项目基本情况!B9="房地产市场价值","",MID(E111,3,LEN(E111)-2))</f>
        <v/>
      </c>
      <c r="B126" s="3113"/>
      <c r="C126" s="3113"/>
      <c r="D126" s="3150" t="str">
        <f>H111</f>
        <v>——</v>
      </c>
      <c r="E126" s="3151"/>
      <c r="F126" s="3151"/>
      <c r="G126" s="3151"/>
      <c r="H126" s="3151"/>
      <c r="I126" s="3152"/>
    </row>
    <row r="127" spans="1:11" ht="18.75" hidden="1" customHeight="1">
      <c r="A127" s="3022" t="s">
        <v>2315</v>
      </c>
      <c r="B127" s="3022"/>
      <c r="C127" s="3022"/>
      <c r="D127" s="3122" t="e">
        <f>NUMBERSTRING(INT(D126*10000),2)&amp;"元整"</f>
        <v>#VALUE!</v>
      </c>
      <c r="E127" s="3123"/>
      <c r="F127" s="3123"/>
      <c r="G127" s="3123"/>
      <c r="H127" s="3123"/>
      <c r="I127" s="3124"/>
    </row>
    <row r="128" spans="1:11" ht="21.75" customHeight="1">
      <c r="A128" s="3132" t="s">
        <v>2316</v>
      </c>
      <c r="B128" s="3132"/>
      <c r="C128" s="3132"/>
      <c r="D128" s="3132"/>
      <c r="E128" s="3132"/>
      <c r="F128" s="3132"/>
      <c r="G128" s="3132"/>
      <c r="H128" s="3132"/>
      <c r="I128" s="3132"/>
    </row>
    <row r="129" spans="1:35" ht="21.75" customHeight="1">
      <c r="A129" s="2521" t="s">
        <v>2317</v>
      </c>
      <c r="B129" s="2522"/>
      <c r="C129" s="2523" t="s">
        <v>2318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2319</v>
      </c>
      <c r="G135" s="2538"/>
      <c r="H135" s="2538"/>
      <c r="I135" s="2539" t="s">
        <v>2320</v>
      </c>
    </row>
    <row r="136" spans="1:35" ht="21.75" customHeight="1">
      <c r="A136" s="795"/>
      <c r="B136" s="2540"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2322</v>
      </c>
    </row>
    <row r="139" spans="1:35" ht="21.75" customHeight="1">
      <c r="A139" s="795"/>
      <c r="B139" s="2540" t="s">
        <v>2323</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2322</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47" sqref="M4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14356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1307</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68" t="s">
        <v>2641</v>
      </c>
      <c r="D4" s="3181"/>
      <c r="E4" s="3182" t="s">
        <v>2642</v>
      </c>
      <c r="F4" s="3183"/>
      <c r="G4" s="3168" t="s">
        <v>2643</v>
      </c>
      <c r="H4" s="3181"/>
      <c r="I4" s="3168" t="s">
        <v>2644</v>
      </c>
      <c r="J4" s="3181"/>
      <c r="K4" s="610" t="s">
        <v>2645</v>
      </c>
      <c r="L4" s="1130"/>
      <c r="M4" s="1131"/>
      <c r="N4" s="1131"/>
      <c r="O4" s="1131"/>
      <c r="P4" s="3184" t="s">
        <v>2646</v>
      </c>
      <c r="Q4" s="3185"/>
      <c r="R4" s="3190" t="s">
        <v>2642</v>
      </c>
      <c r="S4" s="3191"/>
      <c r="T4" s="3190" t="s">
        <v>2643</v>
      </c>
      <c r="U4" s="3191"/>
      <c r="V4" s="3177" t="s">
        <v>2644</v>
      </c>
      <c r="W4" s="3177"/>
      <c r="X4" s="1812"/>
      <c r="Y4" s="3190" t="s">
        <v>2646</v>
      </c>
      <c r="Z4" s="3191"/>
      <c r="AA4" s="3178" t="s">
        <v>2642</v>
      </c>
      <c r="AB4" s="3179" t="s">
        <v>2643</v>
      </c>
      <c r="AC4" s="3178" t="s">
        <v>2644</v>
      </c>
    </row>
    <row r="5" spans="1:30" ht="15">
      <c r="A5" s="404"/>
      <c r="B5" s="405"/>
      <c r="C5" s="3198" t="s">
        <v>2537</v>
      </c>
      <c r="D5" s="3199"/>
      <c r="E5" s="3205" t="str">
        <f>土地案例!A2</f>
        <v>滨湖大道以北,苏皖大市场以南</v>
      </c>
      <c r="F5" s="3206"/>
      <c r="G5" s="3198" t="str">
        <f>土地案例!A3</f>
        <v>滨湖大道以北,芜宣高速以西,苏皖大市场以南</v>
      </c>
      <c r="H5" s="3199"/>
      <c r="I5" s="3198" t="str">
        <f>土地案例!A4</f>
        <v>北至现状支路一、南至保定新城、西至空地、东至保定中心小学</v>
      </c>
      <c r="J5" s="3199"/>
      <c r="K5" s="610"/>
      <c r="L5" s="1130"/>
      <c r="M5" s="1131"/>
      <c r="N5" s="1131"/>
      <c r="O5" s="1131"/>
      <c r="P5" s="3186"/>
      <c r="Q5" s="3187"/>
      <c r="R5" s="3192"/>
      <c r="S5" s="3193"/>
      <c r="T5" s="3192"/>
      <c r="U5" s="3193"/>
      <c r="V5" s="3177"/>
      <c r="W5" s="3177"/>
      <c r="X5" s="1812"/>
      <c r="Y5" s="3192"/>
      <c r="Z5" s="3193"/>
      <c r="AA5" s="3179"/>
      <c r="AB5" s="3179"/>
      <c r="AC5" s="3179"/>
    </row>
    <row r="6" spans="1:30" ht="15.75" thickBot="1">
      <c r="A6" s="406"/>
      <c r="B6" s="407"/>
      <c r="C6" s="3196" t="s">
        <v>2541</v>
      </c>
      <c r="D6" s="3197"/>
      <c r="E6" s="3203" t="s">
        <v>2541</v>
      </c>
      <c r="F6" s="3204"/>
      <c r="G6" s="3196" t="s">
        <v>2541</v>
      </c>
      <c r="H6" s="3197"/>
      <c r="I6" s="3196" t="s">
        <v>2541</v>
      </c>
      <c r="J6" s="3197"/>
      <c r="K6" s="610" t="s">
        <v>2542</v>
      </c>
      <c r="L6" s="1130"/>
      <c r="M6" s="1131"/>
      <c r="N6" s="1131"/>
      <c r="O6" s="1131"/>
      <c r="P6" s="3188"/>
      <c r="Q6" s="3189"/>
      <c r="R6" s="3192"/>
      <c r="S6" s="3193"/>
      <c r="T6" s="3194"/>
      <c r="U6" s="3195"/>
      <c r="V6" s="3177"/>
      <c r="W6" s="3177"/>
      <c r="X6" s="1812"/>
      <c r="Y6" s="3194"/>
      <c r="Z6" s="3195"/>
      <c r="AA6" s="3180"/>
      <c r="AB6" s="3180"/>
      <c r="AC6" s="3180"/>
    </row>
    <row r="7" spans="1:30" s="117" customFormat="1" ht="15.75" thickBot="1">
      <c r="A7" s="408" t="s">
        <v>2543</v>
      </c>
      <c r="B7" s="409"/>
      <c r="C7" s="410">
        <f>'数据-取费表'!B2</f>
        <v>43630</v>
      </c>
      <c r="D7" s="411">
        <v>100</v>
      </c>
      <c r="E7" s="412" t="str">
        <f>土地案例!AA2</f>
        <v>2018-12-04</v>
      </c>
      <c r="F7" s="413">
        <f>SUMIF(70:70,YEAR(E7)&amp;"-"&amp;INT((MONTH(E7)+2)/3),71:71)</f>
        <v>99</v>
      </c>
      <c r="G7" s="2692" t="str">
        <f>土地案例!AA3</f>
        <v>2018-12-04</v>
      </c>
      <c r="H7" s="411">
        <f>SUMIF(70:70,YEAR(G7)&amp;"-"&amp;INT((MONTH(G7)+2)/3),71:71)</f>
        <v>99</v>
      </c>
      <c r="I7" s="2692" t="str">
        <f>土地案例!AA4</f>
        <v>2018-09-27</v>
      </c>
      <c r="J7" s="411">
        <f>SUMIF(70:70,YEAR(I7)&amp;"-"&amp;INT((MONTH(I7)+2)/3),71:71)</f>
        <v>98.5</v>
      </c>
      <c r="K7" s="611"/>
      <c r="L7" s="1132"/>
      <c r="M7" s="1133"/>
      <c r="N7" s="1133"/>
      <c r="O7" s="1133"/>
      <c r="P7" s="3200" t="s">
        <v>2544</v>
      </c>
      <c r="Q7" s="3202"/>
      <c r="R7" s="770" t="s">
        <v>17</v>
      </c>
      <c r="S7" s="771">
        <f t="shared" ref="S7:S15" si="0">F7</f>
        <v>99</v>
      </c>
      <c r="T7" s="770" t="s">
        <v>17</v>
      </c>
      <c r="U7" s="771">
        <f t="shared" ref="U7:U15" si="1">H7</f>
        <v>99</v>
      </c>
      <c r="V7" s="770" t="s">
        <v>17</v>
      </c>
      <c r="W7" s="771">
        <f t="shared" ref="W7:W15" si="2">J7</f>
        <v>98.5</v>
      </c>
      <c r="X7" s="772"/>
      <c r="Y7" s="3200" t="s">
        <v>2544</v>
      </c>
      <c r="Z7" s="3201"/>
      <c r="AA7" s="773">
        <f>D7/F7</f>
        <v>1.0101010101010102</v>
      </c>
      <c r="AB7" s="773">
        <f>D7/H7</f>
        <v>1.0101010101010102</v>
      </c>
      <c r="AC7" s="773">
        <f>D7/J7</f>
        <v>1.015228426395939</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32"/>
      <c r="M8" s="1133"/>
      <c r="N8" s="1133"/>
      <c r="O8" s="1133"/>
      <c r="P8" s="3200" t="s">
        <v>2547</v>
      </c>
      <c r="Q8" s="3201"/>
      <c r="R8" s="770" t="s">
        <v>17</v>
      </c>
      <c r="S8" s="771">
        <f t="shared" si="0"/>
        <v>100</v>
      </c>
      <c r="T8" s="770" t="s">
        <v>17</v>
      </c>
      <c r="U8" s="771">
        <f t="shared" si="1"/>
        <v>100</v>
      </c>
      <c r="V8" s="770" t="s">
        <v>17</v>
      </c>
      <c r="W8" s="771">
        <f t="shared" si="2"/>
        <v>100</v>
      </c>
      <c r="X8" s="772"/>
      <c r="Y8" s="3200" t="s">
        <v>2547</v>
      </c>
      <c r="Z8" s="3201"/>
      <c r="AA8" s="773">
        <f t="shared" ref="AA8:AA45" si="3">D8/F8</f>
        <v>1</v>
      </c>
      <c r="AB8" s="773">
        <f t="shared" ref="AB8:AB45" si="4">D8/H8</f>
        <v>1</v>
      </c>
      <c r="AC8" s="773">
        <f t="shared" ref="AC8:AC45" si="5">D8/J8</f>
        <v>1</v>
      </c>
    </row>
    <row r="9" spans="1:30" s="117" customFormat="1">
      <c r="A9" s="415" t="s">
        <v>2548</v>
      </c>
      <c r="B9" s="71" t="s">
        <v>2549</v>
      </c>
      <c r="C9" s="2695" t="s">
        <v>3291</v>
      </c>
      <c r="D9" s="135">
        <v>100</v>
      </c>
      <c r="E9" s="2695" t="s">
        <v>3291</v>
      </c>
      <c r="F9" s="135">
        <f>SUMIF(75:75,E9,76:76)-SUMIF(75:75,C9,76:76)+100</f>
        <v>100</v>
      </c>
      <c r="G9" s="2695" t="s">
        <v>3291</v>
      </c>
      <c r="H9" s="135">
        <f>SUMIF(75:75,G9,76:76)-SUMIF(75:75,C9,76:76)+100</f>
        <v>100</v>
      </c>
      <c r="I9" s="2695" t="s">
        <v>3291</v>
      </c>
      <c r="J9" s="135">
        <f>SUMIF(75:75,I9,76:76)-SUMIF(75:75,C9,76:76)+100</f>
        <v>100</v>
      </c>
      <c r="K9" s="611"/>
      <c r="L9" s="1132"/>
      <c r="M9" s="1133"/>
      <c r="N9" s="1133"/>
      <c r="O9" s="1134"/>
      <c r="P9" s="3171" t="s">
        <v>2550</v>
      </c>
      <c r="Q9" s="1794"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30" s="427" customFormat="1" ht="27">
      <c r="A10" s="421"/>
      <c r="B10" s="422" t="s">
        <v>2552</v>
      </c>
      <c r="C10" s="432">
        <f>'数据-取费表'!F7</f>
        <v>34.590000000000003</v>
      </c>
      <c r="D10" s="136">
        <v>100</v>
      </c>
      <c r="E10" s="465" t="s">
        <v>3302</v>
      </c>
      <c r="F10" s="136">
        <f>ROUND(100/'数据-取费表'!G16,0)</f>
        <v>105</v>
      </c>
      <c r="G10" s="463" t="s">
        <v>3302</v>
      </c>
      <c r="H10" s="136">
        <f>ROUND(100/'数据-取费表'!G16,0)</f>
        <v>105</v>
      </c>
      <c r="I10" s="463" t="s">
        <v>3302</v>
      </c>
      <c r="J10" s="136">
        <f>ROUND(100/'数据-取费表'!G16,0)</f>
        <v>105</v>
      </c>
      <c r="K10" s="672"/>
      <c r="L10" s="1135"/>
      <c r="M10" s="1136"/>
      <c r="N10" s="1136"/>
      <c r="O10" s="1137"/>
      <c r="P10" s="3171"/>
      <c r="Q10" s="1794" t="str">
        <f t="shared" si="6"/>
        <v>土地使用年限（年）</v>
      </c>
      <c r="R10" s="770" t="s">
        <v>17</v>
      </c>
      <c r="S10" s="771">
        <f t="shared" si="0"/>
        <v>105</v>
      </c>
      <c r="T10" s="770" t="s">
        <v>17</v>
      </c>
      <c r="U10" s="771">
        <f t="shared" si="1"/>
        <v>105</v>
      </c>
      <c r="V10" s="770" t="s">
        <v>17</v>
      </c>
      <c r="W10" s="771">
        <f t="shared" si="2"/>
        <v>105</v>
      </c>
      <c r="X10" s="772"/>
      <c r="Y10" s="3022"/>
      <c r="Z10" s="55" t="str">
        <f t="shared" si="7"/>
        <v>土地使用年限（年）</v>
      </c>
      <c r="AA10" s="773">
        <f t="shared" si="3"/>
        <v>0.95238095238095233</v>
      </c>
      <c r="AB10" s="773">
        <f t="shared" si="4"/>
        <v>0.95238095238095233</v>
      </c>
      <c r="AC10" s="773">
        <f t="shared" si="5"/>
        <v>0.95238095238095233</v>
      </c>
    </row>
    <row r="11" spans="1:30" ht="15">
      <c r="A11" s="428"/>
      <c r="B11" s="422" t="s">
        <v>2553</v>
      </c>
      <c r="C11" s="429">
        <f>'数据-汇总表'!I6</f>
        <v>1.26</v>
      </c>
      <c r="D11" s="136">
        <v>100</v>
      </c>
      <c r="E11" s="429">
        <f>土地案例!L2</f>
        <v>2</v>
      </c>
      <c r="F11" s="136">
        <f>LOOKUP(E11,80:80,81:81)-LOOKUP(C11,80:80,81:81)+100</f>
        <v>100</v>
      </c>
      <c r="G11" s="430">
        <f>土地案例!L3</f>
        <v>2</v>
      </c>
      <c r="H11" s="136">
        <f>LOOKUP(G11,80:80,81:81)-LOOKUP(C11,80:80,81:81)+100</f>
        <v>100</v>
      </c>
      <c r="I11" s="429">
        <f>土地案例!L4</f>
        <v>1.6</v>
      </c>
      <c r="J11" s="136">
        <f>LOOKUP(I11,80:80,81:81)-LOOKUP(C11,80:80,81:81)+100</f>
        <v>100</v>
      </c>
      <c r="K11" s="673"/>
      <c r="L11" s="1138"/>
      <c r="M11" s="1131"/>
      <c r="N11" s="1131"/>
      <c r="O11" s="1139"/>
      <c r="P11" s="3171"/>
      <c r="Q11" s="1794" t="str">
        <f t="shared" si="6"/>
        <v>容积率</v>
      </c>
      <c r="R11" s="770" t="s">
        <v>17</v>
      </c>
      <c r="S11" s="771">
        <f t="shared" si="0"/>
        <v>100</v>
      </c>
      <c r="T11" s="770" t="s">
        <v>17</v>
      </c>
      <c r="U11" s="771">
        <f t="shared" si="1"/>
        <v>100</v>
      </c>
      <c r="V11" s="770" t="s">
        <v>17</v>
      </c>
      <c r="W11" s="771">
        <f t="shared" si="2"/>
        <v>100</v>
      </c>
      <c r="X11" s="772"/>
      <c r="Y11" s="3022"/>
      <c r="Z11" s="55" t="str">
        <f t="shared" si="7"/>
        <v>容积率</v>
      </c>
      <c r="AA11" s="773">
        <f t="shared" si="3"/>
        <v>1</v>
      </c>
      <c r="AB11" s="773">
        <f t="shared" si="4"/>
        <v>1</v>
      </c>
      <c r="AC11" s="773">
        <f t="shared" si="5"/>
        <v>1</v>
      </c>
    </row>
    <row r="12" spans="1:30" s="117" customFormat="1" ht="15" hidden="1">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1"/>
      <c r="Q12" s="1794"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1"/>
      <c r="Q13" s="1794">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1"/>
      <c r="Q14" s="1794">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15" hidden="1">
      <c r="A15" s="440" t="s">
        <v>2554</v>
      </c>
      <c r="B15" s="69" t="s">
        <v>2085</v>
      </c>
      <c r="C15" s="2599"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173" t="s">
        <v>2555</v>
      </c>
      <c r="Q15" s="1809" t="str">
        <f t="shared" si="6"/>
        <v>居住社区成熟度</v>
      </c>
      <c r="R15" s="774" t="s">
        <v>17</v>
      </c>
      <c r="S15" s="775">
        <f t="shared" si="0"/>
        <v>100</v>
      </c>
      <c r="T15" s="774" t="s">
        <v>17</v>
      </c>
      <c r="U15" s="775">
        <f t="shared" si="1"/>
        <v>100</v>
      </c>
      <c r="V15" s="774" t="s">
        <v>17</v>
      </c>
      <c r="W15" s="775">
        <f t="shared" si="2"/>
        <v>100</v>
      </c>
      <c r="X15" s="1812"/>
      <c r="Y15" s="3173" t="s">
        <v>2555</v>
      </c>
      <c r="Z15" s="1813" t="str">
        <f t="shared" si="7"/>
        <v>居住社区成熟度</v>
      </c>
      <c r="AA15" s="1810">
        <f t="shared" si="3"/>
        <v>1</v>
      </c>
      <c r="AB15" s="1810">
        <f t="shared" si="4"/>
        <v>1</v>
      </c>
      <c r="AC15" s="1810">
        <f t="shared" si="5"/>
        <v>1</v>
      </c>
    </row>
    <row r="16" spans="1:30" ht="15" hidden="1">
      <c r="A16" s="428"/>
      <c r="B16" s="446"/>
      <c r="C16" s="447"/>
      <c r="D16" s="448"/>
      <c r="E16" s="2601"/>
      <c r="F16" s="448"/>
      <c r="G16" s="2601"/>
      <c r="H16" s="450"/>
      <c r="I16" s="2600"/>
      <c r="J16" s="448"/>
      <c r="K16" s="672"/>
      <c r="L16" s="1140"/>
      <c r="M16" s="1131"/>
      <c r="N16" s="1131"/>
      <c r="O16" s="1139"/>
      <c r="P16" s="3174"/>
      <c r="Q16" s="1809"/>
      <c r="R16" s="774"/>
      <c r="S16" s="775"/>
      <c r="T16" s="774"/>
      <c r="U16" s="775"/>
      <c r="V16" s="774"/>
      <c r="W16" s="775"/>
      <c r="X16" s="1812"/>
      <c r="Y16" s="3174"/>
      <c r="Z16" s="1813"/>
      <c r="AA16" s="1810">
        <v>1</v>
      </c>
      <c r="AB16" s="1810">
        <v>1</v>
      </c>
      <c r="AC16" s="1810">
        <v>1</v>
      </c>
    </row>
    <row r="17" spans="1:29" ht="15">
      <c r="A17" s="428"/>
      <c r="B17" s="451" t="s">
        <v>2648</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74"/>
      <c r="Q17" s="1809" t="str">
        <f>B17</f>
        <v>商业繁华度</v>
      </c>
      <c r="R17" s="774" t="s">
        <v>17</v>
      </c>
      <c r="S17" s="775">
        <f>F17</f>
        <v>100</v>
      </c>
      <c r="T17" s="774" t="s">
        <v>17</v>
      </c>
      <c r="U17" s="775">
        <f>H17</f>
        <v>100</v>
      </c>
      <c r="V17" s="774" t="s">
        <v>17</v>
      </c>
      <c r="W17" s="775">
        <f>J17</f>
        <v>100</v>
      </c>
      <c r="X17" s="1812"/>
      <c r="Y17" s="3174"/>
      <c r="Z17" s="1813" t="str">
        <f>Q17</f>
        <v>商业繁华度</v>
      </c>
      <c r="AA17" s="1810">
        <f t="shared" si="3"/>
        <v>1</v>
      </c>
      <c r="AB17" s="1810">
        <f t="shared" si="4"/>
        <v>1</v>
      </c>
      <c r="AC17" s="1810">
        <f t="shared" si="5"/>
        <v>1</v>
      </c>
    </row>
    <row r="18" spans="1:29" ht="15">
      <c r="A18" s="428"/>
      <c r="B18" s="456"/>
      <c r="C18" s="2604" t="s">
        <v>3288</v>
      </c>
      <c r="D18" s="450"/>
      <c r="E18" s="2604" t="s">
        <v>3288</v>
      </c>
      <c r="F18" s="450"/>
      <c r="G18" s="2604" t="s">
        <v>3288</v>
      </c>
      <c r="H18" s="448"/>
      <c r="I18" s="2604" t="s">
        <v>3288</v>
      </c>
      <c r="J18" s="448"/>
      <c r="K18" s="672"/>
      <c r="L18" s="1140"/>
      <c r="M18" s="1131"/>
      <c r="N18" s="1131"/>
      <c r="O18" s="1139"/>
      <c r="P18" s="3174"/>
      <c r="Q18" s="1809"/>
      <c r="R18" s="774"/>
      <c r="S18" s="775"/>
      <c r="T18" s="774"/>
      <c r="U18" s="775"/>
      <c r="V18" s="774"/>
      <c r="W18" s="775"/>
      <c r="X18" s="1812"/>
      <c r="Y18" s="3174"/>
      <c r="Z18" s="1813"/>
      <c r="AA18" s="1810">
        <v>1</v>
      </c>
      <c r="AB18" s="1810">
        <v>1</v>
      </c>
      <c r="AC18" s="1810">
        <v>1</v>
      </c>
    </row>
    <row r="19" spans="1:29" ht="15" hidden="1">
      <c r="A19" s="428"/>
      <c r="B19" s="451" t="s">
        <v>2682</v>
      </c>
      <c r="C19" s="2660"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4"/>
      <c r="Q19" s="1809" t="str">
        <f>B19</f>
        <v>办公集聚程度</v>
      </c>
      <c r="R19" s="774" t="s">
        <v>17</v>
      </c>
      <c r="S19" s="775">
        <f>F19</f>
        <v>100</v>
      </c>
      <c r="T19" s="774" t="s">
        <v>17</v>
      </c>
      <c r="U19" s="775">
        <f>H19</f>
        <v>100</v>
      </c>
      <c r="V19" s="774" t="s">
        <v>17</v>
      </c>
      <c r="W19" s="775">
        <f>J19</f>
        <v>100</v>
      </c>
      <c r="X19" s="1812"/>
      <c r="Y19" s="3174"/>
      <c r="Z19" s="1813" t="str">
        <f>Q19</f>
        <v>办公集聚程度</v>
      </c>
      <c r="AA19" s="1810">
        <f t="shared" si="3"/>
        <v>1</v>
      </c>
      <c r="AB19" s="1810">
        <f t="shared" si="4"/>
        <v>1</v>
      </c>
      <c r="AC19" s="1810">
        <f t="shared" si="5"/>
        <v>1</v>
      </c>
    </row>
    <row r="20" spans="1:29" ht="15" hidden="1">
      <c r="A20" s="428"/>
      <c r="B20" s="456"/>
      <c r="C20" s="447"/>
      <c r="D20" s="448"/>
      <c r="E20" s="2601"/>
      <c r="F20" s="448"/>
      <c r="G20" s="2601"/>
      <c r="H20" s="448"/>
      <c r="I20" s="2600"/>
      <c r="J20" s="448"/>
      <c r="K20" s="672"/>
      <c r="L20" s="1140"/>
      <c r="M20" s="1131"/>
      <c r="N20" s="1131"/>
      <c r="O20" s="1139"/>
      <c r="P20" s="3174"/>
      <c r="Q20" s="1809"/>
      <c r="R20" s="774"/>
      <c r="S20" s="775"/>
      <c r="T20" s="774"/>
      <c r="U20" s="775"/>
      <c r="V20" s="774"/>
      <c r="W20" s="775"/>
      <c r="X20" s="1812"/>
      <c r="Y20" s="3174"/>
      <c r="Z20" s="1813"/>
      <c r="AA20" s="1810">
        <v>1</v>
      </c>
      <c r="AB20" s="1810">
        <v>1</v>
      </c>
      <c r="AC20" s="1810">
        <v>1</v>
      </c>
    </row>
    <row r="21" spans="1:29" ht="15">
      <c r="A21" s="428"/>
      <c r="B21" s="451" t="s">
        <v>2704</v>
      </c>
      <c r="C21" s="2603"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74"/>
      <c r="Q21" s="1809" t="str">
        <f>B21</f>
        <v>交通便捷度</v>
      </c>
      <c r="R21" s="774" t="s">
        <v>17</v>
      </c>
      <c r="S21" s="775">
        <f>F21</f>
        <v>100</v>
      </c>
      <c r="T21" s="774" t="s">
        <v>17</v>
      </c>
      <c r="U21" s="775">
        <f>H21</f>
        <v>100</v>
      </c>
      <c r="V21" s="774" t="s">
        <v>17</v>
      </c>
      <c r="W21" s="775">
        <f>J21</f>
        <v>100</v>
      </c>
      <c r="X21" s="1812"/>
      <c r="Y21" s="3174"/>
      <c r="Z21" s="1813" t="str">
        <f>Q21</f>
        <v>交通便捷度</v>
      </c>
      <c r="AA21" s="1810">
        <f t="shared" si="3"/>
        <v>1</v>
      </c>
      <c r="AB21" s="1810">
        <f t="shared" si="4"/>
        <v>1</v>
      </c>
      <c r="AC21" s="1810">
        <f t="shared" si="5"/>
        <v>1</v>
      </c>
    </row>
    <row r="22" spans="1:29" ht="15">
      <c r="A22" s="428"/>
      <c r="B22" s="1384"/>
      <c r="C22" s="447" t="s">
        <v>3288</v>
      </c>
      <c r="D22" s="450"/>
      <c r="E22" s="447" t="s">
        <v>3288</v>
      </c>
      <c r="F22" s="448"/>
      <c r="G22" s="447" t="s">
        <v>3288</v>
      </c>
      <c r="H22" s="448"/>
      <c r="I22" s="447" t="s">
        <v>3288</v>
      </c>
      <c r="J22" s="448"/>
      <c r="K22" s="672"/>
      <c r="L22" s="1140"/>
      <c r="M22" s="1131"/>
      <c r="N22" s="1131"/>
      <c r="O22" s="1139"/>
      <c r="P22" s="3174"/>
      <c r="Q22" s="1809"/>
      <c r="R22" s="774"/>
      <c r="S22" s="775"/>
      <c r="T22" s="774"/>
      <c r="U22" s="775"/>
      <c r="V22" s="774"/>
      <c r="W22" s="775"/>
      <c r="X22" s="1812"/>
      <c r="Y22" s="3174"/>
      <c r="Z22" s="1813"/>
      <c r="AA22" s="1810">
        <v>1</v>
      </c>
      <c r="AB22" s="1810">
        <v>1</v>
      </c>
      <c r="AC22" s="1810">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74"/>
      <c r="Q23" s="1809" t="str">
        <f t="shared" ref="Q23:Q37" si="8">B23</f>
        <v>区域土地利用方向</v>
      </c>
      <c r="R23" s="774" t="s">
        <v>17</v>
      </c>
      <c r="S23" s="775">
        <f>F23</f>
        <v>100</v>
      </c>
      <c r="T23" s="774" t="s">
        <v>17</v>
      </c>
      <c r="U23" s="775">
        <f>H23</f>
        <v>100</v>
      </c>
      <c r="V23" s="774" t="s">
        <v>17</v>
      </c>
      <c r="W23" s="775">
        <f>J23</f>
        <v>100</v>
      </c>
      <c r="X23" s="1812"/>
      <c r="Y23" s="3174"/>
      <c r="Z23" s="1813" t="str">
        <f>Q23</f>
        <v>区域土地利用方向</v>
      </c>
      <c r="AA23" s="1810">
        <f t="shared" si="3"/>
        <v>1</v>
      </c>
      <c r="AB23" s="1810">
        <f t="shared" si="4"/>
        <v>1</v>
      </c>
      <c r="AC23" s="1810">
        <f t="shared" si="5"/>
        <v>1</v>
      </c>
    </row>
    <row r="24" spans="1:29" ht="15">
      <c r="A24" s="404"/>
      <c r="B24" s="456"/>
      <c r="C24" s="616" t="s">
        <v>3289</v>
      </c>
      <c r="D24" s="448"/>
      <c r="E24" s="616" t="s">
        <v>3289</v>
      </c>
      <c r="F24" s="448"/>
      <c r="G24" s="616" t="s">
        <v>3289</v>
      </c>
      <c r="H24" s="448"/>
      <c r="I24" s="616" t="s">
        <v>3289</v>
      </c>
      <c r="J24" s="448"/>
      <c r="K24" s="812"/>
      <c r="L24" s="1140"/>
      <c r="M24" s="1131"/>
      <c r="N24" s="1131"/>
      <c r="O24" s="1139"/>
      <c r="P24" s="3174"/>
      <c r="Q24" s="1809"/>
      <c r="R24" s="774"/>
      <c r="S24" s="775"/>
      <c r="T24" s="774"/>
      <c r="U24" s="775"/>
      <c r="V24" s="774"/>
      <c r="W24" s="775"/>
      <c r="X24" s="1812"/>
      <c r="Y24" s="3174"/>
      <c r="Z24" s="1813"/>
      <c r="AA24" s="1810"/>
      <c r="AB24" s="1810"/>
      <c r="AC24" s="1810"/>
    </row>
    <row r="25" spans="1:29" ht="27">
      <c r="A25" s="404"/>
      <c r="B25" s="1384" t="s">
        <v>2744</v>
      </c>
      <c r="C25" s="2660"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74"/>
      <c r="Q25" s="1809" t="str">
        <f t="shared" si="8"/>
        <v>自然及人文环境状况</v>
      </c>
      <c r="R25" s="774" t="s">
        <v>17</v>
      </c>
      <c r="S25" s="775">
        <f>F25</f>
        <v>100</v>
      </c>
      <c r="T25" s="774" t="s">
        <v>17</v>
      </c>
      <c r="U25" s="775">
        <f>H25</f>
        <v>100</v>
      </c>
      <c r="V25" s="774" t="s">
        <v>17</v>
      </c>
      <c r="W25" s="775">
        <f>J25</f>
        <v>100</v>
      </c>
      <c r="X25" s="1812"/>
      <c r="Y25" s="3174"/>
      <c r="Z25" s="1813" t="str">
        <f>Q25</f>
        <v>自然及人文环境状况</v>
      </c>
      <c r="AA25" s="1810">
        <f t="shared" si="3"/>
        <v>1</v>
      </c>
      <c r="AB25" s="1810">
        <f t="shared" si="4"/>
        <v>1</v>
      </c>
      <c r="AC25" s="1810">
        <f t="shared" si="5"/>
        <v>1</v>
      </c>
    </row>
    <row r="26" spans="1:29" ht="15">
      <c r="A26" s="404"/>
      <c r="B26" s="456"/>
      <c r="C26" s="447" t="s">
        <v>3288</v>
      </c>
      <c r="D26" s="448"/>
      <c r="E26" s="447" t="s">
        <v>3288</v>
      </c>
      <c r="F26" s="448"/>
      <c r="G26" s="447" t="s">
        <v>3288</v>
      </c>
      <c r="H26" s="448"/>
      <c r="I26" s="447" t="s">
        <v>3288</v>
      </c>
      <c r="J26" s="448"/>
      <c r="K26" s="672"/>
      <c r="L26" s="1140"/>
      <c r="M26" s="1131"/>
      <c r="N26" s="1131"/>
      <c r="O26" s="1139"/>
      <c r="P26" s="3174"/>
      <c r="Q26" s="1809"/>
      <c r="R26" s="774"/>
      <c r="S26" s="775"/>
      <c r="T26" s="774"/>
      <c r="U26" s="775"/>
      <c r="V26" s="774"/>
      <c r="W26" s="775"/>
      <c r="X26" s="1812"/>
      <c r="Y26" s="3174"/>
      <c r="Z26" s="1813"/>
      <c r="AA26" s="1810">
        <v>1</v>
      </c>
      <c r="AB26" s="1810">
        <v>1</v>
      </c>
      <c r="AC26" s="1810">
        <v>1</v>
      </c>
    </row>
    <row r="27" spans="1:29" s="117" customFormat="1" ht="15">
      <c r="A27" s="649"/>
      <c r="B27" s="1384" t="s">
        <v>2649</v>
      </c>
      <c r="C27" s="2603"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74"/>
      <c r="Q27" s="1794" t="str">
        <f t="shared" si="8"/>
        <v>公共配套设施</v>
      </c>
      <c r="R27" s="770" t="s">
        <v>17</v>
      </c>
      <c r="S27" s="771">
        <f>F27</f>
        <v>100</v>
      </c>
      <c r="T27" s="770" t="s">
        <v>17</v>
      </c>
      <c r="U27" s="771">
        <f>H27</f>
        <v>100</v>
      </c>
      <c r="V27" s="770" t="s">
        <v>17</v>
      </c>
      <c r="W27" s="771">
        <f>J27</f>
        <v>100</v>
      </c>
      <c r="X27" s="772"/>
      <c r="Y27" s="3174"/>
      <c r="Z27" s="55" t="str">
        <f>Q27</f>
        <v>公共配套设施</v>
      </c>
      <c r="AA27" s="1810">
        <f>D27/F27</f>
        <v>1</v>
      </c>
      <c r="AB27" s="1810">
        <f>D27/H27</f>
        <v>1</v>
      </c>
      <c r="AC27" s="1810">
        <f>D27/J27</f>
        <v>1</v>
      </c>
    </row>
    <row r="28" spans="1:29" s="117" customFormat="1" ht="15">
      <c r="A28" s="649"/>
      <c r="B28" s="456"/>
      <c r="C28" s="2696" t="s">
        <v>3288</v>
      </c>
      <c r="D28" s="448"/>
      <c r="E28" s="2696" t="s">
        <v>3288</v>
      </c>
      <c r="F28" s="448"/>
      <c r="G28" s="2696" t="s">
        <v>3288</v>
      </c>
      <c r="H28" s="448"/>
      <c r="I28" s="2696" t="s">
        <v>3288</v>
      </c>
      <c r="J28" s="448"/>
      <c r="K28" s="672"/>
      <c r="L28" s="1132"/>
      <c r="M28" s="1133"/>
      <c r="N28" s="1133"/>
      <c r="O28" s="1134"/>
      <c r="P28" s="3174"/>
      <c r="Q28" s="1794"/>
      <c r="R28" s="770"/>
      <c r="S28" s="771"/>
      <c r="T28" s="770"/>
      <c r="U28" s="771"/>
      <c r="V28" s="770"/>
      <c r="W28" s="771"/>
      <c r="X28" s="772"/>
      <c r="Y28" s="3174"/>
      <c r="Z28" s="55"/>
      <c r="AA28" s="1810">
        <v>1</v>
      </c>
      <c r="AB28" s="1810">
        <v>1</v>
      </c>
      <c r="AC28" s="1810">
        <v>1</v>
      </c>
    </row>
    <row r="29" spans="1:29" s="117" customFormat="1" ht="15">
      <c r="A29" s="649"/>
      <c r="B29" s="1384" t="s">
        <v>2650</v>
      </c>
      <c r="C29" s="2603"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74"/>
      <c r="Q29" s="1794"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0">
        <f>D29/F29</f>
        <v>1</v>
      </c>
      <c r="AB29" s="1810">
        <f>D29/H29</f>
        <v>1</v>
      </c>
      <c r="AC29" s="1810">
        <f>D29/J29</f>
        <v>1</v>
      </c>
    </row>
    <row r="30" spans="1:29" s="117" customFormat="1" ht="15.75" thickBot="1">
      <c r="A30" s="649"/>
      <c r="B30" s="456"/>
      <c r="C30" s="2696" t="s">
        <v>3290</v>
      </c>
      <c r="D30" s="448"/>
      <c r="E30" s="2696" t="s">
        <v>3290</v>
      </c>
      <c r="F30" s="448"/>
      <c r="G30" s="2696" t="s">
        <v>3290</v>
      </c>
      <c r="H30" s="448"/>
      <c r="I30" s="2696" t="s">
        <v>3290</v>
      </c>
      <c r="J30" s="448"/>
      <c r="K30" s="672"/>
      <c r="L30" s="1132"/>
      <c r="M30" s="1133"/>
      <c r="N30" s="1133"/>
      <c r="O30" s="1134"/>
      <c r="P30" s="3174"/>
      <c r="Q30" s="1794"/>
      <c r="R30" s="770"/>
      <c r="S30" s="771"/>
      <c r="T30" s="770"/>
      <c r="U30" s="771"/>
      <c r="V30" s="770"/>
      <c r="W30" s="771"/>
      <c r="X30" s="772"/>
      <c r="Y30" s="3174"/>
      <c r="Z30" s="55"/>
      <c r="AA30" s="1810">
        <v>1</v>
      </c>
      <c r="AB30" s="1810">
        <v>1</v>
      </c>
      <c r="AC30" s="1810">
        <v>1</v>
      </c>
    </row>
    <row r="31" spans="1:29" ht="15" hidden="1">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4"/>
      <c r="Z31" s="1813" t="str">
        <f t="shared" ref="Z31:Z45" si="13">Q31</f>
        <v>临街状况</v>
      </c>
      <c r="AA31" s="1810">
        <f t="shared" si="3"/>
        <v>1</v>
      </c>
      <c r="AB31" s="1810">
        <f t="shared" si="4"/>
        <v>1</v>
      </c>
      <c r="AC31" s="1810">
        <f t="shared" si="5"/>
        <v>1</v>
      </c>
    </row>
    <row r="32" spans="1:29" ht="27" hidden="1">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4"/>
      <c r="Q32" s="1809" t="str">
        <f t="shared" si="8"/>
        <v>毗邻道路的类型与等级</v>
      </c>
      <c r="R32" s="774" t="s">
        <v>17</v>
      </c>
      <c r="S32" s="775">
        <f t="shared" si="10"/>
        <v>100</v>
      </c>
      <c r="T32" s="774" t="s">
        <v>17</v>
      </c>
      <c r="U32" s="775">
        <f t="shared" si="11"/>
        <v>100</v>
      </c>
      <c r="V32" s="774" t="s">
        <v>17</v>
      </c>
      <c r="W32" s="775">
        <f t="shared" si="12"/>
        <v>100</v>
      </c>
      <c r="X32" s="1812"/>
      <c r="Y32" s="3174"/>
      <c r="Z32" s="1813" t="str">
        <f t="shared" si="13"/>
        <v>毗邻道路的类型与等级</v>
      </c>
      <c r="AA32" s="1810">
        <f t="shared" si="3"/>
        <v>1</v>
      </c>
      <c r="AB32" s="1810">
        <f t="shared" si="4"/>
        <v>1</v>
      </c>
      <c r="AC32" s="1810">
        <f t="shared" si="5"/>
        <v>1</v>
      </c>
    </row>
    <row r="33" spans="1:29" ht="15" hidden="1">
      <c r="A33" s="428"/>
      <c r="B33" s="456"/>
      <c r="C33" s="447"/>
      <c r="D33" s="448"/>
      <c r="E33" s="2607"/>
      <c r="F33" s="448"/>
      <c r="G33" s="2607"/>
      <c r="H33" s="448"/>
      <c r="I33" s="447"/>
      <c r="J33" s="448"/>
      <c r="K33" s="613"/>
      <c r="L33" s="1140"/>
      <c r="M33" s="1131"/>
      <c r="N33" s="1131"/>
      <c r="O33" s="1139"/>
      <c r="P33" s="3174"/>
      <c r="Q33" s="1809"/>
      <c r="R33" s="774"/>
      <c r="S33" s="775"/>
      <c r="T33" s="774"/>
      <c r="U33" s="775"/>
      <c r="V33" s="774"/>
      <c r="W33" s="775"/>
      <c r="X33" s="1812"/>
      <c r="Y33" s="3174"/>
      <c r="Z33" s="1813"/>
      <c r="AA33" s="1810">
        <v>1</v>
      </c>
      <c r="AB33" s="1810">
        <v>1</v>
      </c>
      <c r="AC33" s="1810">
        <v>1</v>
      </c>
    </row>
    <row r="34" spans="1:29" ht="15" hidden="1">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4"/>
      <c r="Q34" s="1809" t="str">
        <f t="shared" si="8"/>
        <v>土地级别</v>
      </c>
      <c r="R34" s="774" t="s">
        <v>17</v>
      </c>
      <c r="S34" s="775">
        <f t="shared" si="10"/>
        <v>100</v>
      </c>
      <c r="T34" s="774" t="s">
        <v>17</v>
      </c>
      <c r="U34" s="775">
        <f t="shared" si="11"/>
        <v>100</v>
      </c>
      <c r="V34" s="774" t="s">
        <v>17</v>
      </c>
      <c r="W34" s="775">
        <f t="shared" si="12"/>
        <v>100</v>
      </c>
      <c r="X34" s="1812"/>
      <c r="Y34" s="3174"/>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4"/>
      <c r="Q35" s="1809">
        <f t="shared" si="8"/>
        <v>111</v>
      </c>
      <c r="R35" s="774" t="s">
        <v>17</v>
      </c>
      <c r="S35" s="775">
        <f t="shared" si="10"/>
        <v>100</v>
      </c>
      <c r="T35" s="774" t="s">
        <v>17</v>
      </c>
      <c r="U35" s="775">
        <f t="shared" si="11"/>
        <v>100</v>
      </c>
      <c r="V35" s="774" t="s">
        <v>17</v>
      </c>
      <c r="W35" s="775">
        <f t="shared" si="12"/>
        <v>100</v>
      </c>
      <c r="X35" s="1812"/>
      <c r="Y35" s="3174"/>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75" t="s">
        <v>2560</v>
      </c>
      <c r="Q36" s="1809">
        <f t="shared" si="8"/>
        <v>111</v>
      </c>
      <c r="R36" s="774" t="s">
        <v>17</v>
      </c>
      <c r="S36" s="775">
        <f t="shared" si="10"/>
        <v>100</v>
      </c>
      <c r="T36" s="774" t="s">
        <v>17</v>
      </c>
      <c r="U36" s="775">
        <f t="shared" si="11"/>
        <v>100</v>
      </c>
      <c r="V36" s="774" t="s">
        <v>17</v>
      </c>
      <c r="W36" s="775">
        <f t="shared" si="12"/>
        <v>100</v>
      </c>
      <c r="X36" s="1812"/>
      <c r="Y36" s="3176" t="s">
        <v>2560</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6"/>
      <c r="Q37" s="1809">
        <f t="shared" si="8"/>
        <v>111</v>
      </c>
      <c r="R37" s="777" t="s">
        <v>17</v>
      </c>
      <c r="S37" s="778">
        <f t="shared" si="10"/>
        <v>100</v>
      </c>
      <c r="T37" s="777" t="s">
        <v>17</v>
      </c>
      <c r="U37" s="778">
        <f t="shared" si="11"/>
        <v>100</v>
      </c>
      <c r="V37" s="777" t="s">
        <v>17</v>
      </c>
      <c r="W37" s="778">
        <f t="shared" si="12"/>
        <v>100</v>
      </c>
      <c r="X37" s="779"/>
      <c r="Y37" s="3176"/>
      <c r="Z37" s="780">
        <f t="shared" si="13"/>
        <v>111</v>
      </c>
      <c r="AA37" s="1810">
        <f t="shared" si="3"/>
        <v>1</v>
      </c>
      <c r="AB37" s="1810">
        <f t="shared" si="4"/>
        <v>1</v>
      </c>
      <c r="AC37" s="1810">
        <f t="shared" si="5"/>
        <v>1</v>
      </c>
    </row>
    <row r="38" spans="1:29" ht="15">
      <c r="A38" s="472" t="s">
        <v>2558</v>
      </c>
      <c r="B38" s="456" t="s">
        <v>2746</v>
      </c>
      <c r="C38" s="679">
        <f>'数据-汇总表'!D3</f>
        <v>84185</v>
      </c>
      <c r="D38" s="467">
        <v>100</v>
      </c>
      <c r="E38" s="679">
        <f>土地案例!J2</f>
        <v>66721.41</v>
      </c>
      <c r="F38" s="467">
        <f>LOOKUP(E38,117:117,118:118)-LOOKUP(C38,117:117,118:118)+100</f>
        <v>100</v>
      </c>
      <c r="G38" s="679">
        <f>土地案例!J3</f>
        <v>61399.67</v>
      </c>
      <c r="H38" s="467">
        <f>LOOKUP(G38,117:117,118:118)-LOOKUP(C38,117:117,118:118)+100</f>
        <v>100</v>
      </c>
      <c r="I38" s="530">
        <f>土地案例!J4</f>
        <v>23317</v>
      </c>
      <c r="J38" s="467">
        <f>LOOKUP(I38,117:117,118:118)-LOOKUP(C38,117:117,118:118)+100</f>
        <v>99</v>
      </c>
      <c r="K38" s="613"/>
      <c r="L38" s="1140"/>
      <c r="M38" s="1131"/>
      <c r="N38" s="1131"/>
      <c r="O38" s="1139"/>
      <c r="P38" s="3176"/>
      <c r="Q38" s="1809" t="str">
        <f>B38</f>
        <v>宗地面积</v>
      </c>
      <c r="R38" s="774" t="s">
        <v>17</v>
      </c>
      <c r="S38" s="775">
        <f t="shared" si="10"/>
        <v>100</v>
      </c>
      <c r="T38" s="774" t="s">
        <v>17</v>
      </c>
      <c r="U38" s="775">
        <f t="shared" si="11"/>
        <v>100</v>
      </c>
      <c r="V38" s="774" t="s">
        <v>17</v>
      </c>
      <c r="W38" s="775">
        <f t="shared" si="12"/>
        <v>99</v>
      </c>
      <c r="X38" s="1812"/>
      <c r="Y38" s="3176"/>
      <c r="Z38" s="1813" t="str">
        <f t="shared" si="13"/>
        <v>宗地面积</v>
      </c>
      <c r="AA38" s="1810">
        <f t="shared" si="3"/>
        <v>1</v>
      </c>
      <c r="AB38" s="1810">
        <f t="shared" si="4"/>
        <v>1</v>
      </c>
      <c r="AC38" s="1810">
        <f t="shared" si="5"/>
        <v>1.0101010101010102</v>
      </c>
    </row>
    <row r="39" spans="1:29" ht="15">
      <c r="A39" s="472"/>
      <c r="B39" s="422" t="s">
        <v>2747</v>
      </c>
      <c r="C39" s="2609" t="s">
        <v>3293</v>
      </c>
      <c r="D39" s="435">
        <v>100</v>
      </c>
      <c r="E39" s="2609" t="s">
        <v>3293</v>
      </c>
      <c r="F39" s="435">
        <f>SUMIF(119:119,E39,120:120)-SUMIF(119:119,C39,120:120)+100</f>
        <v>100</v>
      </c>
      <c r="G39" s="2609" t="s">
        <v>3293</v>
      </c>
      <c r="H39" s="435">
        <f>SUMIF(119:119,G39,120:120)-SUMIF(119:119,C39,120:120)+100</f>
        <v>100</v>
      </c>
      <c r="I39" s="2609" t="s">
        <v>3293</v>
      </c>
      <c r="J39" s="435">
        <f>SUMIF(119:119,I39,120:120)-SUMIF(119:119,C39,120:120)+100</f>
        <v>100</v>
      </c>
      <c r="K39" s="612">
        <v>2</v>
      </c>
      <c r="L39" s="1140"/>
      <c r="M39" s="1131"/>
      <c r="N39" s="1131"/>
      <c r="O39" s="1139"/>
      <c r="P39" s="3176"/>
      <c r="Q39" s="1809" t="str">
        <f t="shared" ref="Q39:Q45" si="14">B39</f>
        <v>宗地形状</v>
      </c>
      <c r="R39" s="774" t="s">
        <v>17</v>
      </c>
      <c r="S39" s="775">
        <f t="shared" si="10"/>
        <v>100</v>
      </c>
      <c r="T39" s="774" t="s">
        <v>17</v>
      </c>
      <c r="U39" s="775">
        <f t="shared" si="11"/>
        <v>100</v>
      </c>
      <c r="V39" s="774" t="s">
        <v>17</v>
      </c>
      <c r="W39" s="775">
        <f t="shared" si="12"/>
        <v>100</v>
      </c>
      <c r="X39" s="1812"/>
      <c r="Y39" s="3176"/>
      <c r="Z39" s="1813" t="str">
        <f t="shared" si="13"/>
        <v>宗地形状</v>
      </c>
      <c r="AA39" s="1810">
        <f t="shared" si="3"/>
        <v>1</v>
      </c>
      <c r="AB39" s="1810">
        <f t="shared" si="4"/>
        <v>1</v>
      </c>
      <c r="AC39" s="1810">
        <f t="shared" si="5"/>
        <v>1</v>
      </c>
    </row>
    <row r="40" spans="1:29" ht="15">
      <c r="A40" s="472"/>
      <c r="B40" s="422" t="s">
        <v>2748</v>
      </c>
      <c r="C40" s="2609" t="s">
        <v>3295</v>
      </c>
      <c r="D40" s="435">
        <v>100</v>
      </c>
      <c r="E40" s="2609" t="s">
        <v>3295</v>
      </c>
      <c r="F40" s="435">
        <f>SUMIF(121:121,E40,122:122)-SUMIF(121:121,C40,122:122)+100</f>
        <v>100</v>
      </c>
      <c r="G40" s="2609" t="s">
        <v>3295</v>
      </c>
      <c r="H40" s="435">
        <f>SUMIF(121:121,G40,122:122)-SUMIF(121:121,C40,122:122)+100</f>
        <v>100</v>
      </c>
      <c r="I40" s="2609" t="s">
        <v>3295</v>
      </c>
      <c r="J40" s="435">
        <f>SUMIF(121:121,I40,122:122)-SUMIF(121:121,C40,122:122)+100</f>
        <v>100</v>
      </c>
      <c r="K40" s="612">
        <v>2</v>
      </c>
      <c r="L40" s="1140"/>
      <c r="M40" s="1131"/>
      <c r="N40" s="1131"/>
      <c r="O40" s="1139"/>
      <c r="P40" s="3176"/>
      <c r="Q40" s="1809" t="str">
        <f t="shared" si="14"/>
        <v>临街宽度及深度</v>
      </c>
      <c r="R40" s="774" t="s">
        <v>17</v>
      </c>
      <c r="S40" s="775">
        <f t="shared" si="10"/>
        <v>100</v>
      </c>
      <c r="T40" s="774" t="s">
        <v>17</v>
      </c>
      <c r="U40" s="775">
        <f t="shared" si="11"/>
        <v>100</v>
      </c>
      <c r="V40" s="774" t="s">
        <v>17</v>
      </c>
      <c r="W40" s="775">
        <f t="shared" si="12"/>
        <v>100</v>
      </c>
      <c r="X40" s="1812"/>
      <c r="Y40" s="3176"/>
      <c r="Z40" s="1813" t="str">
        <f t="shared" si="13"/>
        <v>临街宽度及深度</v>
      </c>
      <c r="AA40" s="1810">
        <f t="shared" si="3"/>
        <v>1</v>
      </c>
      <c r="AB40" s="1810">
        <f t="shared" si="4"/>
        <v>1</v>
      </c>
      <c r="AC40" s="1810">
        <f t="shared" si="5"/>
        <v>1</v>
      </c>
    </row>
    <row r="41" spans="1:29" s="117" customFormat="1" ht="15">
      <c r="A41" s="473"/>
      <c r="B41" s="422" t="s">
        <v>2749</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v>1</v>
      </c>
      <c r="L41" s="1132"/>
      <c r="M41" s="1133"/>
      <c r="N41" s="1133"/>
      <c r="O41" s="1134"/>
      <c r="P41" s="3176"/>
      <c r="Q41" s="1809"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75" thickBot="1">
      <c r="A42" s="472"/>
      <c r="B42" s="422" t="s">
        <v>2750</v>
      </c>
      <c r="C42" s="2609" t="s">
        <v>3289</v>
      </c>
      <c r="D42" s="435">
        <v>100</v>
      </c>
      <c r="E42" s="2609" t="s">
        <v>3289</v>
      </c>
      <c r="F42" s="435">
        <f>SUMIF(125:125,E42,126:126)-SUMIF(125:125,C42,126:126)+100</f>
        <v>100</v>
      </c>
      <c r="G42" s="2609" t="s">
        <v>3289</v>
      </c>
      <c r="H42" s="435">
        <f>SUMIF(125:125,G42,126:126)-SUMIF(125:125,C42,126:126)+100</f>
        <v>100</v>
      </c>
      <c r="I42" s="2609" t="s">
        <v>3289</v>
      </c>
      <c r="J42" s="435">
        <f>SUMIF(125:125,I42,126:126)-SUMIF(125:125,C42,126:126)+100</f>
        <v>100</v>
      </c>
      <c r="K42" s="612">
        <v>2</v>
      </c>
      <c r="L42" s="1140"/>
      <c r="M42" s="1131"/>
      <c r="N42" s="1131"/>
      <c r="O42" s="1139"/>
      <c r="P42" s="3176" t="s">
        <v>2560</v>
      </c>
      <c r="Q42" s="1809" t="str">
        <f t="shared" si="14"/>
        <v>工程地质条件</v>
      </c>
      <c r="R42" s="774" t="s">
        <v>17</v>
      </c>
      <c r="S42" s="775">
        <f t="shared" si="10"/>
        <v>100</v>
      </c>
      <c r="T42" s="774" t="s">
        <v>17</v>
      </c>
      <c r="U42" s="775">
        <f t="shared" si="11"/>
        <v>100</v>
      </c>
      <c r="V42" s="774" t="s">
        <v>17</v>
      </c>
      <c r="W42" s="775">
        <f t="shared" si="12"/>
        <v>100</v>
      </c>
      <c r="X42" s="1812"/>
      <c r="Y42" s="3176" t="s">
        <v>2560</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6"/>
      <c r="Q43" s="1809">
        <f t="shared" si="14"/>
        <v>111</v>
      </c>
      <c r="R43" s="774" t="s">
        <v>17</v>
      </c>
      <c r="S43" s="775">
        <f t="shared" si="10"/>
        <v>100</v>
      </c>
      <c r="T43" s="774" t="s">
        <v>17</v>
      </c>
      <c r="U43" s="775">
        <f t="shared" si="11"/>
        <v>100</v>
      </c>
      <c r="V43" s="774" t="s">
        <v>17</v>
      </c>
      <c r="W43" s="775">
        <f t="shared" si="12"/>
        <v>100</v>
      </c>
      <c r="X43" s="1812"/>
      <c r="Y43" s="3176"/>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6"/>
      <c r="Q44" s="1809">
        <f t="shared" si="14"/>
        <v>111</v>
      </c>
      <c r="R44" s="774" t="s">
        <v>17</v>
      </c>
      <c r="S44" s="775">
        <f t="shared" si="10"/>
        <v>100</v>
      </c>
      <c r="T44" s="774" t="s">
        <v>17</v>
      </c>
      <c r="U44" s="775">
        <f t="shared" si="11"/>
        <v>100</v>
      </c>
      <c r="V44" s="774" t="s">
        <v>17</v>
      </c>
      <c r="W44" s="775">
        <f t="shared" si="12"/>
        <v>100</v>
      </c>
      <c r="X44" s="1812"/>
      <c r="Y44" s="3176"/>
      <c r="Z44" s="1813">
        <f t="shared" si="13"/>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6"/>
      <c r="Q45" s="1809">
        <f t="shared" si="14"/>
        <v>111</v>
      </c>
      <c r="R45" s="777" t="s">
        <v>17</v>
      </c>
      <c r="S45" s="778">
        <f t="shared" si="10"/>
        <v>100</v>
      </c>
      <c r="T45" s="777" t="s">
        <v>17</v>
      </c>
      <c r="U45" s="778">
        <f t="shared" si="11"/>
        <v>100</v>
      </c>
      <c r="V45" s="777" t="s">
        <v>17</v>
      </c>
      <c r="W45" s="778">
        <f t="shared" si="12"/>
        <v>100</v>
      </c>
      <c r="X45" s="779"/>
      <c r="Y45" s="3176"/>
      <c r="Z45" s="780">
        <f t="shared" si="13"/>
        <v>111</v>
      </c>
      <c r="AA45" s="1810">
        <f t="shared" si="3"/>
        <v>1</v>
      </c>
      <c r="AB45" s="1810">
        <f t="shared" si="4"/>
        <v>1</v>
      </c>
      <c r="AC45" s="1810">
        <f t="shared" si="5"/>
        <v>1</v>
      </c>
    </row>
    <row r="46" spans="1:29" ht="15">
      <c r="A46" s="479" t="s">
        <v>2715</v>
      </c>
      <c r="B46" s="2700" t="s">
        <v>2751</v>
      </c>
      <c r="C46" s="682" t="s">
        <v>1</v>
      </c>
      <c r="D46" s="481"/>
      <c r="E46" s="482">
        <f>ROUND(土地案例!AK2,0)</f>
        <v>1470</v>
      </c>
      <c r="F46" s="483"/>
      <c r="G46" s="484">
        <f>ROUND(土地案例!AK3,0)</f>
        <v>1537</v>
      </c>
      <c r="H46" s="485"/>
      <c r="I46" s="482">
        <f>ROUND(土地案例!AK4,0)</f>
        <v>1182</v>
      </c>
      <c r="J46" s="485"/>
      <c r="K46" s="783"/>
      <c r="L46" s="1143"/>
      <c r="M46" s="1144"/>
      <c r="N46" s="1131"/>
      <c r="O46" s="1144"/>
      <c r="P46" s="3171" t="str">
        <f>A46</f>
        <v>成交单价</v>
      </c>
      <c r="Q46" s="3171"/>
      <c r="R46" s="3177">
        <f>E46</f>
        <v>1470</v>
      </c>
      <c r="S46" s="3177"/>
      <c r="T46" s="3177">
        <f>G46</f>
        <v>1537</v>
      </c>
      <c r="U46" s="3177"/>
      <c r="V46" s="3177">
        <f>I46</f>
        <v>1182</v>
      </c>
      <c r="W46" s="3177"/>
      <c r="X46" s="759"/>
      <c r="Y46" s="781"/>
      <c r="Z46" s="759"/>
      <c r="AA46" s="759"/>
      <c r="AB46" s="759"/>
      <c r="AC46" s="759"/>
    </row>
    <row r="47" spans="1:29" ht="15.75" thickBot="1">
      <c r="A47" s="486" t="s">
        <v>2664</v>
      </c>
      <c r="B47" s="683"/>
      <c r="C47" s="490">
        <f>R48</f>
        <v>1349</v>
      </c>
      <c r="D47" s="489"/>
      <c r="E47" s="490">
        <f>R47</f>
        <v>1414</v>
      </c>
      <c r="F47" s="491"/>
      <c r="G47" s="488">
        <f>T47</f>
        <v>1479</v>
      </c>
      <c r="H47" s="489"/>
      <c r="I47" s="490">
        <f>V47</f>
        <v>1154</v>
      </c>
      <c r="J47" s="489"/>
      <c r="K47" s="784"/>
      <c r="L47" s="1143"/>
      <c r="M47" s="1144"/>
      <c r="N47" s="1144"/>
      <c r="O47" s="1144"/>
      <c r="P47" s="3171" t="str">
        <f>A47</f>
        <v>比较价值（元/平方米）</v>
      </c>
      <c r="Q47" s="3171"/>
      <c r="R47" s="3164">
        <f>ROUND(PRODUCT(R46,AA7:AA45),0)</f>
        <v>1414</v>
      </c>
      <c r="S47" s="3164"/>
      <c r="T47" s="3164">
        <f>ROUND(PRODUCT(T46,AB7:AB45),0)</f>
        <v>1479</v>
      </c>
      <c r="U47" s="3164"/>
      <c r="V47" s="3164">
        <f>ROUND(PRODUCT(V46,AC7:AC45),0)</f>
        <v>1154</v>
      </c>
      <c r="W47" s="3164"/>
      <c r="X47" s="759"/>
      <c r="Y47" s="759"/>
      <c r="Z47" s="759"/>
      <c r="AA47" s="759"/>
      <c r="AB47" s="759"/>
      <c r="AC47" s="759"/>
    </row>
    <row r="48" spans="1:29" ht="15.75" thickBot="1">
      <c r="A48" s="492" t="s">
        <v>2752</v>
      </c>
      <c r="B48" s="493"/>
      <c r="C48" s="494">
        <f>R48</f>
        <v>1349</v>
      </c>
      <c r="D48" s="494"/>
      <c r="E48" s="494"/>
      <c r="F48" s="494"/>
      <c r="G48" s="494"/>
      <c r="H48" s="494"/>
      <c r="I48" s="494"/>
      <c r="J48" s="494"/>
      <c r="K48" s="785"/>
      <c r="L48" s="1143"/>
      <c r="M48" s="1144"/>
      <c r="N48" s="1144"/>
      <c r="O48" s="1144"/>
      <c r="P48" s="3165" t="str">
        <f>A48</f>
        <v>估价对象XX用房的比较价值（楼面单价，元/平方米）</v>
      </c>
      <c r="Q48" s="3166"/>
      <c r="R48" s="3167">
        <f>ROUND(AVERAGE(R47:V47),0)</f>
        <v>1349</v>
      </c>
      <c r="S48" s="3167"/>
      <c r="T48" s="3167"/>
      <c r="U48" s="3167"/>
      <c r="V48" s="3167"/>
      <c r="W48" s="316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f>IF(E46&lt;E47,E47/E46-1,E46/E47-1)</f>
        <v>3.9603960396039639E-2</v>
      </c>
      <c r="F51" s="500" t="str">
        <f>IF(OR(E51&gt;=0.3,E51&lt;=-0.3),"超过30%","")</f>
        <v/>
      </c>
      <c r="G51" s="499">
        <f>IF(G46&lt;G47,G47/G46-1,G46/G47-1)</f>
        <v>3.9215686274509887E-2</v>
      </c>
      <c r="H51" s="500" t="str">
        <f>IF(OR(G51&gt;=0.3,G51&lt;=-0.3),"超过30%","")</f>
        <v/>
      </c>
      <c r="I51" s="499">
        <f>IF(I46&lt;I47,I47/I46-1,I46/I47-1)</f>
        <v>2.4263431542461023E-2</v>
      </c>
      <c r="J51" s="500" t="str">
        <f>IF(OR(I51&gt;=0.3,I51&lt;=-0.3),"超过30%","")</f>
        <v/>
      </c>
      <c r="K51" s="1105"/>
      <c r="L51" s="1106"/>
      <c r="M51" s="1144"/>
      <c r="N51" s="1144"/>
      <c r="O51" s="1144"/>
    </row>
    <row r="52" spans="1:15" ht="13.5" customHeight="1">
      <c r="A52" s="1144"/>
      <c r="B52" s="1144"/>
      <c r="C52" s="497" t="s">
        <v>2667</v>
      </c>
      <c r="D52" s="501"/>
      <c r="E52" s="499">
        <f>IF(E47&lt;G47,G47/E47-1,E47/G47-1)</f>
        <v>4.5968882602545946E-2</v>
      </c>
      <c r="F52" s="500" t="str">
        <f>IF(OR(E52&gt;=0.2,E52&lt;=-0.2),"超过20%","")</f>
        <v/>
      </c>
      <c r="G52" s="499">
        <f>IF(G47&lt;I47,I47/G47-1,G47/I47-1)</f>
        <v>0.28162911611785102</v>
      </c>
      <c r="H52" s="500" t="str">
        <f>IF(OR(G52&gt;=0.2,G52&lt;=-0.2),"超过20%","")</f>
        <v>超过20%</v>
      </c>
      <c r="I52" s="499">
        <f>IF(I47&lt;E47,E47/I47-1,I47/E47-1)</f>
        <v>0.22530329289428086</v>
      </c>
      <c r="J52" s="500" t="str">
        <f>IF(OR(I52&gt;=0.2,I52&lt;=-0.2),"超过20%","")</f>
        <v>超过20%</v>
      </c>
      <c r="K52" s="1105"/>
      <c r="L52" s="1106"/>
      <c r="M52" s="1144"/>
      <c r="N52" s="1144"/>
      <c r="O52" s="1144"/>
    </row>
    <row r="53" spans="1:15" s="502" customFormat="1" ht="13.5" customHeight="1">
      <c r="A53" s="1145"/>
      <c r="B53" s="1145"/>
      <c r="C53" s="497" t="s">
        <v>2668</v>
      </c>
      <c r="D53" s="501"/>
      <c r="E53" s="499">
        <f>IF(E46&lt;G46,G46/E46-1,E46/G46-1)</f>
        <v>4.5578231292517035E-2</v>
      </c>
      <c r="F53" s="500" t="str">
        <f>IF(OR(E53&gt;=0.3,E53&lt;=-0.3),"超过30%","")</f>
        <v/>
      </c>
      <c r="G53" s="499">
        <f>IF(G46&lt;I46,I46/G46-1,G46/I46-1)</f>
        <v>0.30033840947546531</v>
      </c>
      <c r="H53" s="500" t="str">
        <f>IF(OR(G53&gt;=0.3,G53&lt;=-0.3),"超过30%","")</f>
        <v>超过30%</v>
      </c>
      <c r="I53" s="499">
        <f>IF(I46&lt;E46,E46/I46-1,I46/E46-1)</f>
        <v>0.24365482233502544</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1" t="s">
        <v>2755</v>
      </c>
      <c r="D55" s="2702" t="s">
        <v>2756</v>
      </c>
      <c r="E55" s="686" t="s">
        <v>2757</v>
      </c>
      <c r="F55" s="1107" t="s">
        <v>2758</v>
      </c>
      <c r="G55" s="3168" t="s">
        <v>2759</v>
      </c>
      <c r="H55" s="3169"/>
      <c r="I55" s="144" t="s">
        <v>2760</v>
      </c>
      <c r="J55" s="2703" t="str">
        <f>项目基本情况!F35</f>
        <v>安徽省芜湖市</v>
      </c>
      <c r="K55" s="2704" t="s">
        <v>2761</v>
      </c>
      <c r="L55" s="1106"/>
      <c r="M55" s="1144"/>
      <c r="N55" s="1144"/>
      <c r="O55" s="1144"/>
    </row>
    <row r="56" spans="1:15" s="692" customFormat="1">
      <c r="A56" s="688" t="s">
        <v>2762</v>
      </c>
      <c r="B56" s="689">
        <f>C48</f>
        <v>1349</v>
      </c>
      <c r="C56" s="690">
        <v>1</v>
      </c>
      <c r="D56" s="1163">
        <v>1</v>
      </c>
      <c r="E56" s="690">
        <f>'数据-汇总表'!E8+'数据-汇总表'!E9</f>
        <v>106422.48999999999</v>
      </c>
      <c r="F56" s="1103">
        <f t="shared" ref="F56:F65" si="15">ROUND(B56*E56/10000,0)</f>
        <v>14356</v>
      </c>
      <c r="G56" s="3170"/>
      <c r="H56" s="3171"/>
      <c r="I56" s="1108">
        <v>1</v>
      </c>
      <c r="J56" s="1111">
        <v>1</v>
      </c>
      <c r="K56" s="1145"/>
      <c r="L56" s="941"/>
      <c r="M56" s="941"/>
      <c r="N56" s="941"/>
      <c r="O56" s="941"/>
    </row>
    <row r="57" spans="1:15" s="692" customFormat="1">
      <c r="A57" s="693" t="s">
        <v>2763</v>
      </c>
      <c r="B57" s="262">
        <f>ROUND($C$48*C57*D57,0)</f>
        <v>0</v>
      </c>
      <c r="C57" s="200">
        <f t="shared" ref="C57:C65" si="16">IF($C$55="北京市系数",I57,J57)</f>
        <v>0</v>
      </c>
      <c r="D57" s="1164">
        <v>0.25</v>
      </c>
      <c r="E57" s="694"/>
      <c r="F57" s="1103">
        <f t="shared" si="15"/>
        <v>0</v>
      </c>
      <c r="G57" s="3172" t="s">
        <v>2764</v>
      </c>
      <c r="H57" s="1104">
        <f>项目基本情况!B37</f>
        <v>0</v>
      </c>
      <c r="I57" s="1108">
        <f>SUMIF(修正!A45:A56,H57,修正!B45:B56)</f>
        <v>0</v>
      </c>
      <c r="J57" s="1112"/>
      <c r="K57" s="1144"/>
      <c r="L57" s="941"/>
      <c r="M57" s="941"/>
      <c r="N57" s="941"/>
      <c r="O57" s="941"/>
    </row>
    <row r="58" spans="1:15" s="692" customFormat="1">
      <c r="A58" s="693" t="s">
        <v>2765</v>
      </c>
      <c r="B58" s="262">
        <f t="shared" ref="B58:B65" si="17">ROUND($C$48*C58*D58,0)</f>
        <v>0</v>
      </c>
      <c r="C58" s="200">
        <f t="shared" si="16"/>
        <v>0</v>
      </c>
      <c r="D58" s="1164">
        <v>0.25</v>
      </c>
      <c r="E58" s="694"/>
      <c r="F58" s="1103">
        <f t="shared" si="15"/>
        <v>0</v>
      </c>
      <c r="G58" s="3172"/>
      <c r="H58" s="1104">
        <f>项目基本情况!B37</f>
        <v>0</v>
      </c>
      <c r="I58" s="1108">
        <f>SUMIF(修正!A45:A56,H58,修正!C45:C56)</f>
        <v>0</v>
      </c>
      <c r="J58" s="1112"/>
      <c r="K58" s="1145"/>
      <c r="L58" s="941"/>
      <c r="M58" s="941"/>
      <c r="N58" s="941"/>
      <c r="O58" s="941"/>
    </row>
    <row r="59" spans="1:15" s="692" customFormat="1">
      <c r="A59" s="693" t="s">
        <v>2766</v>
      </c>
      <c r="B59" s="262">
        <f t="shared" si="17"/>
        <v>0</v>
      </c>
      <c r="C59" s="200">
        <f t="shared" si="16"/>
        <v>0</v>
      </c>
      <c r="D59" s="1164">
        <v>0.25</v>
      </c>
      <c r="E59" s="694"/>
      <c r="F59" s="1103">
        <f t="shared" si="15"/>
        <v>0</v>
      </c>
      <c r="G59" s="3172"/>
      <c r="H59" s="1104">
        <f>项目基本情况!B37</f>
        <v>0</v>
      </c>
      <c r="I59" s="1108">
        <f>SUMIF(修正!A45:A56,H59,修正!D45:D56)</f>
        <v>0</v>
      </c>
      <c r="J59" s="1112"/>
      <c r="K59" s="1144"/>
      <c r="L59" s="941"/>
      <c r="M59" s="941"/>
      <c r="N59" s="941"/>
      <c r="O59" s="941"/>
    </row>
    <row r="60" spans="1:15" s="692" customFormat="1">
      <c r="A60" s="693" t="s">
        <v>2767</v>
      </c>
      <c r="B60" s="262">
        <f t="shared" si="17"/>
        <v>0</v>
      </c>
      <c r="C60" s="200">
        <f t="shared" si="16"/>
        <v>0</v>
      </c>
      <c r="D60" s="1164">
        <v>0.25</v>
      </c>
      <c r="E60" s="694"/>
      <c r="F60" s="1103">
        <f t="shared" si="15"/>
        <v>0</v>
      </c>
      <c r="G60" s="3172"/>
      <c r="H60" s="1104">
        <f>项目基本情况!B37</f>
        <v>0</v>
      </c>
      <c r="I60" s="1108">
        <f>SUMIF(修正!A45:A56,H60,修正!E45:E56)</f>
        <v>0</v>
      </c>
      <c r="J60" s="1112"/>
      <c r="K60" s="1145"/>
      <c r="L60" s="941"/>
      <c r="M60" s="941"/>
      <c r="N60" s="941"/>
      <c r="O60" s="941"/>
    </row>
    <row r="61" spans="1:15" s="692" customFormat="1">
      <c r="A61" s="693" t="s">
        <v>2768</v>
      </c>
      <c r="B61" s="262">
        <f t="shared" si="17"/>
        <v>0</v>
      </c>
      <c r="C61" s="200">
        <f t="shared" si="16"/>
        <v>0</v>
      </c>
      <c r="D61" s="1164">
        <v>0.25</v>
      </c>
      <c r="E61" s="261">
        <f>'数据-汇总表'!E11</f>
        <v>0</v>
      </c>
      <c r="F61" s="1103">
        <f t="shared" si="15"/>
        <v>0</v>
      </c>
      <c r="G61" s="2705" t="s">
        <v>2769</v>
      </c>
      <c r="H61" s="1104">
        <f>项目基本情况!C37</f>
        <v>0</v>
      </c>
      <c r="I61" s="1108">
        <f>SUMIF(修正!A45:A56,H61,修正!F45:F56)</f>
        <v>0</v>
      </c>
      <c r="J61" s="1112"/>
      <c r="K61" s="1144"/>
      <c r="L61" s="941"/>
      <c r="M61" s="941"/>
      <c r="N61" s="941"/>
      <c r="O61" s="941"/>
    </row>
    <row r="62" spans="1:15" s="692" customFormat="1">
      <c r="A62" s="693" t="s">
        <v>2770</v>
      </c>
      <c r="B62" s="262">
        <f t="shared" si="17"/>
        <v>0</v>
      </c>
      <c r="C62" s="200">
        <f t="shared" si="16"/>
        <v>0</v>
      </c>
      <c r="D62" s="1164">
        <v>0.25</v>
      </c>
      <c r="E62" s="261">
        <f>'数据-汇总表'!E12</f>
        <v>0</v>
      </c>
      <c r="F62" s="1103">
        <f t="shared" si="15"/>
        <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f t="shared" si="17"/>
        <v>0</v>
      </c>
      <c r="C63" s="200">
        <f t="shared" si="16"/>
        <v>0</v>
      </c>
      <c r="D63" s="1164">
        <v>0.25</v>
      </c>
      <c r="E63" s="261">
        <f>'数据-汇总表'!E13</f>
        <v>2259.71</v>
      </c>
      <c r="F63" s="1103">
        <f t="shared" si="15"/>
        <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f t="shared" si="17"/>
        <v>0</v>
      </c>
      <c r="C64" s="200">
        <f t="shared" si="16"/>
        <v>0</v>
      </c>
      <c r="D64" s="1164">
        <v>0.25</v>
      </c>
      <c r="E64" s="261">
        <f>'数据-汇总表'!E14</f>
        <v>0</v>
      </c>
      <c r="F64" s="1103">
        <f t="shared" si="15"/>
        <v>0</v>
      </c>
      <c r="G64" s="2705" t="s">
        <v>2764</v>
      </c>
      <c r="H64" s="1104">
        <f>项目基本情况!B37</f>
        <v>0</v>
      </c>
      <c r="I64" s="1108">
        <f>SUMIF(修正!A45:A56,H64,修正!H45:H56)</f>
        <v>0</v>
      </c>
      <c r="J64" s="1112"/>
      <c r="K64" s="1145"/>
      <c r="L64" s="941"/>
      <c r="M64" s="941"/>
      <c r="N64" s="941"/>
      <c r="O64" s="941"/>
    </row>
    <row r="65" spans="1:17" s="692" customFormat="1" ht="15" thickBot="1">
      <c r="A65" s="693" t="s">
        <v>2775</v>
      </c>
      <c r="B65" s="262">
        <f t="shared" si="17"/>
        <v>0</v>
      </c>
      <c r="C65" s="200">
        <f t="shared" si="16"/>
        <v>0</v>
      </c>
      <c r="D65" s="1164">
        <v>0.25</v>
      </c>
      <c r="E65" s="261">
        <f>'数据-汇总表'!E15</f>
        <v>0</v>
      </c>
      <c r="F65" s="1103">
        <f t="shared" si="15"/>
        <v>0</v>
      </c>
      <c r="G65" s="2706"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1026</v>
      </c>
      <c r="E66" s="696">
        <f>IF(B46="楼面地价",SUM(E56:E65),'数据-汇总表'!D3)</f>
        <v>108682.2</v>
      </c>
      <c r="F66" s="697">
        <f>IF(B46="楼面地价",SUM(F56:F65),ROUND(C48*E66/10000,0))</f>
        <v>14356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7" t="s">
        <v>2777</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8" t="s">
        <v>2778</v>
      </c>
      <c r="B71" s="332" t="str">
        <f>"北京市平均增长率"&amp;TEXT(SUMIF(基准地价修正!N21:N25,A71,基准地价修正!P21:P25),"0.00%")</f>
        <v>北京市平均增长率2.26%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2972" t="s">
        <v>3292</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2558</v>
      </c>
      <c r="B116" s="528" t="s">
        <v>2786</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200000(含)-500000</v>
      </c>
      <c r="I116" s="529" t="str">
        <f t="shared" si="26"/>
        <v>500000(含)-1000000</v>
      </c>
      <c r="J116" s="529" t="str">
        <f t="shared" si="26"/>
        <v>1000000(含)-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v>500000</v>
      </c>
      <c r="J117" s="596">
        <v>1000000</v>
      </c>
      <c r="K117" s="596"/>
      <c r="L117" s="597"/>
      <c r="M117" s="598"/>
      <c r="N117" s="1152"/>
      <c r="O117" s="1152"/>
      <c r="P117" s="45"/>
      <c r="Q117" s="504"/>
    </row>
    <row r="118" spans="1:17" ht="15.75" thickBot="1">
      <c r="A118" s="534"/>
      <c r="B118" s="543"/>
      <c r="C118" s="570">
        <v>100</v>
      </c>
      <c r="D118" s="591">
        <f>C118+1</f>
        <v>101</v>
      </c>
      <c r="E118" s="591">
        <f t="shared" ref="E118:I118" si="27">D118+1</f>
        <v>102</v>
      </c>
      <c r="F118" s="591">
        <f t="shared" si="27"/>
        <v>103</v>
      </c>
      <c r="G118" s="591">
        <f t="shared" si="27"/>
        <v>104</v>
      </c>
      <c r="H118" s="591">
        <f t="shared" si="27"/>
        <v>105</v>
      </c>
      <c r="I118" s="591">
        <f t="shared" si="27"/>
        <v>106</v>
      </c>
      <c r="J118" s="591"/>
      <c r="K118" s="591"/>
      <c r="L118" s="591"/>
      <c r="M118" s="592"/>
      <c r="N118" s="1153"/>
      <c r="O118" s="1153"/>
      <c r="P118" s="45"/>
      <c r="Q118" s="504"/>
    </row>
    <row r="119" spans="1:17" ht="15" thickTop="1">
      <c r="A119" s="599"/>
      <c r="B119" s="538" t="s">
        <v>2787</v>
      </c>
      <c r="C119" s="2973" t="s">
        <v>3294</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2788</v>
      </c>
      <c r="C121" s="2974" t="s">
        <v>3296</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2789</v>
      </c>
      <c r="C123" s="2974" t="s">
        <v>3297</v>
      </c>
      <c r="D123" s="2974" t="s">
        <v>3298</v>
      </c>
      <c r="E123" s="2974" t="s">
        <v>3299</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4"/>
      <c r="O124" s="1154"/>
      <c r="P124" s="558"/>
      <c r="Q124" s="559"/>
    </row>
    <row r="125" spans="1:17" ht="15" thickTop="1">
      <c r="A125" s="599"/>
      <c r="B125" s="538" t="s">
        <v>2790</v>
      </c>
      <c r="C125" s="2974" t="s">
        <v>3300</v>
      </c>
      <c r="D125" s="2974" t="s">
        <v>3301</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安徽省芜湖市鸠江区江北集中区东至和声路、北至长河南路商务金融用地出让国有建设用地使用权及在建建筑物房地产抵押价值预评估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1" t="str">
        <f>项目基本情况!B5</f>
        <v>芜湖市宝能泰盛投资有限公司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8</v>
      </c>
    </row>
    <row r="2" spans="1:9" s="244" customFormat="1" ht="18" customHeight="1">
      <c r="A2" s="245" t="s">
        <v>2325</v>
      </c>
      <c r="B2" s="246">
        <f ca="1">IF(D2="——",C52,C52-E2)</f>
        <v>32030</v>
      </c>
      <c r="C2" s="243" t="s">
        <v>2326</v>
      </c>
      <c r="D2" s="2543" t="s">
        <v>70</v>
      </c>
      <c r="E2" s="1440" t="e">
        <f ca="1">SUMIF(INDIRECT("'"&amp;G2&amp;"'"&amp;"!A:A"),"承租人权益价值",INDIRECT("'"&amp;G2&amp;"'"&amp;"!c:c"))</f>
        <v>#REF!</v>
      </c>
      <c r="F2" s="2544" t="s">
        <v>2326</v>
      </c>
      <c r="G2" s="2545"/>
    </row>
    <row r="3" spans="1:9" s="244" customFormat="1" ht="18" customHeight="1" thickBot="1">
      <c r="A3" s="247" t="s">
        <v>2327</v>
      </c>
      <c r="B3" s="248">
        <f ca="1">ROUND(B2*10000/(IF(B1="",'数据-汇总表'!E3,INDIRECT("'数据-取费表'!k"&amp;$G$1))),0)</f>
        <v>2915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16991</v>
      </c>
      <c r="D5" s="255" t="s">
        <v>2332</v>
      </c>
      <c r="E5" s="256" t="s">
        <v>2333</v>
      </c>
      <c r="F5" s="256" t="s">
        <v>2334</v>
      </c>
      <c r="G5" s="257"/>
    </row>
    <row r="6" spans="1:9" s="258" customFormat="1" ht="13.5" customHeight="1">
      <c r="A6" s="949" t="s">
        <v>2335</v>
      </c>
      <c r="B6" s="259" t="s">
        <v>2336</v>
      </c>
      <c r="C6" s="260">
        <f>'土地比较法-住宅、综合'!B2</f>
        <v>14356</v>
      </c>
      <c r="D6" s="261"/>
      <c r="E6" s="262"/>
      <c r="F6" s="262"/>
      <c r="G6" s="263"/>
    </row>
    <row r="7" spans="1:9" s="258" customFormat="1" ht="13.5" customHeight="1">
      <c r="A7" s="949" t="s">
        <v>2337</v>
      </c>
      <c r="B7" s="259" t="s">
        <v>2338</v>
      </c>
      <c r="C7" s="264">
        <f>ROUND(C6*F7,0)</f>
        <v>438</v>
      </c>
      <c r="D7" s="264"/>
      <c r="E7" s="262"/>
      <c r="F7" s="265">
        <f>'数据-取费表'!B48+'数据-取费表'!B49</f>
        <v>3.0499999999999999E-2</v>
      </c>
      <c r="G7" s="263"/>
    </row>
    <row r="8" spans="1:9" s="267" customFormat="1">
      <c r="A8" s="949" t="s">
        <v>2339</v>
      </c>
      <c r="B8" s="259" t="s">
        <v>2340</v>
      </c>
      <c r="C8" s="264">
        <f ca="1">IF(G8="已包含在土地购买价格中","0",IF(B1="",'数据-取费表'!B29,IF(G9="全部缴纳",C9+C10,H9)))</f>
        <v>2197</v>
      </c>
      <c r="D8" s="266"/>
      <c r="E8" s="264"/>
      <c r="F8" s="265"/>
      <c r="G8" s="2546" t="s">
        <v>3126</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160</v>
      </c>
      <c r="F9" s="265"/>
      <c r="G9" s="2547" t="s">
        <v>3127</v>
      </c>
      <c r="H9" s="1390"/>
      <c r="I9" s="2548" t="s">
        <v>2342</v>
      </c>
    </row>
    <row r="10" spans="1:9" s="258" customFormat="1" ht="13.5" customHeight="1">
      <c r="A10" s="950" t="s">
        <v>801</v>
      </c>
      <c r="B10" s="268" t="s">
        <v>2343</v>
      </c>
      <c r="C10" s="269">
        <f ca="1">ROUND(D10*E10/10000,0)</f>
        <v>2197</v>
      </c>
      <c r="D10" s="1032">
        <f ca="1">IF(B1="",'数据-汇总表'!E6,IF(INDIRECT("'数据-取费表'!c"&amp;$G$1)="住宅",INDIRECT("'数据-取费表'!s"&amp;$G$1),INDIRECT("'数据-取费表'!k"&amp;$G$1)+INDIRECT("'数据-取费表'!s"&amp;$G$1)))</f>
        <v>109861.36</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109861.36</v>
      </c>
      <c r="E19" s="255">
        <f>'数据-取费表'!B31</f>
        <v>50</v>
      </c>
      <c r="F19" s="275"/>
      <c r="G19" s="2546" t="s">
        <v>3128</v>
      </c>
    </row>
    <row r="20" spans="1:7" s="258" customFormat="1" ht="13.5" customHeight="1">
      <c r="A20" s="299" t="s">
        <v>2356</v>
      </c>
      <c r="B20" s="254" t="s">
        <v>2357</v>
      </c>
      <c r="C20" s="276">
        <f ca="1">ROUND((C5+C19)*F20,0)</f>
        <v>340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649</v>
      </c>
      <c r="D22" s="279">
        <f ca="1">C26</f>
        <v>4.0000000000000002E-4</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643</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6</v>
      </c>
      <c r="D25" s="282"/>
      <c r="E25" s="285"/>
      <c r="F25" s="283"/>
      <c r="G25" s="286" t="s">
        <v>2373</v>
      </c>
    </row>
    <row r="26" spans="1:7" s="258" customFormat="1">
      <c r="A26" s="951"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693</v>
      </c>
      <c r="D27" s="279">
        <f ca="1">C29</f>
        <v>8.0000000000000004E-4</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693</v>
      </c>
      <c r="D28" s="279"/>
      <c r="E28" s="280"/>
      <c r="F28" s="290"/>
      <c r="G28" s="291"/>
    </row>
    <row r="29" spans="1:7" s="258" customFormat="1" ht="13.5" customHeight="1">
      <c r="A29" s="951" t="s">
        <v>792</v>
      </c>
      <c r="B29" s="292" t="s">
        <v>2380</v>
      </c>
      <c r="C29" s="282">
        <f ca="1">ROUND(C21*F27*'数据-取费表'!B21/'数据-取费表'!B20,4)</f>
        <v>8.0000000000000004E-4</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20176</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9602</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8723</v>
      </c>
      <c r="D34" s="261"/>
      <c r="E34" s="264"/>
      <c r="F34" s="301">
        <f ca="1">IF('数据-取费表'!B24=0,1,IF(B1="",'数据-取费表'!N16,INDIRECT("'数据-取费表'!n"&amp;$G$1)))</f>
        <v>0.29499999999999998</v>
      </c>
      <c r="G34" s="263" t="s">
        <v>2389</v>
      </c>
    </row>
    <row r="35" spans="1:7" ht="13.5" customHeight="1">
      <c r="A35" s="951" t="s">
        <v>796</v>
      </c>
      <c r="B35" s="259" t="s">
        <v>2390</v>
      </c>
      <c r="C35" s="264">
        <f ca="1">ROUND(C34*F35,0)</f>
        <v>262</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486</v>
      </c>
      <c r="D37" s="261">
        <f ca="1">D19</f>
        <v>109861.36</v>
      </c>
      <c r="E37" s="293">
        <f>'数据-取费表'!B35</f>
        <v>150</v>
      </c>
      <c r="F37" s="303"/>
      <c r="G37" s="305" t="s">
        <v>2395</v>
      </c>
    </row>
    <row r="38" spans="1:7" ht="13.5" customHeight="1">
      <c r="A38" s="951" t="s">
        <v>799</v>
      </c>
      <c r="B38" s="259" t="s">
        <v>2396</v>
      </c>
      <c r="C38" s="264">
        <f ca="1">ROUND(C34*F38,0)</f>
        <v>131</v>
      </c>
      <c r="D38" s="264"/>
      <c r="E38" s="264"/>
      <c r="F38" s="303">
        <f>'数据-取费表'!B36</f>
        <v>1.4999999999999999E-2</v>
      </c>
      <c r="G38" s="263" t="s">
        <v>2391</v>
      </c>
    </row>
    <row r="39" spans="1:7" s="258" customFormat="1" ht="13.5" customHeight="1">
      <c r="A39" s="299" t="s">
        <v>2397</v>
      </c>
      <c r="B39" s="254" t="s">
        <v>2398</v>
      </c>
      <c r="C39" s="276">
        <f ca="1">ROUND(C33*F20,0)</f>
        <v>192</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184</v>
      </c>
      <c r="D41" s="279">
        <f ca="1">C44</f>
        <v>4.0000000000000002E-4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180</v>
      </c>
      <c r="D42" s="282"/>
      <c r="E42" s="282"/>
      <c r="F42" s="283"/>
      <c r="G42" s="3207" t="s">
        <v>2407</v>
      </c>
    </row>
    <row r="43" spans="1:7" ht="13.5" customHeight="1">
      <c r="A43" s="951" t="s">
        <v>792</v>
      </c>
      <c r="B43" s="259" t="s">
        <v>2408</v>
      </c>
      <c r="C43" s="282">
        <f ca="1">ROUND(IF('数据-取费表'!B22&lt;=1,C39*F22*'数据-取费表'!B21/2,C39*(POWER((1+F22),'数据-取费表'!B21/2)-1)),0)</f>
        <v>4</v>
      </c>
      <c r="D43" s="282"/>
      <c r="E43" s="282"/>
      <c r="F43" s="283"/>
      <c r="G43" s="3208"/>
    </row>
    <row r="44" spans="1:7" ht="13.5" customHeight="1">
      <c r="A44" s="951" t="s">
        <v>793</v>
      </c>
      <c r="B44" s="259" t="s">
        <v>2409</v>
      </c>
      <c r="C44" s="282">
        <f ca="1">ROUND(IF('数据-取费表'!B22&lt;=1,C40*F22*'数据-取费表'!B21/2,C40*(POWER((1+F22),'数据-取费表'!B21/2)-1)),4)</f>
        <v>4.0000000000000002E-4</v>
      </c>
      <c r="D44" s="282"/>
      <c r="E44" s="282"/>
      <c r="F44" s="283"/>
      <c r="G44" s="3209"/>
    </row>
    <row r="45" spans="1:7" s="258" customFormat="1" ht="13.5" customHeight="1">
      <c r="A45" s="299" t="s">
        <v>2410</v>
      </c>
      <c r="B45" s="288" t="s">
        <v>2376</v>
      </c>
      <c r="C45" s="289">
        <f ca="1">C46</f>
        <v>979</v>
      </c>
      <c r="D45" s="279">
        <f ca="1">C47</f>
        <v>2E-3</v>
      </c>
      <c r="E45" s="280" t="s">
        <v>2402</v>
      </c>
      <c r="F45" s="290"/>
      <c r="G45" s="291" t="s">
        <v>2411</v>
      </c>
    </row>
    <row r="46" spans="1:7" s="258" customFormat="1" ht="13.5" customHeight="1">
      <c r="A46" s="951" t="s">
        <v>791</v>
      </c>
      <c r="B46" s="292" t="s">
        <v>2412</v>
      </c>
      <c r="C46" s="293">
        <f ca="1">ROUND((C33+C39)*F27,0)</f>
        <v>979</v>
      </c>
      <c r="D46" s="307"/>
      <c r="E46" s="280"/>
      <c r="F46" s="290"/>
      <c r="G46" s="291"/>
    </row>
    <row r="47" spans="1:7" s="258" customFormat="1" ht="13.5" customHeight="1">
      <c r="A47" s="951" t="s">
        <v>792</v>
      </c>
      <c r="B47" s="292" t="s">
        <v>2413</v>
      </c>
      <c r="C47" s="282">
        <f ca="1">ROUND(C40*F27,4)</f>
        <v>2E-3</v>
      </c>
      <c r="D47" s="307"/>
      <c r="E47" s="280"/>
      <c r="F47" s="290"/>
      <c r="G47" s="291"/>
    </row>
    <row r="48" spans="1:7" s="258" customFormat="1" ht="13.5" customHeight="1">
      <c r="A48" s="299" t="s">
        <v>2375</v>
      </c>
      <c r="B48" s="254" t="s">
        <v>2414</v>
      </c>
      <c r="C48" s="1727">
        <f>ROUND(F30/(1+'数据-取费表'!C42),4)</f>
        <v>5.33E-2</v>
      </c>
      <c r="D48" s="280" t="s">
        <v>2402</v>
      </c>
      <c r="E48" s="276"/>
      <c r="F48" s="281"/>
      <c r="G48" s="278" t="s">
        <v>2415</v>
      </c>
    </row>
    <row r="49" spans="1:7" ht="16.5" customHeight="1">
      <c r="A49" s="299" t="s">
        <v>2381</v>
      </c>
      <c r="B49" s="254" t="s">
        <v>2416</v>
      </c>
      <c r="C49" s="276">
        <f ca="1">ROUND((C33+C39+C41+C45)/(1-C40-D41-D45-C48),0)</f>
        <v>11854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11854</v>
      </c>
      <c r="D51" s="276"/>
      <c r="E51" s="276"/>
      <c r="F51" s="308"/>
      <c r="G51" s="278" t="s">
        <v>2423</v>
      </c>
    </row>
    <row r="52" spans="1:7" s="252" customFormat="1" ht="16.5" thickBot="1">
      <c r="A52" s="309" t="s">
        <v>2424</v>
      </c>
      <c r="B52" s="310"/>
      <c r="C52" s="311">
        <f ca="1">C31+C51</f>
        <v>32030</v>
      </c>
      <c r="D52" s="310"/>
      <c r="E52" s="310"/>
      <c r="F52" s="310"/>
      <c r="G52" s="312"/>
    </row>
    <row r="55" spans="1:7" ht="15">
      <c r="B55" s="314" t="s">
        <v>2425</v>
      </c>
      <c r="C55" s="315"/>
    </row>
    <row r="56" spans="1:7">
      <c r="B56" s="317" t="s">
        <v>1509</v>
      </c>
      <c r="C56" s="319">
        <f ca="1">1-C57</f>
        <v>0.63</v>
      </c>
    </row>
    <row r="57" spans="1:7">
      <c r="B57" s="317" t="s">
        <v>1510</v>
      </c>
      <c r="C57" s="318">
        <f ca="1">ROUND(C51/C52,3)</f>
        <v>0.37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24" sqref="D2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49"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44844</v>
      </c>
      <c r="C2" s="243" t="s">
        <v>2326</v>
      </c>
      <c r="D2" s="2543" t="s">
        <v>70</v>
      </c>
      <c r="E2" s="1440" t="e">
        <f ca="1">SUMIF(INDIRECT("'"&amp;G2&amp;"'"&amp;"!A:A"),"承租人权益价值",INDIRECT("'"&amp;G2&amp;"'"&amp;"!c:c"))</f>
        <v>#REF!</v>
      </c>
      <c r="F2" s="2544" t="s">
        <v>2326</v>
      </c>
      <c r="G2" s="2545"/>
    </row>
    <row r="3" spans="1:8" s="244" customFormat="1" ht="18" customHeight="1" thickBot="1">
      <c r="A3" s="247" t="s">
        <v>2327</v>
      </c>
      <c r="B3" s="248">
        <f ca="1">ROUND(B2*10000/(IF(B1="",'数据-汇总表'!E3,INDIRECT("'数据-取费表'!k"&amp;$G$1))),0)</f>
        <v>4082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21972272</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21972272</v>
      </c>
      <c r="D8" s="266"/>
      <c r="E8" s="264"/>
      <c r="F8" s="265"/>
      <c r="G8" s="2546"/>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2343</v>
      </c>
      <c r="C10" s="269">
        <f ca="1">ROUND(D10*E10,0)</f>
        <v>21972272</v>
      </c>
      <c r="D10" s="1032">
        <f ca="1">IF(B1="",'数据-汇总表'!E6,IF(INDIRECT("'数据-取费表'!c"&amp;$G$1)="住宅",INDIRECT("'数据-取费表'!s"&amp;$G$1),INDIRECT("'数据-取费表'!k"&amp;$G$1)+INDIRECT("'数据-取费表'!s"&amp;$G$1)))</f>
        <v>109861.36</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5493068</v>
      </c>
      <c r="D19" s="1036">
        <f ca="1">D9+D10</f>
        <v>109861.36</v>
      </c>
      <c r="E19" s="255">
        <f>'数据-取费表'!B31</f>
        <v>50</v>
      </c>
      <c r="F19" s="275"/>
      <c r="G19" s="2546"/>
    </row>
    <row r="20" spans="1:7" s="258" customFormat="1" ht="13.5" customHeight="1">
      <c r="A20" s="299" t="s">
        <v>2437</v>
      </c>
      <c r="B20" s="254" t="s">
        <v>2438</v>
      </c>
      <c r="C20" s="276">
        <f ca="1">ROUND((C5+C19)*F20,0)</f>
        <v>549307</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2697268</v>
      </c>
      <c r="D22" s="279">
        <f ca="1">C26</f>
        <v>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2136941</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534235</v>
      </c>
      <c r="D24" s="282"/>
      <c r="E24" s="282"/>
      <c r="F24" s="283"/>
      <c r="G24" s="284" t="s">
        <v>2449</v>
      </c>
    </row>
    <row r="25" spans="1:7" s="258" customFormat="1" ht="24">
      <c r="A25" s="951" t="s">
        <v>2339</v>
      </c>
      <c r="B25" s="259" t="s">
        <v>2450</v>
      </c>
      <c r="C25" s="1381">
        <f ca="1">ROUND(IF('数据-取费表'!B22&lt;=1,C20*F22*'数据-取费表'!B22/2,C20*(POWER((1+F22),'数据-取费表'!B22/2)-1)),0)</f>
        <v>26092</v>
      </c>
      <c r="D25" s="282"/>
      <c r="E25" s="285"/>
      <c r="F25" s="283"/>
      <c r="G25" s="286" t="s">
        <v>2451</v>
      </c>
    </row>
    <row r="26" spans="1:7" s="258" customFormat="1">
      <c r="A26" s="951"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2801465</v>
      </c>
      <c r="D27" s="279">
        <f ca="1">C29</f>
        <v>2E-3</v>
      </c>
      <c r="E27" s="280" t="s">
        <v>2377</v>
      </c>
      <c r="F27" s="290">
        <f ca="1">IF(B1="",'数据-取费表'!Q16,INDIRECT("'数据-取费表'!q"&amp;$G$1))</f>
        <v>0.1</v>
      </c>
      <c r="G27" s="291" t="s">
        <v>2378</v>
      </c>
    </row>
    <row r="28" spans="1:7" s="258" customFormat="1" ht="13.5" customHeight="1">
      <c r="A28" s="951" t="s">
        <v>791</v>
      </c>
      <c r="B28" s="292" t="s">
        <v>2379</v>
      </c>
      <c r="C28" s="293">
        <f ca="1">ROUND((C5+C19+C20)*F27,0)</f>
        <v>2801465</v>
      </c>
      <c r="D28" s="279"/>
      <c r="E28" s="280"/>
      <c r="F28" s="290"/>
      <c r="G28" s="291"/>
    </row>
    <row r="29" spans="1:7" s="258" customFormat="1" ht="13.5" customHeight="1">
      <c r="A29" s="951" t="s">
        <v>792</v>
      </c>
      <c r="B29" s="292" t="s">
        <v>2380</v>
      </c>
      <c r="C29" s="282">
        <f ca="1">ROUND(C21*F27,4)</f>
        <v>2E-3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36281672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325272333</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295495817</v>
      </c>
      <c r="D34" s="261"/>
      <c r="E34" s="264"/>
      <c r="F34" s="301"/>
      <c r="G34" s="263"/>
    </row>
    <row r="35" spans="1:7" ht="13.5" customHeight="1">
      <c r="A35" s="951" t="s">
        <v>796</v>
      </c>
      <c r="B35" s="259" t="s">
        <v>2390</v>
      </c>
      <c r="C35" s="264">
        <f ca="1">ROUND(C34*F35,0)</f>
        <v>8864875</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16479204</v>
      </c>
      <c r="D37" s="261">
        <f ca="1">D19</f>
        <v>109861.36</v>
      </c>
      <c r="E37" s="293">
        <f>'数据-取费表'!B35</f>
        <v>150</v>
      </c>
      <c r="F37" s="303"/>
      <c r="G37" s="305"/>
    </row>
    <row r="38" spans="1:7" ht="13.5" customHeight="1">
      <c r="A38" s="951" t="s">
        <v>799</v>
      </c>
      <c r="B38" s="259" t="s">
        <v>2396</v>
      </c>
      <c r="C38" s="264">
        <f ca="1">ROUND(C34*F38,0)</f>
        <v>4432437</v>
      </c>
      <c r="D38" s="264"/>
      <c r="E38" s="264"/>
      <c r="F38" s="303">
        <f>'数据-取费表'!B36</f>
        <v>1.4999999999999999E-2</v>
      </c>
      <c r="G38" s="263" t="s">
        <v>2391</v>
      </c>
    </row>
    <row r="39" spans="1:7" s="258" customFormat="1" ht="13.5" customHeight="1">
      <c r="A39" s="299" t="s">
        <v>2397</v>
      </c>
      <c r="B39" s="254" t="s">
        <v>2398</v>
      </c>
      <c r="C39" s="276">
        <f ca="1">ROUND(C33*F20,0)</f>
        <v>6505447</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15759445</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15450436</v>
      </c>
      <c r="D42" s="282"/>
      <c r="E42" s="282"/>
      <c r="F42" s="283"/>
      <c r="G42" s="3207" t="s">
        <v>2454</v>
      </c>
    </row>
    <row r="43" spans="1:7" ht="13.5" customHeight="1">
      <c r="A43" s="951" t="s">
        <v>792</v>
      </c>
      <c r="B43" s="259" t="s">
        <v>2408</v>
      </c>
      <c r="C43" s="282">
        <f ca="1">ROUND(IF('数据-取费表'!B22&lt;=1,C39*F22*'数据-取费表'!B20/2,C39*(POWER((1+F22),'数据-取费表'!B20/2)-1)),0)</f>
        <v>309009</v>
      </c>
      <c r="D43" s="282"/>
      <c r="E43" s="282"/>
      <c r="F43" s="283"/>
      <c r="G43" s="3208"/>
    </row>
    <row r="44" spans="1:7" ht="13.5" customHeight="1">
      <c r="A44" s="951" t="s">
        <v>793</v>
      </c>
      <c r="B44" s="259" t="s">
        <v>2409</v>
      </c>
      <c r="C44" s="282">
        <f ca="1">ROUND(IF('数据-取费表'!B22&lt;=1,C40*F22*'数据-取费表'!B20/2,C40*(POWER((1+F22),'数据-取费表'!B20/2)-1)),4)</f>
        <v>1E-3</v>
      </c>
      <c r="D44" s="282"/>
      <c r="E44" s="282"/>
      <c r="F44" s="283"/>
      <c r="G44" s="3209"/>
    </row>
    <row r="45" spans="1:7" s="258" customFormat="1" ht="13.5" customHeight="1">
      <c r="A45" s="299" t="s">
        <v>2410</v>
      </c>
      <c r="B45" s="288" t="s">
        <v>2376</v>
      </c>
      <c r="C45" s="289">
        <f ca="1">C46</f>
        <v>33177778</v>
      </c>
      <c r="D45" s="279">
        <f ca="1">C47</f>
        <v>2E-3</v>
      </c>
      <c r="E45" s="280" t="s">
        <v>2402</v>
      </c>
      <c r="F45" s="290"/>
      <c r="G45" s="291" t="s">
        <v>2411</v>
      </c>
    </row>
    <row r="46" spans="1:7" s="258" customFormat="1" ht="13.5" customHeight="1">
      <c r="A46" s="951" t="s">
        <v>791</v>
      </c>
      <c r="B46" s="292" t="s">
        <v>2412</v>
      </c>
      <c r="C46" s="293">
        <f ca="1">ROUND((C33+C39)*F27,0)</f>
        <v>33177778</v>
      </c>
      <c r="D46" s="307"/>
      <c r="E46" s="280"/>
      <c r="F46" s="290"/>
      <c r="G46" s="291"/>
    </row>
    <row r="47" spans="1:7" s="258" customFormat="1" ht="13.5" customHeight="1">
      <c r="A47" s="951" t="s">
        <v>792</v>
      </c>
      <c r="B47" s="292" t="s">
        <v>2413</v>
      </c>
      <c r="C47" s="282">
        <f ca="1">ROUND(C40*F27,4)</f>
        <v>2E-3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412163043</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412163043</v>
      </c>
      <c r="D51" s="276"/>
      <c r="E51" s="276"/>
      <c r="F51" s="308"/>
      <c r="G51" s="278" t="s">
        <v>2423</v>
      </c>
    </row>
    <row r="52" spans="1:7" s="252" customFormat="1" ht="16.5" thickBot="1">
      <c r="A52" s="309" t="s">
        <v>2424</v>
      </c>
      <c r="B52" s="310"/>
      <c r="C52" s="311">
        <f ca="1">C31+C51</f>
        <v>448444715</v>
      </c>
      <c r="D52" s="310"/>
      <c r="E52" s="310"/>
      <c r="F52" s="310"/>
      <c r="G52" s="312"/>
    </row>
    <row r="55" spans="1:7" ht="15">
      <c r="B55" s="314" t="s">
        <v>2425</v>
      </c>
      <c r="C55" s="315"/>
    </row>
    <row r="56" spans="1:7">
      <c r="B56" s="317" t="s">
        <v>1509</v>
      </c>
      <c r="C56" s="319">
        <f ca="1">1-C57</f>
        <v>8.0999999999999961E-2</v>
      </c>
    </row>
    <row r="57" spans="1:7">
      <c r="B57" s="317" t="s">
        <v>1510</v>
      </c>
      <c r="C57" s="318">
        <f ca="1">ROUND(C51/C52,3)</f>
        <v>0.91900000000000004</v>
      </c>
    </row>
  </sheetData>
  <sheetProtection password="C66D" sheet="1" objects="1" scenarios="1" formatCells="0"/>
  <mergeCells count="1">
    <mergeCell ref="G42:G44"/>
  </mergeCells>
  <phoneticPr fontId="14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0"/>
      <c r="C1" s="1581"/>
      <c r="D1" s="1579"/>
      <c r="E1" s="320"/>
      <c r="F1" s="320"/>
      <c r="G1" s="1580"/>
      <c r="H1" s="320"/>
      <c r="I1" s="320"/>
      <c r="J1" s="320"/>
      <c r="K1" s="320">
        <f>MATCH(C1,'数据-取费表'!A6:A16,0)+5</f>
        <v>8</v>
      </c>
    </row>
    <row r="2" spans="1:33" ht="18" customHeight="1">
      <c r="A2" s="245" t="s">
        <v>2325</v>
      </c>
      <c r="B2" s="248">
        <f ca="1">C32</f>
        <v>30798</v>
      </c>
      <c r="C2" s="320" t="s">
        <v>2458</v>
      </c>
      <c r="D2" s="320"/>
      <c r="E2" s="320"/>
      <c r="F2" s="320"/>
      <c r="G2" s="320"/>
      <c r="H2" s="320"/>
      <c r="I2" s="320"/>
      <c r="J2" s="320"/>
      <c r="K2" s="320"/>
    </row>
    <row r="3" spans="1:33" ht="18" customHeight="1" thickBot="1">
      <c r="A3" s="247" t="s">
        <v>2327</v>
      </c>
      <c r="B3" s="248">
        <f ca="1">ROUND(B2*10000/IF(C1="",'数据-汇总表'!E3,INDIRECT("'数据-取费表'!K"&amp;$K$1)),0)</f>
        <v>2803</v>
      </c>
      <c r="C3" s="320" t="s">
        <v>2459</v>
      </c>
      <c r="D3" s="320"/>
      <c r="E3" s="320"/>
      <c r="F3" s="320"/>
      <c r="G3" s="320"/>
      <c r="H3" s="320"/>
      <c r="I3" s="320"/>
      <c r="J3" s="320"/>
      <c r="K3" s="320"/>
    </row>
    <row r="4" spans="1:33" s="956" customFormat="1" ht="16.5" customHeight="1">
      <c r="A4" s="953" t="s">
        <v>2460</v>
      </c>
      <c r="B4" s="954"/>
      <c r="C4" s="996">
        <f ca="1">SUM(C8:K8)</f>
        <v>67742</v>
      </c>
      <c r="D4" s="954"/>
      <c r="E4" s="954"/>
      <c r="F4" s="954"/>
      <c r="G4" s="954"/>
      <c r="H4" s="954"/>
      <c r="I4" s="954"/>
      <c r="J4" s="954"/>
      <c r="K4" s="955"/>
    </row>
    <row r="5" spans="1:33" s="960" customFormat="1" ht="15">
      <c r="A5" s="957" t="s">
        <v>2461</v>
      </c>
      <c r="B5" s="958" t="s">
        <v>2462</v>
      </c>
      <c r="C5" s="2550" t="s">
        <v>1373</v>
      </c>
      <c r="D5" s="2550" t="s">
        <v>48</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f ca="1">收益法!B3</f>
        <v>6296</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107601.65</v>
      </c>
      <c r="D7" s="321">
        <f>SUMIF('数据-汇总表'!$C19:$C33,假设开发法!D5,'数据-汇总表'!$E19:$E33)</f>
        <v>2259.71</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2466</v>
      </c>
      <c r="B8" s="177" t="s">
        <v>2467</v>
      </c>
      <c r="C8" s="997">
        <f ca="1">收益法!B2</f>
        <v>67742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20826</v>
      </c>
      <c r="D11" s="973"/>
      <c r="E11" s="375"/>
      <c r="F11" s="974">
        <f ca="1">1-IF('数据-取费表'!B24=0,1,IF(C1="",'数据-取费表'!N16,INDIRECT("'数据-取费表'!n"&amp;$K$1)))</f>
        <v>0.70500000000000007</v>
      </c>
      <c r="G11" s="8"/>
      <c r="H11" s="968"/>
      <c r="I11" s="968"/>
      <c r="J11" s="968"/>
      <c r="K11" s="969"/>
    </row>
    <row r="12" spans="1:33" s="975" customFormat="1" ht="13.5" customHeight="1">
      <c r="A12" s="971" t="s">
        <v>1331</v>
      </c>
      <c r="B12" s="972" t="s">
        <v>2476</v>
      </c>
      <c r="C12" s="24">
        <f ca="1">ROUND(C11*F12,0)</f>
        <v>625</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1162</v>
      </c>
      <c r="D14" s="1033">
        <f ca="1">IF(C1="",'数据-汇总表'!E3,INDIRECT("'数据-取费表'!K"&amp;$K$1)+INDIRECT("'数据-取费表'!S"&amp;$K$1))</f>
        <v>109861.36</v>
      </c>
      <c r="E14" s="24">
        <f>'数据-取费表'!B35</f>
        <v>150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312</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22925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1099</v>
      </c>
      <c r="D17" s="1033">
        <f ca="1">D14</f>
        <v>109861.36</v>
      </c>
      <c r="E17" s="24">
        <f>'数据-取费表'!B32</f>
        <v>100</v>
      </c>
      <c r="F17" s="978"/>
      <c r="G17" s="140" t="s">
        <v>2486</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2" t="s">
        <v>3122</v>
      </c>
      <c r="H18" s="1576"/>
      <c r="I18" s="2553"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2490</v>
      </c>
      <c r="C20" s="24">
        <f ca="1">ROUND(D20*E20/10000,0)</f>
        <v>2197</v>
      </c>
      <c r="D20" s="1033">
        <f ca="1">IF(C1="",'数据-汇总表'!E6,IF(INDIRECT("'数据-取费表'!c"&amp;$K$1)="住宅",INDIRECT("'数据-取费表'!s"&amp;$K$1),INDIRECT("'数据-取费表'!k"&amp;$K$1)+INDIRECT("'数据-取费表'!s"&amp;$K$1)))</f>
        <v>109861.36</v>
      </c>
      <c r="E20" s="24">
        <f>'数据-取费表'!B28</f>
        <v>200</v>
      </c>
      <c r="F20" s="976"/>
      <c r="G20" s="15"/>
      <c r="H20" s="981"/>
      <c r="I20" s="981"/>
      <c r="J20" s="981"/>
      <c r="K20" s="982"/>
    </row>
    <row r="21" spans="1:33" s="975" customFormat="1" ht="13.5" customHeight="1">
      <c r="A21" s="961" t="s">
        <v>802</v>
      </c>
      <c r="B21" s="985" t="s">
        <v>2491</v>
      </c>
      <c r="C21" s="986">
        <f ca="1">C16+C17+C18</f>
        <v>24024</v>
      </c>
      <c r="D21" s="987"/>
      <c r="E21" s="325"/>
      <c r="F21" s="325"/>
      <c r="G21" s="140" t="s">
        <v>2492</v>
      </c>
      <c r="H21" s="979"/>
      <c r="I21" s="979"/>
      <c r="J21" s="979"/>
      <c r="K21" s="980"/>
    </row>
    <row r="22" spans="1:33" s="975" customFormat="1" ht="13.5" customHeight="1">
      <c r="A22" s="961" t="s">
        <v>2464</v>
      </c>
      <c r="B22" s="985" t="s">
        <v>2493</v>
      </c>
      <c r="C22" s="986">
        <f ca="1">ROUND(C21*F22,0)</f>
        <v>480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955</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719</v>
      </c>
      <c r="D25" s="324">
        <f ca="1">C26</f>
        <v>5.8900000000000001E-2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5.8900000000000001E-2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719</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2504</v>
      </c>
      <c r="B28" s="2555" t="s">
        <v>2505</v>
      </c>
      <c r="C28" s="331">
        <f ca="1">C30</f>
        <v>2546</v>
      </c>
      <c r="D28" s="324">
        <f ca="1">C29</f>
        <v>6.1699999999999998E-2</v>
      </c>
      <c r="E28" s="326" t="s">
        <v>15</v>
      </c>
      <c r="F28" s="332">
        <f ca="1">IF(C1="",'数据-取费表'!Q16,INDIRECT("'数据-取费表'!q"&amp;$K$1))</f>
        <v>0.1</v>
      </c>
      <c r="G28" s="989"/>
      <c r="H28" s="990"/>
      <c r="I28" s="990"/>
      <c r="J28" s="990"/>
      <c r="K28" s="991"/>
    </row>
    <row r="29" spans="1:33" s="335" customFormat="1" ht="13.5" customHeight="1">
      <c r="A29" s="971" t="s">
        <v>803</v>
      </c>
      <c r="B29" s="994" t="s">
        <v>2506</v>
      </c>
      <c r="C29" s="328">
        <f ca="1">ROUND((1+C24)*F28*'数据-取费表'!B24/'数据-取费表'!B20,4)</f>
        <v>6.1699999999999998E-2</v>
      </c>
      <c r="D29" s="328"/>
      <c r="E29" s="329"/>
      <c r="F29" s="334"/>
      <c r="G29" s="140" t="s">
        <v>2507</v>
      </c>
      <c r="H29" s="979"/>
      <c r="I29" s="979"/>
      <c r="J29" s="979"/>
      <c r="K29" s="980"/>
    </row>
    <row r="30" spans="1:33" s="335" customFormat="1" ht="13.5" customHeight="1">
      <c r="A30" s="971" t="s">
        <v>804</v>
      </c>
      <c r="B30" s="994" t="s">
        <v>2508</v>
      </c>
      <c r="C30" s="336">
        <f ca="1">ROUND((C21+C22+C23)*F28,0)</f>
        <v>2546</v>
      </c>
      <c r="D30" s="328"/>
      <c r="E30" s="329"/>
      <c r="F30" s="334"/>
      <c r="G30" s="140"/>
      <c r="H30" s="979"/>
      <c r="I30" s="979"/>
      <c r="J30" s="979"/>
      <c r="K30" s="980"/>
    </row>
    <row r="31" spans="1:33" s="975" customFormat="1" ht="13.5" customHeight="1" thickBot="1">
      <c r="A31" s="2556" t="s">
        <v>2509</v>
      </c>
      <c r="B31" s="1005" t="s">
        <v>2510</v>
      </c>
      <c r="C31" s="1006">
        <f ca="1">ROUND(C4*F31/(1+'数据-取费表'!C42),0)</f>
        <v>3613</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30798</v>
      </c>
      <c r="D32" s="1001"/>
      <c r="E32" s="1001"/>
      <c r="F32" s="1001"/>
      <c r="G32" s="1003" t="s">
        <v>2513</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7" sqref="K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3181</v>
      </c>
      <c r="E1" s="1820" t="s">
        <v>1383</v>
      </c>
      <c r="F1" s="1283">
        <f ca="1">J53</f>
        <v>33.39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67742</v>
      </c>
      <c r="C2" s="1844" t="s">
        <v>1512</v>
      </c>
      <c r="D2" s="1844"/>
      <c r="E2" s="1845"/>
      <c r="F2" s="1846"/>
      <c r="G2" s="1847"/>
      <c r="H2" s="1839"/>
      <c r="I2" s="1839"/>
      <c r="J2" s="1839"/>
      <c r="K2" s="1840"/>
      <c r="L2" s="1839"/>
      <c r="M2" s="1839"/>
    </row>
    <row r="3" spans="1:37" ht="18" customHeight="1" thickBot="1">
      <c r="A3" s="1848" t="s">
        <v>1513</v>
      </c>
      <c r="B3" s="1849">
        <f ca="1">IF(ISERROR(B2*10000/F43),0,ROUND(B2*10000/F43,0))</f>
        <v>6296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4955</v>
      </c>
      <c r="D5" s="1821" t="s">
        <v>1398</v>
      </c>
      <c r="E5" s="1293"/>
      <c r="F5" s="1294"/>
      <c r="G5" s="1850"/>
      <c r="H5" s="344">
        <v>1</v>
      </c>
      <c r="I5" s="345" t="s">
        <v>1397</v>
      </c>
      <c r="J5" s="1292">
        <f ca="1">J6+J10+J12</f>
        <v>0</v>
      </c>
      <c r="K5" s="1821" t="s">
        <v>1398</v>
      </c>
      <c r="L5" s="1293"/>
      <c r="M5" s="1294"/>
    </row>
    <row r="6" spans="1:37" ht="18" customHeight="1">
      <c r="A6" s="1291" t="s">
        <v>1032</v>
      </c>
      <c r="B6" s="3212" t="s">
        <v>1399</v>
      </c>
      <c r="C6" s="1296">
        <f ca="1">ROUND(F6*F8*F7*(1-F9)/10000,0)</f>
        <v>4949</v>
      </c>
      <c r="D6" s="164" t="s">
        <v>3028</v>
      </c>
      <c r="E6" s="347" t="s">
        <v>1401</v>
      </c>
      <c r="F6" s="348">
        <f ca="1">INDIRECT("'数据-取费表'!u"&amp;$G$1)</f>
        <v>1.4</v>
      </c>
      <c r="G6" s="1850"/>
      <c r="H6" s="1291" t="s">
        <v>1032</v>
      </c>
      <c r="I6" s="3212" t="s">
        <v>1399</v>
      </c>
      <c r="J6" s="346">
        <f ca="1">ROUND(M6*M8*M7*(1-M9)/10000,0)</f>
        <v>0</v>
      </c>
      <c r="K6" s="164" t="s">
        <v>3027</v>
      </c>
      <c r="L6" s="347" t="s">
        <v>1401</v>
      </c>
      <c r="M6" s="348">
        <f ca="1">INDIRECT("'数据-取费表'!z"&amp;$G$1)</f>
        <v>0</v>
      </c>
    </row>
    <row r="7" spans="1:37" ht="18" customHeight="1">
      <c r="A7" s="1295"/>
      <c r="B7" s="3213"/>
      <c r="C7" s="1297"/>
      <c r="D7" s="352"/>
      <c r="E7" s="1298" t="s">
        <v>1402</v>
      </c>
      <c r="F7" s="348">
        <f ca="1">IF(INDIRECT("'数据-取费表'!ah"&amp;$G$1)="",INDIRECT("'数据-取费表'!k"&amp;$G$1),INDIRECT("'数据-取费表'!ah"&amp;$G$1))</f>
        <v>107601.65</v>
      </c>
      <c r="G7" s="1850"/>
      <c r="H7" s="349"/>
      <c r="I7" s="3213"/>
      <c r="J7" s="351"/>
      <c r="K7" s="352"/>
      <c r="L7" s="347" t="s">
        <v>1402</v>
      </c>
      <c r="M7" s="348">
        <f ca="1">F7</f>
        <v>107601.65</v>
      </c>
    </row>
    <row r="8" spans="1:37" ht="18" customHeight="1">
      <c r="A8" s="349"/>
      <c r="B8" s="3213"/>
      <c r="C8" s="351"/>
      <c r="D8" s="352"/>
      <c r="E8" s="347" t="s">
        <v>1403</v>
      </c>
      <c r="F8" s="348">
        <f ca="1">INDIRECT("'数据-取费表'!ai"&amp;$G$1)</f>
        <v>365</v>
      </c>
      <c r="G8" s="1850"/>
      <c r="H8" s="349"/>
      <c r="I8" s="3213"/>
      <c r="J8" s="351"/>
      <c r="K8" s="352"/>
      <c r="L8" s="347" t="s">
        <v>1403</v>
      </c>
      <c r="M8" s="348">
        <f ca="1">INDIRECT("'数据-取费表'!ai"&amp;$G$1)</f>
        <v>365</v>
      </c>
    </row>
    <row r="9" spans="1:37" ht="18" customHeight="1">
      <c r="A9" s="349"/>
      <c r="B9" s="3214"/>
      <c r="C9" s="351"/>
      <c r="D9" s="352"/>
      <c r="E9" s="347" t="s">
        <v>1404</v>
      </c>
      <c r="F9" s="357">
        <f ca="1">INDIRECT("'数据-取费表'!w"&amp;$G$1)</f>
        <v>0.1</v>
      </c>
      <c r="G9" s="1850"/>
      <c r="H9" s="349"/>
      <c r="I9" s="3214"/>
      <c r="J9" s="351"/>
      <c r="K9" s="352"/>
      <c r="L9" s="358" t="s">
        <v>1404</v>
      </c>
      <c r="M9" s="359">
        <f ca="1">INDIRECT("'数据-取费表'!ab"&amp;$G$1)</f>
        <v>0</v>
      </c>
    </row>
    <row r="10" spans="1:37" ht="18" customHeight="1">
      <c r="A10" s="1291" t="s">
        <v>1036</v>
      </c>
      <c r="B10" s="1822" t="s">
        <v>1405</v>
      </c>
      <c r="C10" s="361">
        <f ca="1">ROUND(IF(F10="押一",C6/12*F11,IF(F10="押二",C6/12*2*F11,IF(F10="押三",C6/12*3*F11,C11*F11))),0)</f>
        <v>6</v>
      </c>
      <c r="D10" s="1823" t="s">
        <v>3037</v>
      </c>
      <c r="E10" s="358" t="s">
        <v>1406</v>
      </c>
      <c r="F10" s="1366" t="s">
        <v>3182</v>
      </c>
      <c r="G10" s="1850"/>
      <c r="H10" s="1291" t="s">
        <v>1036</v>
      </c>
      <c r="I10" s="1822" t="s">
        <v>1405</v>
      </c>
      <c r="J10" s="346">
        <f ca="1">ROUND(IF(M10="押一",J6/12*M11,IF(M10="押二",J6/12*2*M11,IF(M10="押三",J6/12*3*M11,J11*M11))),0)</f>
        <v>0</v>
      </c>
      <c r="K10" s="1823" t="s">
        <v>3036</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40514</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29052</v>
      </c>
      <c r="D14" s="1799" t="s">
        <v>1414</v>
      </c>
      <c r="E14" s="1793"/>
      <c r="F14" s="364"/>
      <c r="G14" s="1850"/>
      <c r="H14" s="1201" t="s">
        <v>1032</v>
      </c>
      <c r="I14" s="347" t="s">
        <v>1415</v>
      </c>
      <c r="J14" s="24">
        <f ca="1">C29</f>
        <v>40514</v>
      </c>
      <c r="K14" s="15"/>
      <c r="L14" s="979"/>
      <c r="M14" s="980"/>
    </row>
    <row r="15" spans="1:37" s="1857" customFormat="1" ht="18" customHeight="1" thickBot="1">
      <c r="A15" s="1201" t="s">
        <v>1033</v>
      </c>
      <c r="B15" s="347" t="s">
        <v>1416</v>
      </c>
      <c r="C15" s="24">
        <f ca="1">ROUND(C14*F15,0)</f>
        <v>872</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1031</v>
      </c>
      <c r="K16" s="1337" t="s">
        <v>1421</v>
      </c>
      <c r="L16" s="1338"/>
      <c r="M16" s="1294"/>
    </row>
    <row r="17" spans="1:37" s="1857" customFormat="1" ht="18" customHeight="1">
      <c r="A17" s="1201" t="s">
        <v>1386</v>
      </c>
      <c r="B17" s="347" t="s">
        <v>1422</v>
      </c>
      <c r="C17" s="24">
        <f ca="1">ROUND(F17*(F43+INDIRECT("'数据-取费表'!S"&amp;$G$1))/10000,0)</f>
        <v>1614</v>
      </c>
      <c r="D17" s="347" t="s">
        <v>1423</v>
      </c>
      <c r="E17" s="347" t="s">
        <v>1424</v>
      </c>
      <c r="F17" s="26">
        <f>'数据-取费表'!B35</f>
        <v>150</v>
      </c>
      <c r="G17" s="1853"/>
      <c r="H17" s="1201" t="s">
        <v>1032</v>
      </c>
      <c r="I17" s="347" t="s">
        <v>1425</v>
      </c>
      <c r="J17" s="24">
        <f ca="1">ROUND(IF(项目基本情况!B11="自然人",J5*M17,J18+J19+J20),1)</f>
        <v>422.8</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436</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31974</v>
      </c>
      <c r="D19" s="140" t="s">
        <v>1432</v>
      </c>
      <c r="E19" s="1817"/>
      <c r="F19" s="26"/>
      <c r="G19" s="1850"/>
      <c r="H19" s="1201" t="s">
        <v>1033</v>
      </c>
      <c r="I19" s="347" t="s">
        <v>1433</v>
      </c>
      <c r="J19" s="24">
        <f ca="1">IF(K19="按租金收入计税",ROUND(J5*M19,2),ROUND(C29*M19*0.7,2))</f>
        <v>340.32</v>
      </c>
      <c r="K19" s="1827" t="s">
        <v>1434</v>
      </c>
      <c r="L19" s="347" t="s">
        <v>1418</v>
      </c>
      <c r="M19" s="367">
        <f>IF(K19="按租金收入计税",'数据-取费表'!B51,'数据-取费表'!B50)</f>
        <v>1.2E-2</v>
      </c>
    </row>
    <row r="20" spans="1:37" s="1857" customFormat="1" ht="18" customHeight="1">
      <c r="A20" s="1201" t="s">
        <v>1036</v>
      </c>
      <c r="B20" s="347" t="s">
        <v>1435</v>
      </c>
      <c r="C20" s="24">
        <f ca="1">ROUND(C19*F20,0)</f>
        <v>639</v>
      </c>
      <c r="D20" s="369" t="s">
        <v>1436</v>
      </c>
      <c r="E20" s="347" t="s">
        <v>1418</v>
      </c>
      <c r="F20" s="367">
        <f>'数据-取费表'!B37</f>
        <v>0.02</v>
      </c>
      <c r="G20" s="1853"/>
      <c r="H20" s="1201" t="s">
        <v>1385</v>
      </c>
      <c r="I20" s="164" t="s">
        <v>1437</v>
      </c>
      <c r="J20" s="25">
        <f ca="1">ROUND(M20*M21/10000,2)</f>
        <v>82.45</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82453.42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607.70000000000005</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1549</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-1031</v>
      </c>
      <c r="K25" s="1345" t="s">
        <v>1460</v>
      </c>
      <c r="L25" s="1346"/>
      <c r="M25" s="1347"/>
    </row>
    <row r="26" spans="1:37">
      <c r="A26" s="1201" t="s">
        <v>1031</v>
      </c>
      <c r="B26" s="347" t="s">
        <v>1461</v>
      </c>
      <c r="C26" s="24">
        <f ca="1">ROUND((C19+C20)*F26,0)</f>
        <v>3261</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40514</v>
      </c>
      <c r="D29" s="1342"/>
      <c r="E29" s="1340"/>
      <c r="F29" s="1343"/>
      <c r="G29" s="1853"/>
      <c r="H29" s="380" t="s">
        <v>1030</v>
      </c>
      <c r="I29" s="381" t="s">
        <v>1475</v>
      </c>
      <c r="J29" s="382">
        <f ca="1">ROUND(J26/(1+F40)^F41,0)</f>
        <v>0</v>
      </c>
      <c r="K29" s="383" t="s">
        <v>1476</v>
      </c>
      <c r="L29" s="384"/>
      <c r="M29" s="385">
        <f ca="1">INDIRECT("'数据-取费表'!k"&amp;$G$1)</f>
        <v>107601.65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1659</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941.3</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264.27</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594.6</v>
      </c>
      <c r="D33" s="1827" t="s">
        <v>3183</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82.45</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f ca="1">INDIRECT("'数据-取费表'!r"&amp;$G$1)</f>
        <v>82453.42</v>
      </c>
      <c r="G35" s="1850"/>
      <c r="H35" s="745"/>
      <c r="I35" s="1859"/>
      <c r="J35" s="1860"/>
      <c r="K35" s="1861"/>
      <c r="L35" s="1858"/>
      <c r="M35" s="1858"/>
    </row>
    <row r="36" spans="1:18" ht="18" customHeight="1">
      <c r="A36" s="1352" t="s">
        <v>1036</v>
      </c>
      <c r="B36" s="347" t="s">
        <v>1445</v>
      </c>
      <c r="C36" s="24">
        <f ca="1">ROUND(C29*F36,1)</f>
        <v>607.70000000000005</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60.8</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49.6</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3296</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67742</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33.39</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6296</v>
      </c>
      <c r="D43" s="383" t="s">
        <v>1484</v>
      </c>
      <c r="E43" s="384" t="s">
        <v>1485</v>
      </c>
      <c r="F43" s="385">
        <f ca="1">INDIRECT("'数据-取费表'!k"&amp;$G$1)</f>
        <v>107601.65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-127082</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3184</v>
      </c>
      <c r="K47" s="1881" t="s">
        <v>1523</v>
      </c>
      <c r="L47" s="1882">
        <f ca="1">INDIRECT("'数据-取费表'!d"&amp;$G$1)</f>
        <v>40</v>
      </c>
      <c r="M47" s="1837" t="str">
        <f>IF(ISNUMBER(FIND("住宅",C1)),"住宅","非住宅")</f>
        <v>非住宅</v>
      </c>
      <c r="O47" s="1883" t="s">
        <v>1037</v>
      </c>
      <c r="P47" s="1884" t="s">
        <v>1524</v>
      </c>
      <c r="Q47" s="1885">
        <f ca="1">C40+J29</f>
        <v>67742</v>
      </c>
      <c r="R47" s="1885" t="s">
        <v>1525</v>
      </c>
    </row>
    <row r="48" spans="1:18" s="1841" customFormat="1" ht="28.5" thickBot="1">
      <c r="A48" s="1360" t="s">
        <v>1132</v>
      </c>
      <c r="B48" s="345" t="s">
        <v>1397</v>
      </c>
      <c r="C48" s="1816">
        <f ca="1">C49+C53+C55</f>
        <v>0</v>
      </c>
      <c r="D48" s="1362"/>
      <c r="E48" s="1363"/>
      <c r="F48" s="1181"/>
      <c r="G48" s="792"/>
      <c r="H48" s="793"/>
      <c r="I48" s="1886" t="s">
        <v>1526</v>
      </c>
      <c r="J48" s="1887" t="s">
        <v>3185</v>
      </c>
      <c r="K48" s="1888" t="s">
        <v>1527</v>
      </c>
      <c r="L48" s="1889">
        <f ca="1">INDIRECT("'数据-取费表'!f"&amp;$G$1)</f>
        <v>34.590000000000003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3029</v>
      </c>
      <c r="E49" s="1829" t="s">
        <v>1487</v>
      </c>
      <c r="F49" s="1281"/>
      <c r="G49" s="1890"/>
      <c r="H49" s="793"/>
      <c r="I49" s="1886" t="s">
        <v>1530</v>
      </c>
      <c r="J49" s="1891"/>
      <c r="K49" s="1888" t="s">
        <v>1531</v>
      </c>
      <c r="L49" s="1892"/>
      <c r="O49" s="1893" t="s">
        <v>1039</v>
      </c>
      <c r="P49" s="1884" t="s">
        <v>1532</v>
      </c>
      <c r="Q49" s="1885">
        <f ca="1">C29</f>
        <v>40514</v>
      </c>
      <c r="R49" s="1885" t="s">
        <v>1525</v>
      </c>
    </row>
    <row r="50" spans="1:18" s="1841" customFormat="1" ht="13.5" thickBot="1">
      <c r="A50" s="1195"/>
      <c r="B50" s="1198"/>
      <c r="C50" s="1368"/>
      <c r="D50" s="1172"/>
      <c r="E50" s="1277" t="s">
        <v>1402</v>
      </c>
      <c r="F50" s="1278">
        <f ca="1">F7</f>
        <v>107601.65</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-2407</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33.39</v>
      </c>
      <c r="R52" s="1885" t="s">
        <v>1542</v>
      </c>
    </row>
    <row r="53" spans="1:18" s="1841" customFormat="1" ht="24.75" thickBot="1">
      <c r="A53" s="1405" t="s">
        <v>1134</v>
      </c>
      <c r="B53" s="1830" t="s">
        <v>1405</v>
      </c>
      <c r="C53" s="361">
        <f ca="1">ROUND(IF(F53="押一",C49/12*F11,IF(F53="押二",C49/12*2*F11,IF(F53="押三",C49/12*3*F11,C54*F11))),0)</f>
        <v>0</v>
      </c>
      <c r="D53" s="1823" t="s">
        <v>3036</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33.39</v>
      </c>
      <c r="K53" s="3210" t="s">
        <v>1544</v>
      </c>
      <c r="L53" s="3211"/>
      <c r="O53" s="1883" t="s">
        <v>1043</v>
      </c>
      <c r="P53" s="1884" t="s">
        <v>1545</v>
      </c>
      <c r="Q53" s="1885">
        <f ca="1">Q47+Q48</f>
        <v>67742</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40514</v>
      </c>
      <c r="D56" s="1913"/>
      <c r="E56" s="1914"/>
      <c r="F56" s="1906"/>
      <c r="I56" s="1915" t="s">
        <v>1550</v>
      </c>
      <c r="J56" s="1916" t="s">
        <v>3093</v>
      </c>
      <c r="K56" s="1886" t="s">
        <v>1551</v>
      </c>
      <c r="L56" s="1889" t="str">
        <f ca="1">IF(L48&lt;J51,"——",L48-J53)</f>
        <v>——</v>
      </c>
      <c r="O56" s="1883" t="s">
        <v>1037</v>
      </c>
      <c r="P56" s="1884" t="s">
        <v>1524</v>
      </c>
      <c r="Q56" s="1885">
        <f ca="1">C40+J29</f>
        <v>67742</v>
      </c>
      <c r="R56" s="1885" t="s">
        <v>1525</v>
      </c>
    </row>
    <row r="57" spans="1:18" s="1841" customFormat="1" ht="24.75" thickBot="1">
      <c r="A57" s="1917"/>
      <c r="B57" s="1169" t="s">
        <v>1474</v>
      </c>
      <c r="C57" s="282">
        <f ca="1">C29</f>
        <v>40514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4154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3485.6</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3403.18</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82.45</v>
      </c>
      <c r="D62" s="1184" t="s">
        <v>1493</v>
      </c>
      <c r="E62" s="1169" t="s">
        <v>1494</v>
      </c>
      <c r="F62" s="371">
        <f t="shared" si="0"/>
        <v>10</v>
      </c>
      <c r="I62" s="1928" t="s">
        <v>1566</v>
      </c>
      <c r="J62" s="1929" t="s">
        <v>1567</v>
      </c>
      <c r="K62" s="1929" t="s">
        <v>1568</v>
      </c>
      <c r="L62" s="1929" t="s">
        <v>1569</v>
      </c>
      <c r="M62" s="1930" t="s">
        <v>1570</v>
      </c>
      <c r="O62" s="1883" t="s">
        <v>1043</v>
      </c>
      <c r="P62" s="1884" t="s">
        <v>1571</v>
      </c>
      <c r="Q62" s="1885">
        <f ca="1">Q56+Q57</f>
        <v>67742</v>
      </c>
      <c r="R62" s="1885" t="s">
        <v>1044</v>
      </c>
    </row>
    <row r="63" spans="1:18" s="1841" customFormat="1" ht="13.5" thickBot="1">
      <c r="A63" s="372"/>
      <c r="B63" s="1175"/>
      <c r="C63" s="29"/>
      <c r="D63" s="1185"/>
      <c r="E63" s="1169" t="s">
        <v>1495</v>
      </c>
      <c r="F63" s="348">
        <f t="shared" ca="1" si="0"/>
        <v>82453.42</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607.70000000000005</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60.8</v>
      </c>
      <c r="D65" s="1183" t="s">
        <v>1450</v>
      </c>
      <c r="E65" s="1169" t="s">
        <v>1451</v>
      </c>
      <c r="F65" s="376">
        <f t="shared" ca="1" si="0"/>
        <v>1.5E-3</v>
      </c>
      <c r="I65" s="1928" t="s">
        <v>1575</v>
      </c>
      <c r="J65" s="1929">
        <v>40</v>
      </c>
      <c r="K65" s="1929">
        <v>30</v>
      </c>
      <c r="L65" s="1929">
        <v>50</v>
      </c>
      <c r="M65" s="1931">
        <v>0.02</v>
      </c>
      <c r="O65" s="1883" t="s">
        <v>1037</v>
      </c>
      <c r="P65" s="1884" t="s">
        <v>1576</v>
      </c>
      <c r="Q65" s="1885">
        <f ca="1">C40+J29</f>
        <v>67742</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-4154</v>
      </c>
      <c r="D67" s="1182" t="s">
        <v>1460</v>
      </c>
      <c r="E67" s="1187"/>
      <c r="F67" s="1188"/>
      <c r="O67" s="1893" t="s">
        <v>1039</v>
      </c>
      <c r="P67" s="1884" t="s">
        <v>1558</v>
      </c>
      <c r="Q67" s="1932">
        <f ca="1">L51</f>
        <v>-2407</v>
      </c>
      <c r="R67" s="1885" t="s">
        <v>1578</v>
      </c>
    </row>
    <row r="68" spans="1:18" s="1841" customFormat="1" ht="16.5" thickBot="1">
      <c r="A68" s="1166" t="s">
        <v>1029</v>
      </c>
      <c r="B68" s="1167" t="s">
        <v>1481</v>
      </c>
      <c r="C68" s="346">
        <f ca="1">ROUND(C67*(1-((1+F70)/(1+F68))^F69)/(F68-F70),0)</f>
        <v>-59340</v>
      </c>
      <c r="D68" s="1184" t="s">
        <v>1465</v>
      </c>
      <c r="E68" s="1169" t="s">
        <v>1466</v>
      </c>
      <c r="F68" s="357">
        <f ca="1">F40</f>
        <v>0.06</v>
      </c>
      <c r="O68" s="1893" t="s">
        <v>1040</v>
      </c>
      <c r="P68" s="1933" t="s">
        <v>1579</v>
      </c>
      <c r="Q68" s="1885">
        <f ca="1">ROUND(Q69-Q70*Q71,0)</f>
        <v>-148</v>
      </c>
      <c r="R68" s="1885" t="s">
        <v>1048</v>
      </c>
    </row>
    <row r="69" spans="1:18" s="1841" customFormat="1" ht="13.5" thickBot="1">
      <c r="A69" s="1170"/>
      <c r="B69" s="1171"/>
      <c r="C69" s="351"/>
      <c r="D69" s="1189" t="s">
        <v>1469</v>
      </c>
      <c r="E69" s="1169" t="s">
        <v>1470</v>
      </c>
      <c r="F69" s="379">
        <f ca="1">F41</f>
        <v>33.39</v>
      </c>
      <c r="O69" s="1893" t="s">
        <v>1045</v>
      </c>
      <c r="P69" s="1933" t="s">
        <v>1580</v>
      </c>
      <c r="Q69" s="1885">
        <f ca="1">C39</f>
        <v>3296</v>
      </c>
      <c r="R69" s="1885" t="s">
        <v>1525</v>
      </c>
    </row>
    <row r="70" spans="1:18" s="1841" customFormat="1" ht="13.5" thickBot="1">
      <c r="A70" s="1173"/>
      <c r="B70" s="1174"/>
      <c r="C70" s="355"/>
      <c r="D70" s="1185"/>
      <c r="E70" s="1169" t="s">
        <v>1473</v>
      </c>
      <c r="F70" s="1275"/>
      <c r="O70" s="1893" t="s">
        <v>1046</v>
      </c>
      <c r="P70" s="1933" t="s">
        <v>1581</v>
      </c>
      <c r="Q70" s="1885">
        <f ca="1">C13</f>
        <v>40514</v>
      </c>
      <c r="R70" s="1885" t="s">
        <v>1525</v>
      </c>
    </row>
    <row r="71" spans="1:18" s="1841" customFormat="1" ht="13.5" thickBot="1">
      <c r="A71" s="1190" t="s">
        <v>1030</v>
      </c>
      <c r="B71" s="1191" t="s">
        <v>1483</v>
      </c>
      <c r="C71" s="382">
        <f ca="1">ROUND(C68*10000/F71,0)</f>
        <v>-5515</v>
      </c>
      <c r="D71" s="1192" t="s">
        <v>1484</v>
      </c>
      <c r="E71" s="1193" t="s">
        <v>1485</v>
      </c>
      <c r="F71" s="385">
        <f ca="1">F43</f>
        <v>107601.65</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3444</v>
      </c>
      <c r="D75" s="1841"/>
      <c r="E75" s="1841"/>
      <c r="F75" s="1841"/>
      <c r="K75" s="1867"/>
      <c r="L75" s="1841"/>
      <c r="O75" s="1883" t="s">
        <v>1043</v>
      </c>
      <c r="P75" s="1884" t="s">
        <v>1545</v>
      </c>
      <c r="Q75" s="1885">
        <f ca="1">Q65+Q66</f>
        <v>67742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-4.4999999999999929E-2</v>
      </c>
    </row>
    <row r="80" spans="1:18">
      <c r="B80" s="386" t="s">
        <v>1507</v>
      </c>
      <c r="C80" s="318">
        <f ca="1">ROUND(C75/C39,3)</f>
        <v>1.0449999999999999</v>
      </c>
    </row>
    <row r="81" spans="2:3">
      <c r="B81" s="314" t="s">
        <v>1508</v>
      </c>
      <c r="C81" s="282"/>
    </row>
    <row r="82" spans="2:3">
      <c r="B82" s="317" t="s">
        <v>1509</v>
      </c>
      <c r="C82" s="319">
        <f ca="1">1-C83</f>
        <v>0.40200000000000002</v>
      </c>
    </row>
    <row r="83" spans="2:3">
      <c r="B83" s="317" t="s">
        <v>1510</v>
      </c>
      <c r="C83" s="318">
        <f ca="1">ROUND(C13/C40,3)</f>
        <v>0.59799999999999998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12" t="s">
        <v>1399</v>
      </c>
      <c r="C6" s="1296">
        <f ca="1">ROUND(F6*F8*F7*(1-F9),0)</f>
        <v>0</v>
      </c>
      <c r="D6" s="164" t="s">
        <v>3025</v>
      </c>
      <c r="E6" s="347" t="s">
        <v>1401</v>
      </c>
      <c r="F6" s="348">
        <f ca="1">INDIRECT("'数据-取费表'!u"&amp;$G$1)</f>
        <v>0</v>
      </c>
      <c r="G6" s="1850"/>
      <c r="H6" s="1291" t="s">
        <v>1032</v>
      </c>
      <c r="I6" s="3212" t="s">
        <v>1399</v>
      </c>
      <c r="J6" s="346">
        <f ca="1">ROUND(M6*M8*M7*(1-M9),0)</f>
        <v>0</v>
      </c>
      <c r="K6" s="1833" t="s">
        <v>3026</v>
      </c>
      <c r="L6" s="347" t="s">
        <v>1401</v>
      </c>
      <c r="M6" s="348">
        <f ca="1">INDIRECT("'数据-取费表'!z"&amp;$G$1)</f>
        <v>0</v>
      </c>
    </row>
    <row r="7" spans="1:37" ht="18" customHeight="1">
      <c r="A7" s="1295"/>
      <c r="B7" s="3213"/>
      <c r="C7" s="1297"/>
      <c r="D7" s="352"/>
      <c r="E7" s="1298" t="s">
        <v>1402</v>
      </c>
      <c r="F7" s="348">
        <f ca="1">IF(INDIRECT("'数据-取费表'!ah"&amp;$G$1)="",INDIRECT("'数据-取费表'!k"&amp;$G$1),INDIRECT("'数据-取费表'!ah"&amp;$G$1))</f>
        <v>0</v>
      </c>
      <c r="G7" s="1850"/>
      <c r="H7" s="349"/>
      <c r="I7" s="3213"/>
      <c r="J7" s="351"/>
      <c r="K7" s="352"/>
      <c r="L7" s="347" t="s">
        <v>1402</v>
      </c>
      <c r="M7" s="348">
        <f ca="1">F7</f>
        <v>0</v>
      </c>
    </row>
    <row r="8" spans="1:37" ht="18" customHeight="1">
      <c r="A8" s="349"/>
      <c r="B8" s="3213"/>
      <c r="C8" s="351"/>
      <c r="D8" s="352"/>
      <c r="E8" s="347" t="s">
        <v>1403</v>
      </c>
      <c r="F8" s="348">
        <f ca="1">INDIRECT("'数据-取费表'!ai"&amp;$G$1)</f>
        <v>0</v>
      </c>
      <c r="G8" s="1850"/>
      <c r="H8" s="349"/>
      <c r="I8" s="3213"/>
      <c r="J8" s="351"/>
      <c r="K8" s="352"/>
      <c r="L8" s="347" t="s">
        <v>1403</v>
      </c>
      <c r="M8" s="348">
        <f ca="1">INDIRECT("'数据-取费表'!ai"&amp;$G$1)</f>
        <v>0</v>
      </c>
    </row>
    <row r="9" spans="1:37" ht="18" customHeight="1">
      <c r="A9" s="349"/>
      <c r="B9" s="3214"/>
      <c r="C9" s="351"/>
      <c r="D9" s="352"/>
      <c r="E9" s="347" t="s">
        <v>1404</v>
      </c>
      <c r="F9" s="357">
        <f ca="1">INDIRECT("'数据-取费表'!w"&amp;$G$1)</f>
        <v>0</v>
      </c>
      <c r="G9" s="1850"/>
      <c r="H9" s="349"/>
      <c r="I9" s="3214"/>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3036</v>
      </c>
      <c r="E10" s="358" t="s">
        <v>1406</v>
      </c>
      <c r="F10" s="1366"/>
      <c r="G10" s="1850"/>
      <c r="H10" s="1291" t="s">
        <v>1036</v>
      </c>
      <c r="I10" s="1822" t="s">
        <v>1405</v>
      </c>
      <c r="J10" s="346">
        <f ca="1">ROUND(IF(M10="押一",J6/12*M11,IF(M10="押二",J6/12*2*M11,IF(M10="押三",J6/12*3*M11,J11*M11))),0)</f>
        <v>0</v>
      </c>
      <c r="K10" s="1834" t="s">
        <v>3038</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150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3039</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10" t="s">
        <v>1544</v>
      </c>
      <c r="L53" s="3211"/>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2521</v>
      </c>
      <c r="B1" s="2558"/>
      <c r="C1" s="2558"/>
      <c r="D1" s="2558"/>
      <c r="E1" s="2559"/>
    </row>
    <row r="2" spans="1:6" ht="15.75">
      <c r="A2" s="2560" t="s">
        <v>2325</v>
      </c>
      <c r="B2" s="2561">
        <f ca="1">SUMIF(B6:B13,"&lt;&gt;#ref!",B6:B13)</f>
        <v>67742</v>
      </c>
      <c r="C2" s="2562" t="s">
        <v>2514</v>
      </c>
      <c r="D2" s="2563" t="s">
        <v>2515</v>
      </c>
      <c r="E2" s="2564">
        <f>SUM(E6:E13)</f>
        <v>107601.65</v>
      </c>
    </row>
    <row r="3" spans="1:6" ht="15.75">
      <c r="A3" s="2560" t="s">
        <v>1391</v>
      </c>
      <c r="B3" s="2561">
        <f ca="1">ROUND(B2*10000/E2,0)</f>
        <v>6296</v>
      </c>
      <c r="C3" s="2562" t="s">
        <v>2522</v>
      </c>
      <c r="D3" s="2565"/>
      <c r="E3" s="2566"/>
    </row>
    <row r="4" spans="1:6" ht="15.75">
      <c r="A4" s="2567"/>
      <c r="B4" s="2565"/>
      <c r="C4" s="2565"/>
      <c r="D4" s="2565"/>
      <c r="E4" s="2566"/>
    </row>
    <row r="5" spans="1:6" ht="15">
      <c r="A5" s="2568" t="s">
        <v>2516</v>
      </c>
      <c r="B5" s="3215" t="s">
        <v>2517</v>
      </c>
      <c r="C5" s="3215"/>
      <c r="D5" s="2569"/>
      <c r="E5" s="2570" t="s">
        <v>2518</v>
      </c>
      <c r="F5" s="2571" t="s">
        <v>2519</v>
      </c>
    </row>
    <row r="6" spans="1:6">
      <c r="A6" s="2572" t="str">
        <f>'数据-取费表'!AN6</f>
        <v>收益法</v>
      </c>
      <c r="B6" s="2571">
        <f ca="1">IF(F6="是",'数据-取费表'!AO6,0)</f>
        <v>67742</v>
      </c>
      <c r="C6" s="2562" t="s">
        <v>2514</v>
      </c>
      <c r="D6" s="2565"/>
      <c r="E6" s="2573">
        <f>IF(OR(A6=0,F6="否"),0,'数据-取费表'!K6+'数据-取费表'!S6)</f>
        <v>107601.65</v>
      </c>
      <c r="F6" s="2574" t="s">
        <v>2520</v>
      </c>
    </row>
    <row r="7" spans="1:6">
      <c r="A7" s="2572">
        <f>'数据-取费表'!AN7</f>
        <v>0</v>
      </c>
      <c r="B7" s="2571" t="e">
        <f ca="1">IF(F7="是",'数据-取费表'!AO7,0)</f>
        <v>#REF!</v>
      </c>
      <c r="C7" s="2562" t="s">
        <v>2514</v>
      </c>
      <c r="D7" s="2565"/>
      <c r="E7" s="2573">
        <f>IF(OR(A7=0,F7="否"),0,'数据-取费表'!K7+'数据-取费表'!S7)</f>
        <v>0</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1073</v>
      </c>
      <c r="B1" s="3233"/>
      <c r="C1" s="3234"/>
      <c r="D1" s="3235">
        <f>SUM(I10,I15,I20,I21,I23)</f>
        <v>0</v>
      </c>
      <c r="E1" s="3235"/>
      <c r="F1" s="3235"/>
      <c r="G1" s="3235"/>
      <c r="H1" s="3235"/>
      <c r="I1" s="3236"/>
    </row>
    <row r="2" spans="1:9">
      <c r="A2" s="3222" t="s">
        <v>1074</v>
      </c>
      <c r="B2" s="3223" t="s">
        <v>1075</v>
      </c>
      <c r="C2" s="3223"/>
      <c r="D2" s="1301" t="s">
        <v>1076</v>
      </c>
      <c r="E2" s="1301" t="s">
        <v>1077</v>
      </c>
      <c r="F2" s="1301" t="s">
        <v>1078</v>
      </c>
      <c r="G2" s="1301" t="s">
        <v>1079</v>
      </c>
      <c r="H2" s="1301" t="s">
        <v>1080</v>
      </c>
      <c r="I2" s="1302" t="s">
        <v>1081</v>
      </c>
    </row>
    <row r="3" spans="1:9">
      <c r="A3" s="3222"/>
      <c r="B3" s="3223" t="s">
        <v>1082</v>
      </c>
      <c r="C3" s="3223"/>
      <c r="D3" s="1303"/>
      <c r="E3" s="1301"/>
      <c r="F3" s="1304"/>
      <c r="G3" s="1304"/>
      <c r="H3" s="1305"/>
      <c r="I3" s="1306">
        <f>ROUND(D3*E3*F3*G3*H3/10000,0)</f>
        <v>0</v>
      </c>
    </row>
    <row r="4" spans="1:9">
      <c r="A4" s="3222"/>
      <c r="B4" s="3223" t="s">
        <v>1083</v>
      </c>
      <c r="C4" s="3223"/>
      <c r="D4" s="1303"/>
      <c r="E4" s="1301"/>
      <c r="F4" s="1304"/>
      <c r="G4" s="1304"/>
      <c r="H4" s="1305"/>
      <c r="I4" s="1306">
        <f t="shared" ref="I4:I9" si="0">ROUND(D4*E4*F4*G4*H4/10000,0)</f>
        <v>0</v>
      </c>
    </row>
    <row r="5" spans="1:9">
      <c r="A5" s="3222"/>
      <c r="B5" s="3223" t="s">
        <v>1084</v>
      </c>
      <c r="C5" s="3223"/>
      <c r="D5" s="1303"/>
      <c r="E5" s="1301"/>
      <c r="F5" s="1304"/>
      <c r="G5" s="1304"/>
      <c r="H5" s="1305"/>
      <c r="I5" s="1306">
        <f t="shared" si="0"/>
        <v>0</v>
      </c>
    </row>
    <row r="6" spans="1:9">
      <c r="A6" s="3222"/>
      <c r="B6" s="3223" t="s">
        <v>1085</v>
      </c>
      <c r="C6" s="3223"/>
      <c r="D6" s="1303"/>
      <c r="E6" s="1301"/>
      <c r="F6" s="1304"/>
      <c r="G6" s="1304"/>
      <c r="H6" s="1305"/>
      <c r="I6" s="1306">
        <f t="shared" si="0"/>
        <v>0</v>
      </c>
    </row>
    <row r="7" spans="1:9">
      <c r="A7" s="3222"/>
      <c r="B7" s="3223" t="s">
        <v>1086</v>
      </c>
      <c r="C7" s="3223"/>
      <c r="D7" s="1303"/>
      <c r="E7" s="1301"/>
      <c r="F7" s="1304"/>
      <c r="G7" s="1304"/>
      <c r="H7" s="1305"/>
      <c r="I7" s="1306">
        <f t="shared" si="0"/>
        <v>0</v>
      </c>
    </row>
    <row r="8" spans="1:9">
      <c r="A8" s="3222"/>
      <c r="B8" s="3223" t="s">
        <v>1087</v>
      </c>
      <c r="C8" s="3223"/>
      <c r="D8" s="1303"/>
      <c r="E8" s="1301"/>
      <c r="F8" s="1304"/>
      <c r="G8" s="1304"/>
      <c r="H8" s="1305"/>
      <c r="I8" s="1306">
        <f t="shared" si="0"/>
        <v>0</v>
      </c>
    </row>
    <row r="9" spans="1:9">
      <c r="A9" s="3222"/>
      <c r="B9" s="3223" t="s">
        <v>1088</v>
      </c>
      <c r="C9" s="3223"/>
      <c r="D9" s="1303"/>
      <c r="E9" s="1301"/>
      <c r="F9" s="1304"/>
      <c r="G9" s="1304"/>
      <c r="H9" s="1305"/>
      <c r="I9" s="1306">
        <f t="shared" si="0"/>
        <v>0</v>
      </c>
    </row>
    <row r="10" spans="1:9">
      <c r="A10" s="3222"/>
      <c r="B10" s="3224" t="s">
        <v>1089</v>
      </c>
      <c r="C10" s="3224"/>
      <c r="D10" s="1307"/>
      <c r="E10" s="1307" t="e">
        <f>ROUND(D1*10000/D10/H9,0)</f>
        <v>#DIV/0!</v>
      </c>
      <c r="F10" s="1308"/>
      <c r="G10" s="1308"/>
      <c r="H10" s="1309"/>
      <c r="I10" s="1310">
        <f>SUM(I3:I9)</f>
        <v>0</v>
      </c>
    </row>
    <row r="11" spans="1:9" ht="14.25">
      <c r="A11" s="3222" t="s">
        <v>1090</v>
      </c>
      <c r="B11" s="3223" t="s">
        <v>1091</v>
      </c>
      <c r="C11" s="3223"/>
      <c r="D11" s="1303" t="s">
        <v>1092</v>
      </c>
      <c r="E11" s="1303" t="s">
        <v>1093</v>
      </c>
      <c r="F11" s="1304" t="s">
        <v>1094</v>
      </c>
      <c r="G11" s="1304" t="s">
        <v>1080</v>
      </c>
      <c r="H11" s="1311" t="s">
        <v>1095</v>
      </c>
      <c r="I11" s="1302" t="s">
        <v>1081</v>
      </c>
    </row>
    <row r="12" spans="1:9">
      <c r="A12" s="3222"/>
      <c r="B12" s="3223" t="s">
        <v>1096</v>
      </c>
      <c r="C12" s="3223"/>
      <c r="D12" s="1303"/>
      <c r="E12" s="1303"/>
      <c r="F12" s="1304"/>
      <c r="G12" s="1305"/>
      <c r="H12" s="1312"/>
      <c r="I12" s="1302">
        <f>ROUND(D12*E12*F12*G12/10000,0)</f>
        <v>0</v>
      </c>
    </row>
    <row r="13" spans="1:9">
      <c r="A13" s="3222"/>
      <c r="B13" s="3223" t="s">
        <v>1097</v>
      </c>
      <c r="C13" s="3223"/>
      <c r="D13" s="1303"/>
      <c r="E13" s="1303"/>
      <c r="F13" s="1304"/>
      <c r="G13" s="1305"/>
      <c r="H13" s="1312"/>
      <c r="I13" s="1302">
        <f>ROUND(D13*E13*F13*G13/10000,0)</f>
        <v>0</v>
      </c>
    </row>
    <row r="14" spans="1:9">
      <c r="A14" s="3222"/>
      <c r="B14" s="3223" t="s">
        <v>1098</v>
      </c>
      <c r="C14" s="3223"/>
      <c r="D14" s="1303"/>
      <c r="E14" s="1303"/>
      <c r="F14" s="1304"/>
      <c r="G14" s="1305"/>
      <c r="H14" s="1312"/>
      <c r="I14" s="1302">
        <f>ROUND(D14*E14*F14*G14/10000,0)</f>
        <v>0</v>
      </c>
    </row>
    <row r="15" spans="1:9">
      <c r="A15" s="3222"/>
      <c r="B15" s="3224" t="s">
        <v>1089</v>
      </c>
      <c r="C15" s="3224"/>
      <c r="D15" s="1307"/>
      <c r="E15" s="1307">
        <f>SUM(E12:E14)</f>
        <v>0</v>
      </c>
      <c r="F15" s="1308"/>
      <c r="G15" s="1305"/>
      <c r="H15" s="1312"/>
      <c r="I15" s="1313">
        <f>SUM(I12:I14)</f>
        <v>0</v>
      </c>
    </row>
    <row r="16" spans="1:9" ht="24">
      <c r="A16" s="3222" t="s">
        <v>1099</v>
      </c>
      <c r="B16" s="3223" t="s">
        <v>1100</v>
      </c>
      <c r="C16" s="3223"/>
      <c r="D16" s="1303" t="s">
        <v>1076</v>
      </c>
      <c r="E16" s="1314" t="s">
        <v>1101</v>
      </c>
      <c r="F16" s="1304" t="s">
        <v>1102</v>
      </c>
      <c r="G16" s="1305" t="s">
        <v>1080</v>
      </c>
      <c r="H16" s="1311" t="s">
        <v>1095</v>
      </c>
      <c r="I16" s="1302" t="s">
        <v>1081</v>
      </c>
    </row>
    <row r="17" spans="1:9" ht="14.25">
      <c r="A17" s="3222"/>
      <c r="B17" s="3223" t="s">
        <v>1103</v>
      </c>
      <c r="C17" s="3223"/>
      <c r="D17" s="1303"/>
      <c r="E17" s="1303"/>
      <c r="F17" s="1304"/>
      <c r="G17" s="1305"/>
      <c r="H17" s="1315"/>
      <c r="I17" s="1316">
        <f>ROUND(D17*E17*F17*G17/10000,0)</f>
        <v>0</v>
      </c>
    </row>
    <row r="18" spans="1:9" ht="14.25">
      <c r="A18" s="3222"/>
      <c r="B18" s="3223" t="s">
        <v>1104</v>
      </c>
      <c r="C18" s="3223"/>
      <c r="D18" s="1303"/>
      <c r="E18" s="1303"/>
      <c r="F18" s="1304"/>
      <c r="G18" s="1305"/>
      <c r="H18" s="1315"/>
      <c r="I18" s="1316">
        <f>ROUND(D18*E18*F18*G18/10000,0)</f>
        <v>0</v>
      </c>
    </row>
    <row r="19" spans="1:9" ht="14.25">
      <c r="A19" s="3222"/>
      <c r="B19" s="3223" t="s">
        <v>1105</v>
      </c>
      <c r="C19" s="3223"/>
      <c r="D19" s="1303"/>
      <c r="E19" s="1303"/>
      <c r="F19" s="1304"/>
      <c r="G19" s="1305"/>
      <c r="H19" s="1315"/>
      <c r="I19" s="1316">
        <f>ROUND(D19*E19*F19*G19/10000,0)</f>
        <v>0</v>
      </c>
    </row>
    <row r="20" spans="1:9">
      <c r="A20" s="3222"/>
      <c r="B20" s="3224" t="s">
        <v>1089</v>
      </c>
      <c r="C20" s="3224"/>
      <c r="D20" s="1307">
        <f>SUM(D17:D19)</f>
        <v>0</v>
      </c>
      <c r="E20" s="1307"/>
      <c r="F20" s="1308"/>
      <c r="G20" s="1305"/>
      <c r="H20" s="1312"/>
      <c r="I20" s="1313">
        <f>SUM(I17:I19)</f>
        <v>0</v>
      </c>
    </row>
    <row r="21" spans="1:9">
      <c r="A21" s="3222" t="s">
        <v>1106</v>
      </c>
      <c r="B21" s="3225"/>
      <c r="C21" s="3225"/>
      <c r="D21" s="3225"/>
      <c r="E21" s="3225"/>
      <c r="F21" s="3225"/>
      <c r="G21" s="3225"/>
      <c r="H21" s="1764">
        <v>0.1</v>
      </c>
      <c r="I21" s="1310">
        <f>ROUND(I10*H21,0)</f>
        <v>0</v>
      </c>
    </row>
    <row r="22" spans="1:9" ht="14.25">
      <c r="A22" s="3226" t="s">
        <v>1107</v>
      </c>
      <c r="B22" s="3227"/>
      <c r="C22" s="3228"/>
      <c r="D22" s="1317" t="s">
        <v>1108</v>
      </c>
      <c r="E22" s="1317" t="s">
        <v>1109</v>
      </c>
      <c r="F22" s="1318" t="s">
        <v>1110</v>
      </c>
      <c r="G22" s="1318" t="s">
        <v>1111</v>
      </c>
      <c r="H22" s="1311" t="s">
        <v>1112</v>
      </c>
      <c r="I22" s="1302" t="s">
        <v>1113</v>
      </c>
    </row>
    <row r="23" spans="1:9" ht="14.25" thickBot="1">
      <c r="A23" s="3229"/>
      <c r="B23" s="3230"/>
      <c r="C23" s="3231"/>
      <c r="D23" s="1319"/>
      <c r="E23" s="1319"/>
      <c r="F23" s="1319"/>
      <c r="G23" s="1320"/>
      <c r="H23" s="1321"/>
      <c r="I23" s="1322">
        <f>ROUND(E23*D23*F23*(1-G23)/10000,0)</f>
        <v>0</v>
      </c>
    </row>
    <row r="26" spans="1:9">
      <c r="A26" s="1323" t="s">
        <v>1114</v>
      </c>
      <c r="B26" s="1323"/>
      <c r="C26" s="1323"/>
      <c r="D26" s="1323"/>
      <c r="E26" s="3219">
        <f>C27-C30-C31-C32</f>
        <v>0</v>
      </c>
      <c r="F26" s="3219"/>
      <c r="G26" s="3219"/>
      <c r="H26" s="1736" t="s">
        <v>1336</v>
      </c>
    </row>
    <row r="27" spans="1:9">
      <c r="A27" s="1324">
        <v>1</v>
      </c>
      <c r="B27" s="1325" t="s">
        <v>1115</v>
      </c>
      <c r="C27" s="1325">
        <f>C28+C29</f>
        <v>0</v>
      </c>
      <c r="D27" s="1325"/>
      <c r="E27" s="3220"/>
      <c r="F27" s="3220"/>
      <c r="G27" s="3220"/>
    </row>
    <row r="28" spans="1:9">
      <c r="A28" s="1326" t="s">
        <v>1116</v>
      </c>
      <c r="B28" s="1325" t="s">
        <v>1117</v>
      </c>
      <c r="C28" s="1325"/>
      <c r="D28" s="1325"/>
      <c r="E28" s="3220"/>
      <c r="F28" s="3220"/>
      <c r="G28" s="322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1"/>
      <c r="F32" s="3221"/>
      <c r="G32" s="3221"/>
    </row>
    <row r="33" spans="1:7" hidden="1">
      <c r="A33" s="3216" t="s">
        <v>1126</v>
      </c>
      <c r="B33" s="3217"/>
      <c r="C33" s="3217"/>
      <c r="D33" s="3218"/>
      <c r="E33" s="3219"/>
      <c r="F33" s="3219"/>
      <c r="G33" s="3219"/>
    </row>
    <row r="34" spans="1:7" hidden="1">
      <c r="A34" s="1328">
        <v>1</v>
      </c>
      <c r="B34" s="1325" t="s">
        <v>1127</v>
      </c>
      <c r="C34" s="1325"/>
      <c r="D34" s="1325"/>
      <c r="E34" s="3220"/>
      <c r="F34" s="3220"/>
      <c r="G34" s="3220"/>
    </row>
    <row r="35" spans="1:7" hidden="1">
      <c r="A35" s="1328">
        <v>2</v>
      </c>
      <c r="B35" s="1325" t="s">
        <v>1128</v>
      </c>
      <c r="C35" s="1325"/>
      <c r="D35" s="1325"/>
      <c r="E35" s="3220"/>
      <c r="F35" s="3220"/>
      <c r="G35" s="3220"/>
    </row>
    <row r="36" spans="1:7" hidden="1">
      <c r="A36" s="1328">
        <v>3</v>
      </c>
      <c r="B36" s="1325" t="s">
        <v>1129</v>
      </c>
      <c r="C36" s="1325"/>
      <c r="D36" s="1325"/>
      <c r="E36" s="3220"/>
      <c r="F36" s="3220"/>
      <c r="G36" s="3220"/>
    </row>
    <row r="37" spans="1:7" hidden="1">
      <c r="A37" s="1328">
        <v>4</v>
      </c>
      <c r="B37" s="1325" t="s">
        <v>1130</v>
      </c>
      <c r="C37" s="1325"/>
      <c r="D37" s="1325"/>
      <c r="E37" s="3220"/>
      <c r="F37" s="3220"/>
      <c r="G37" s="3220"/>
    </row>
    <row r="38" spans="1:7" hidden="1">
      <c r="A38" s="3216" t="s">
        <v>1131</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578" t="s">
        <v>2524</v>
      </c>
      <c r="C1" s="1633" t="s">
        <v>2525</v>
      </c>
      <c r="D1" s="1620"/>
      <c r="E1" s="2579"/>
      <c r="F1" s="2580" t="s">
        <v>2526</v>
      </c>
      <c r="G1" s="1630" t="s">
        <v>2527</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2528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2529</v>
      </c>
      <c r="D3" s="399">
        <f>IF(D1="",'数据-汇总表'!E3,SUMIF('数据-汇总表'!$C19:$C33,D1,'数据-汇总表'!$E19:$E33))</f>
        <v>109861.36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2530</v>
      </c>
      <c r="B4" s="402"/>
      <c r="C4" s="3168" t="s">
        <v>2531</v>
      </c>
      <c r="D4" s="3181"/>
      <c r="E4" s="3182" t="s">
        <v>2532</v>
      </c>
      <c r="F4" s="3183"/>
      <c r="G4" s="3168" t="s">
        <v>2533</v>
      </c>
      <c r="H4" s="3181"/>
      <c r="I4" s="3168" t="s">
        <v>2534</v>
      </c>
      <c r="J4" s="3181"/>
      <c r="K4" s="2592" t="s">
        <v>2535</v>
      </c>
      <c r="L4" s="1130"/>
      <c r="M4" s="1131"/>
      <c r="N4" s="1131"/>
      <c r="O4" s="1131"/>
      <c r="P4" s="3184" t="s">
        <v>2536</v>
      </c>
      <c r="Q4" s="3185"/>
      <c r="R4" s="3190" t="s">
        <v>2532</v>
      </c>
      <c r="S4" s="3191"/>
      <c r="T4" s="3190" t="s">
        <v>2533</v>
      </c>
      <c r="U4" s="3191"/>
      <c r="V4" s="3177" t="s">
        <v>2534</v>
      </c>
      <c r="W4" s="3177"/>
      <c r="X4" s="1812"/>
      <c r="Y4" s="3190" t="s">
        <v>2536</v>
      </c>
      <c r="Z4" s="3191"/>
      <c r="AA4" s="3178" t="s">
        <v>2532</v>
      </c>
      <c r="AB4" s="3178" t="s">
        <v>2533</v>
      </c>
      <c r="AC4" s="3178" t="s">
        <v>2534</v>
      </c>
    </row>
    <row r="5" spans="1:29" ht="15">
      <c r="A5" s="404"/>
      <c r="B5" s="405"/>
      <c r="C5" s="3198" t="s">
        <v>2537</v>
      </c>
      <c r="D5" s="3199"/>
      <c r="E5" s="3205" t="s">
        <v>2538</v>
      </c>
      <c r="F5" s="3206"/>
      <c r="G5" s="3198" t="s">
        <v>2539</v>
      </c>
      <c r="H5" s="3199"/>
      <c r="I5" s="3198" t="s">
        <v>2540</v>
      </c>
      <c r="J5" s="3199"/>
      <c r="K5" s="2593"/>
      <c r="L5" s="1130"/>
      <c r="M5" s="1131"/>
      <c r="N5" s="1131"/>
      <c r="O5" s="1131"/>
      <c r="P5" s="3186"/>
      <c r="Q5" s="3187"/>
      <c r="R5" s="3192"/>
      <c r="S5" s="3193"/>
      <c r="T5" s="3192"/>
      <c r="U5" s="3193"/>
      <c r="V5" s="3177"/>
      <c r="W5" s="3177"/>
      <c r="X5" s="1812"/>
      <c r="Y5" s="3192"/>
      <c r="Z5" s="3193"/>
      <c r="AA5" s="3179"/>
      <c r="AB5" s="3179"/>
      <c r="AC5" s="3179"/>
    </row>
    <row r="6" spans="1:29" ht="15.75" thickBot="1">
      <c r="A6" s="406"/>
      <c r="B6" s="407"/>
      <c r="C6" s="3196" t="s">
        <v>2541</v>
      </c>
      <c r="D6" s="3197"/>
      <c r="E6" s="3203" t="s">
        <v>2541</v>
      </c>
      <c r="F6" s="3204"/>
      <c r="G6" s="3196" t="s">
        <v>2541</v>
      </c>
      <c r="H6" s="3197"/>
      <c r="I6" s="3196" t="s">
        <v>2541</v>
      </c>
      <c r="J6" s="3197"/>
      <c r="K6" s="2593" t="s">
        <v>2542</v>
      </c>
      <c r="L6" s="1130"/>
      <c r="M6" s="1131"/>
      <c r="N6" s="1131"/>
      <c r="O6" s="1131"/>
      <c r="P6" s="3188"/>
      <c r="Q6" s="3189"/>
      <c r="R6" s="3192"/>
      <c r="S6" s="3193"/>
      <c r="T6" s="3194"/>
      <c r="U6" s="3195"/>
      <c r="V6" s="3177"/>
      <c r="W6" s="3177"/>
      <c r="X6" s="1812"/>
      <c r="Y6" s="3194"/>
      <c r="Z6" s="3195"/>
      <c r="AA6" s="3180"/>
      <c r="AB6" s="3180"/>
      <c r="AC6" s="3180"/>
    </row>
    <row r="7" spans="1:29" s="117" customFormat="1" ht="15.75" thickBot="1">
      <c r="A7" s="408" t="s">
        <v>2543</v>
      </c>
      <c r="B7" s="409"/>
      <c r="C7" s="410">
        <f>'数据-取费表'!B2</f>
        <v>43630</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00" t="s">
        <v>2544</v>
      </c>
      <c r="Q7" s="3202"/>
      <c r="R7" s="770" t="s">
        <v>23</v>
      </c>
      <c r="S7" s="771">
        <f t="shared" ref="S7:S15" si="0">F7</f>
        <v>0</v>
      </c>
      <c r="T7" s="770" t="s">
        <v>23</v>
      </c>
      <c r="U7" s="771">
        <f t="shared" ref="U7:U15" si="1">H7</f>
        <v>0</v>
      </c>
      <c r="V7" s="770" t="s">
        <v>23</v>
      </c>
      <c r="W7" s="771">
        <f t="shared" ref="W7:W15" si="2">J7</f>
        <v>0</v>
      </c>
      <c r="X7" s="772"/>
      <c r="Y7" s="3200" t="s">
        <v>2544</v>
      </c>
      <c r="Z7" s="3201"/>
      <c r="AA7" s="773" t="e">
        <f>D7/F7</f>
        <v>#DIV/0!</v>
      </c>
      <c r="AB7" s="773" t="e">
        <f>D7/H7</f>
        <v>#DIV/0!</v>
      </c>
      <c r="AC7" s="773" t="e">
        <f>D7/J7</f>
        <v>#DIV/0!</v>
      </c>
    </row>
    <row r="8" spans="1:29" s="117" customFormat="1" ht="15.75" thickBot="1">
      <c r="A8" s="408" t="s">
        <v>2545</v>
      </c>
      <c r="B8" s="409"/>
      <c r="C8" s="414" t="s">
        <v>2546</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00" t="s">
        <v>2547</v>
      </c>
      <c r="Q8" s="3201"/>
      <c r="R8" s="770" t="s">
        <v>23</v>
      </c>
      <c r="S8" s="771">
        <f t="shared" si="0"/>
        <v>0</v>
      </c>
      <c r="T8" s="770" t="s">
        <v>23</v>
      </c>
      <c r="U8" s="771">
        <f t="shared" si="1"/>
        <v>0</v>
      </c>
      <c r="V8" s="770" t="s">
        <v>23</v>
      </c>
      <c r="W8" s="771">
        <f t="shared" si="2"/>
        <v>0</v>
      </c>
      <c r="X8" s="772"/>
      <c r="Y8" s="3200" t="s">
        <v>2547</v>
      </c>
      <c r="Z8" s="3201"/>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70" t="s">
        <v>2550</v>
      </c>
      <c r="Q9" s="1794"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0"/>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0"/>
      <c r="Q11" s="1794"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70"/>
      <c r="Q12" s="1794">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70"/>
      <c r="Q13" s="1794">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70"/>
      <c r="Q14" s="1794">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15">
      <c r="A15" s="440" t="s">
        <v>2554</v>
      </c>
      <c r="B15" s="69" t="s">
        <v>2085</v>
      </c>
      <c r="C15" s="2599" t="str">
        <f>估价对象房地状况!C3</f>
        <v>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3" t="s">
        <v>2555</v>
      </c>
      <c r="Q15" s="1809" t="str">
        <f t="shared" si="6"/>
        <v>居住社区成熟度</v>
      </c>
      <c r="R15" s="774" t="s">
        <v>21</v>
      </c>
      <c r="S15" s="775">
        <f t="shared" si="0"/>
        <v>100</v>
      </c>
      <c r="T15" s="774" t="s">
        <v>21</v>
      </c>
      <c r="U15" s="775">
        <f t="shared" si="1"/>
        <v>100</v>
      </c>
      <c r="V15" s="774" t="s">
        <v>21</v>
      </c>
      <c r="W15" s="775">
        <f t="shared" si="2"/>
        <v>100</v>
      </c>
      <c r="X15" s="1812"/>
      <c r="Y15" s="3173" t="s">
        <v>2555</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244"/>
      <c r="Q16" s="1809"/>
      <c r="R16" s="774"/>
      <c r="S16" s="775"/>
      <c r="T16" s="774"/>
      <c r="U16" s="775"/>
      <c r="V16" s="774"/>
      <c r="W16" s="775"/>
      <c r="X16" s="1812"/>
      <c r="Y16" s="3174"/>
      <c r="Z16" s="1813"/>
      <c r="AA16" s="1810">
        <v>1</v>
      </c>
      <c r="AB16" s="1810">
        <v>1</v>
      </c>
      <c r="AC16" s="1810">
        <v>1</v>
      </c>
    </row>
    <row r="17" spans="1:29" ht="15">
      <c r="A17" s="428"/>
      <c r="B17" s="451" t="s">
        <v>2094</v>
      </c>
      <c r="C17" s="2603"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4"/>
      <c r="Q17" s="1809" t="str">
        <f>B17</f>
        <v>交通便捷度</v>
      </c>
      <c r="R17" s="774" t="s">
        <v>21</v>
      </c>
      <c r="S17" s="775">
        <f>F17</f>
        <v>100</v>
      </c>
      <c r="T17" s="774" t="s">
        <v>21</v>
      </c>
      <c r="U17" s="775">
        <f>H17</f>
        <v>100</v>
      </c>
      <c r="V17" s="774" t="s">
        <v>21</v>
      </c>
      <c r="W17" s="775">
        <f>J17</f>
        <v>100</v>
      </c>
      <c r="X17" s="1812"/>
      <c r="Y17" s="3174"/>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244"/>
      <c r="Q18" s="1809"/>
      <c r="R18" s="774"/>
      <c r="S18" s="775"/>
      <c r="T18" s="774"/>
      <c r="U18" s="775"/>
      <c r="V18" s="774"/>
      <c r="W18" s="775"/>
      <c r="X18" s="1812"/>
      <c r="Y18" s="3174"/>
      <c r="Z18" s="1813"/>
      <c r="AA18" s="1810">
        <v>1</v>
      </c>
      <c r="AB18" s="1810">
        <v>1</v>
      </c>
      <c r="AC18" s="1810">
        <v>1</v>
      </c>
    </row>
    <row r="19" spans="1:29" ht="15">
      <c r="A19" s="428"/>
      <c r="B19" s="451" t="s">
        <v>2092</v>
      </c>
      <c r="C19" s="2603"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4"/>
      <c r="Q19" s="1809" t="str">
        <f>B19</f>
        <v>公共配套设施</v>
      </c>
      <c r="R19" s="774" t="s">
        <v>21</v>
      </c>
      <c r="S19" s="775">
        <f>F19</f>
        <v>100</v>
      </c>
      <c r="T19" s="774" t="s">
        <v>21</v>
      </c>
      <c r="U19" s="775">
        <f>H19</f>
        <v>100</v>
      </c>
      <c r="V19" s="774" t="s">
        <v>21</v>
      </c>
      <c r="W19" s="775">
        <f>J19</f>
        <v>100</v>
      </c>
      <c r="X19" s="1812"/>
      <c r="Y19" s="3174"/>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244"/>
      <c r="Q20" s="1809"/>
      <c r="R20" s="774"/>
      <c r="S20" s="775"/>
      <c r="T20" s="774"/>
      <c r="U20" s="775"/>
      <c r="V20" s="774"/>
      <c r="W20" s="775"/>
      <c r="X20" s="1812"/>
      <c r="Y20" s="3174"/>
      <c r="Z20" s="1813"/>
      <c r="AA20" s="1810">
        <v>1</v>
      </c>
      <c r="AB20" s="1810">
        <v>1</v>
      </c>
      <c r="AC20" s="1810">
        <v>1</v>
      </c>
    </row>
    <row r="21" spans="1:29" ht="15">
      <c r="A21" s="428"/>
      <c r="B21" s="1384" t="s">
        <v>2095</v>
      </c>
      <c r="C21" s="2603"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4"/>
      <c r="Q21" s="1809" t="str">
        <f>B21</f>
        <v>基础设施水平</v>
      </c>
      <c r="R21" s="774" t="s">
        <v>17</v>
      </c>
      <c r="S21" s="775">
        <f>F21</f>
        <v>100</v>
      </c>
      <c r="T21" s="774" t="s">
        <v>17</v>
      </c>
      <c r="U21" s="775">
        <f>H21</f>
        <v>100</v>
      </c>
      <c r="V21" s="774" t="s">
        <v>17</v>
      </c>
      <c r="W21" s="775">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8"/>
      <c r="G22" s="2607"/>
      <c r="H22" s="448"/>
      <c r="I22" s="447"/>
      <c r="J22" s="448"/>
      <c r="K22" s="2608"/>
      <c r="L22" s="1140"/>
      <c r="M22" s="1131"/>
      <c r="N22" s="1131"/>
      <c r="O22" s="1131"/>
      <c r="P22" s="3244"/>
      <c r="Q22" s="1809"/>
      <c r="R22" s="774"/>
      <c r="S22" s="775"/>
      <c r="T22" s="774"/>
      <c r="U22" s="775"/>
      <c r="V22" s="774"/>
      <c r="W22" s="775"/>
      <c r="X22" s="1812"/>
      <c r="Y22" s="3174"/>
      <c r="Z22" s="1813"/>
      <c r="AA22" s="1810">
        <v>1</v>
      </c>
      <c r="AB22" s="1810">
        <v>1</v>
      </c>
      <c r="AC22" s="1810">
        <v>1</v>
      </c>
    </row>
    <row r="23" spans="1:29" ht="15">
      <c r="A23" s="428"/>
      <c r="B23" s="451" t="s">
        <v>2099</v>
      </c>
      <c r="C23" s="2603"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4"/>
      <c r="Q23" s="1809" t="str">
        <f>B23</f>
        <v>自然及人文环境</v>
      </c>
      <c r="R23" s="774" t="s">
        <v>21</v>
      </c>
      <c r="S23" s="775">
        <f>F23</f>
        <v>100</v>
      </c>
      <c r="T23" s="774" t="s">
        <v>21</v>
      </c>
      <c r="U23" s="775">
        <f>H23</f>
        <v>100</v>
      </c>
      <c r="V23" s="774" t="s">
        <v>21</v>
      </c>
      <c r="W23" s="775">
        <f>J23</f>
        <v>100</v>
      </c>
      <c r="X23" s="1812"/>
      <c r="Y23" s="3174"/>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244"/>
      <c r="Q24" s="1809"/>
      <c r="R24" s="774"/>
      <c r="S24" s="775"/>
      <c r="T24" s="774"/>
      <c r="U24" s="775"/>
      <c r="V24" s="774"/>
      <c r="W24" s="775"/>
      <c r="X24" s="1812"/>
      <c r="Y24" s="3174"/>
      <c r="Z24" s="1813"/>
      <c r="AA24" s="1810">
        <v>1</v>
      </c>
      <c r="AB24" s="1810">
        <v>1</v>
      </c>
      <c r="AC24" s="1810">
        <v>1</v>
      </c>
    </row>
    <row r="25" spans="1:29" ht="15">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4"/>
      <c r="Z25" s="1813" t="str">
        <f>Q25</f>
        <v>楼层-1</v>
      </c>
      <c r="AA25" s="1810">
        <f t="shared" ref="AA25:AA46" si="15">D25/F25</f>
        <v>1</v>
      </c>
      <c r="AB25" s="1810">
        <f t="shared" ref="AB25:AB46" si="16">D25/H25</f>
        <v>1</v>
      </c>
      <c r="AC25" s="1810">
        <f t="shared" ref="AC25:AC46" si="17">D25/J25</f>
        <v>1</v>
      </c>
    </row>
    <row r="26" spans="1:29" ht="15">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4"/>
      <c r="Q26" s="1809" t="str">
        <f t="shared" si="11"/>
        <v>朝向</v>
      </c>
      <c r="R26" s="774" t="s">
        <v>21</v>
      </c>
      <c r="S26" s="775">
        <f t="shared" si="12"/>
        <v>100</v>
      </c>
      <c r="T26" s="774" t="s">
        <v>21</v>
      </c>
      <c r="U26" s="775">
        <f t="shared" si="13"/>
        <v>100</v>
      </c>
      <c r="V26" s="774" t="s">
        <v>21</v>
      </c>
      <c r="W26" s="775">
        <f t="shared" si="14"/>
        <v>100</v>
      </c>
      <c r="X26" s="1812"/>
      <c r="Y26" s="3174"/>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4"/>
      <c r="Q27" s="1794">
        <f t="shared" si="11"/>
        <v>111</v>
      </c>
      <c r="R27" s="770" t="s">
        <v>21</v>
      </c>
      <c r="S27" s="771">
        <f t="shared" si="12"/>
        <v>100</v>
      </c>
      <c r="T27" s="770" t="s">
        <v>21</v>
      </c>
      <c r="U27" s="771">
        <f t="shared" si="13"/>
        <v>100</v>
      </c>
      <c r="V27" s="770" t="s">
        <v>21</v>
      </c>
      <c r="W27" s="771">
        <f t="shared" si="14"/>
        <v>100</v>
      </c>
      <c r="X27" s="772"/>
      <c r="Y27" s="3174"/>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4"/>
      <c r="Q28" s="1809">
        <f t="shared" si="11"/>
        <v>111</v>
      </c>
      <c r="R28" s="774" t="s">
        <v>21</v>
      </c>
      <c r="S28" s="775">
        <f t="shared" si="12"/>
        <v>100</v>
      </c>
      <c r="T28" s="774" t="s">
        <v>21</v>
      </c>
      <c r="U28" s="775">
        <f t="shared" si="13"/>
        <v>100</v>
      </c>
      <c r="V28" s="774" t="s">
        <v>21</v>
      </c>
      <c r="W28" s="775">
        <f t="shared" si="14"/>
        <v>100</v>
      </c>
      <c r="X28" s="1812"/>
      <c r="Y28" s="317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4"/>
      <c r="Q29" s="1809">
        <f t="shared" si="11"/>
        <v>111</v>
      </c>
      <c r="R29" s="774" t="s">
        <v>21</v>
      </c>
      <c r="S29" s="775">
        <f t="shared" si="12"/>
        <v>100</v>
      </c>
      <c r="T29" s="774" t="s">
        <v>21</v>
      </c>
      <c r="U29" s="775">
        <f t="shared" si="13"/>
        <v>100</v>
      </c>
      <c r="V29" s="774" t="s">
        <v>21</v>
      </c>
      <c r="W29" s="775">
        <f t="shared" si="14"/>
        <v>100</v>
      </c>
      <c r="X29" s="1812"/>
      <c r="Y29" s="317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4"/>
      <c r="Q30" s="1809">
        <f t="shared" si="11"/>
        <v>111</v>
      </c>
      <c r="R30" s="774" t="s">
        <v>21</v>
      </c>
      <c r="S30" s="775">
        <f t="shared" si="12"/>
        <v>100</v>
      </c>
      <c r="T30" s="774" t="s">
        <v>21</v>
      </c>
      <c r="U30" s="775">
        <f t="shared" si="13"/>
        <v>100</v>
      </c>
      <c r="V30" s="774" t="s">
        <v>21</v>
      </c>
      <c r="W30" s="775">
        <f t="shared" si="14"/>
        <v>100</v>
      </c>
      <c r="X30" s="1812"/>
      <c r="Y30" s="3174"/>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4"/>
      <c r="Q31" s="1809">
        <f t="shared" si="11"/>
        <v>111</v>
      </c>
      <c r="R31" s="774" t="s">
        <v>21</v>
      </c>
      <c r="S31" s="775">
        <f t="shared" si="12"/>
        <v>100</v>
      </c>
      <c r="T31" s="774" t="s">
        <v>21</v>
      </c>
      <c r="U31" s="775">
        <f t="shared" si="13"/>
        <v>100</v>
      </c>
      <c r="V31" s="774" t="s">
        <v>21</v>
      </c>
      <c r="W31" s="775">
        <f t="shared" si="14"/>
        <v>100</v>
      </c>
      <c r="X31" s="1812"/>
      <c r="Y31" s="3174"/>
      <c r="Z31" s="1813">
        <f t="shared" si="18"/>
        <v>111</v>
      </c>
      <c r="AA31" s="1810">
        <f t="shared" si="15"/>
        <v>1</v>
      </c>
      <c r="AB31" s="1810">
        <f t="shared" si="16"/>
        <v>1</v>
      </c>
      <c r="AC31" s="1810">
        <f t="shared" si="17"/>
        <v>1</v>
      </c>
    </row>
    <row r="32" spans="1:29" ht="15">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39" t="s">
        <v>2560</v>
      </c>
      <c r="Q32" s="1809" t="str">
        <f t="shared" si="11"/>
        <v>建筑类型</v>
      </c>
      <c r="R32" s="774" t="s">
        <v>21</v>
      </c>
      <c r="S32" s="775">
        <f t="shared" si="12"/>
        <v>100</v>
      </c>
      <c r="T32" s="774" t="s">
        <v>21</v>
      </c>
      <c r="U32" s="775">
        <f t="shared" si="13"/>
        <v>100</v>
      </c>
      <c r="V32" s="774" t="s">
        <v>21</v>
      </c>
      <c r="W32" s="775">
        <f t="shared" si="14"/>
        <v>100</v>
      </c>
      <c r="X32" s="1812"/>
      <c r="Y32" s="3176" t="s">
        <v>2560</v>
      </c>
      <c r="Z32" s="1813" t="str">
        <f t="shared" si="18"/>
        <v>建筑类型</v>
      </c>
      <c r="AA32" s="1810">
        <f t="shared" si="15"/>
        <v>1</v>
      </c>
      <c r="AB32" s="1810">
        <f t="shared" si="16"/>
        <v>1</v>
      </c>
      <c r="AC32" s="1810">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40"/>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0" t="e">
        <f t="shared" si="15"/>
        <v>#N/A</v>
      </c>
      <c r="AB33" s="1810" t="e">
        <f t="shared" si="16"/>
        <v>#N/A</v>
      </c>
      <c r="AC33" s="1810" t="e">
        <f t="shared" si="17"/>
        <v>#N/A</v>
      </c>
    </row>
    <row r="34" spans="1:29" ht="15">
      <c r="A34" s="472"/>
      <c r="B34" s="422" t="s">
        <v>2562</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40"/>
      <c r="Q34" s="1809" t="str">
        <f t="shared" si="11"/>
        <v>建筑结构</v>
      </c>
      <c r="R34" s="774" t="s">
        <v>21</v>
      </c>
      <c r="S34" s="775">
        <f t="shared" si="12"/>
        <v>100</v>
      </c>
      <c r="T34" s="774" t="s">
        <v>21</v>
      </c>
      <c r="U34" s="775">
        <f t="shared" si="13"/>
        <v>100</v>
      </c>
      <c r="V34" s="774" t="s">
        <v>21</v>
      </c>
      <c r="W34" s="775">
        <f t="shared" si="14"/>
        <v>100</v>
      </c>
      <c r="X34" s="1812"/>
      <c r="Y34" s="3176"/>
      <c r="Z34" s="1813" t="str">
        <f t="shared" si="18"/>
        <v>建筑结构</v>
      </c>
      <c r="AA34" s="1810">
        <f t="shared" si="15"/>
        <v>1</v>
      </c>
      <c r="AB34" s="1810">
        <f t="shared" si="16"/>
        <v>1</v>
      </c>
      <c r="AC34" s="1810">
        <f t="shared" si="17"/>
        <v>1</v>
      </c>
    </row>
    <row r="35" spans="1:29" ht="15">
      <c r="A35" s="472"/>
      <c r="B35" s="422" t="s">
        <v>2563</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40"/>
      <c r="Q35" s="1809" t="str">
        <f t="shared" si="11"/>
        <v>建筑品质</v>
      </c>
      <c r="R35" s="774" t="s">
        <v>21</v>
      </c>
      <c r="S35" s="775">
        <f t="shared" si="12"/>
        <v>100</v>
      </c>
      <c r="T35" s="774" t="s">
        <v>21</v>
      </c>
      <c r="U35" s="775">
        <f t="shared" si="13"/>
        <v>100</v>
      </c>
      <c r="V35" s="774" t="s">
        <v>21</v>
      </c>
      <c r="W35" s="775">
        <f t="shared" si="14"/>
        <v>100</v>
      </c>
      <c r="X35" s="1812"/>
      <c r="Y35" s="3176"/>
      <c r="Z35" s="1813" t="str">
        <f t="shared" si="18"/>
        <v>建筑品质</v>
      </c>
      <c r="AA35" s="1810">
        <f t="shared" si="15"/>
        <v>1</v>
      </c>
      <c r="AB35" s="1810">
        <f t="shared" si="16"/>
        <v>1</v>
      </c>
      <c r="AC35" s="1810">
        <f t="shared" si="17"/>
        <v>1</v>
      </c>
    </row>
    <row r="36" spans="1:29" ht="15">
      <c r="A36" s="472"/>
      <c r="B36" s="422" t="s">
        <v>2564</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40"/>
      <c r="Q36" s="1809" t="str">
        <f t="shared" si="11"/>
        <v>公共部分装修</v>
      </c>
      <c r="R36" s="774" t="s">
        <v>21</v>
      </c>
      <c r="S36" s="775">
        <f t="shared" si="12"/>
        <v>100</v>
      </c>
      <c r="T36" s="774" t="s">
        <v>21</v>
      </c>
      <c r="U36" s="775">
        <f t="shared" si="13"/>
        <v>100</v>
      </c>
      <c r="V36" s="774" t="s">
        <v>21</v>
      </c>
      <c r="W36" s="775">
        <f t="shared" si="14"/>
        <v>100</v>
      </c>
      <c r="X36" s="1812"/>
      <c r="Y36" s="3176"/>
      <c r="Z36" s="1813" t="str">
        <f t="shared" si="18"/>
        <v>公共部分装修</v>
      </c>
      <c r="AA36" s="1810">
        <f t="shared" si="15"/>
        <v>1</v>
      </c>
      <c r="AB36" s="1810">
        <f t="shared" si="16"/>
        <v>1</v>
      </c>
      <c r="AC36" s="1810">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0"/>
      <c r="Q37" s="1794"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2566</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40" t="s">
        <v>2560</v>
      </c>
      <c r="Q38" s="1809" t="str">
        <f t="shared" si="11"/>
        <v>物业管理</v>
      </c>
      <c r="R38" s="774" t="s">
        <v>21</v>
      </c>
      <c r="S38" s="775">
        <f t="shared" si="12"/>
        <v>100</v>
      </c>
      <c r="T38" s="774" t="s">
        <v>21</v>
      </c>
      <c r="U38" s="775">
        <f t="shared" si="13"/>
        <v>100</v>
      </c>
      <c r="V38" s="774" t="s">
        <v>21</v>
      </c>
      <c r="W38" s="775">
        <f t="shared" si="14"/>
        <v>100</v>
      </c>
      <c r="X38" s="1812"/>
      <c r="Y38" s="3176" t="s">
        <v>2560</v>
      </c>
      <c r="Z38" s="1813" t="str">
        <f t="shared" si="18"/>
        <v>物业管理</v>
      </c>
      <c r="AA38" s="1810">
        <f t="shared" si="15"/>
        <v>1</v>
      </c>
      <c r="AB38" s="1810">
        <f t="shared" si="16"/>
        <v>1</v>
      </c>
      <c r="AC38" s="1810">
        <f t="shared" si="17"/>
        <v>1</v>
      </c>
    </row>
    <row r="39" spans="1:29" ht="15">
      <c r="A39" s="472"/>
      <c r="B39" s="422" t="s">
        <v>2567</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40"/>
      <c r="Q39" s="1809" t="str">
        <f t="shared" si="11"/>
        <v>市政基础设施</v>
      </c>
      <c r="R39" s="774" t="s">
        <v>21</v>
      </c>
      <c r="S39" s="775">
        <f t="shared" si="12"/>
        <v>100</v>
      </c>
      <c r="T39" s="774" t="s">
        <v>21</v>
      </c>
      <c r="U39" s="775">
        <f t="shared" si="13"/>
        <v>100</v>
      </c>
      <c r="V39" s="774" t="s">
        <v>21</v>
      </c>
      <c r="W39" s="775">
        <f t="shared" si="14"/>
        <v>100</v>
      </c>
      <c r="X39" s="1812"/>
      <c r="Y39" s="3176"/>
      <c r="Z39" s="1813" t="str">
        <f t="shared" si="18"/>
        <v>市政基础设施</v>
      </c>
      <c r="AA39" s="1810">
        <f t="shared" si="15"/>
        <v>1</v>
      </c>
      <c r="AB39" s="1810">
        <f t="shared" si="16"/>
        <v>1</v>
      </c>
      <c r="AC39" s="1810">
        <f t="shared" si="17"/>
        <v>1</v>
      </c>
    </row>
    <row r="40" spans="1:29" ht="15">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40"/>
      <c r="Q40" s="1809" t="str">
        <f t="shared" si="11"/>
        <v>房型</v>
      </c>
      <c r="R40" s="774" t="s">
        <v>21</v>
      </c>
      <c r="S40" s="775">
        <f t="shared" si="12"/>
        <v>100</v>
      </c>
      <c r="T40" s="774" t="s">
        <v>21</v>
      </c>
      <c r="U40" s="775">
        <f t="shared" si="13"/>
        <v>100</v>
      </c>
      <c r="V40" s="774" t="s">
        <v>21</v>
      </c>
      <c r="W40" s="775">
        <f t="shared" si="14"/>
        <v>100</v>
      </c>
      <c r="X40" s="1812"/>
      <c r="Y40" s="3176"/>
      <c r="Z40" s="1813" t="str">
        <f t="shared" si="18"/>
        <v>房型</v>
      </c>
      <c r="AA40" s="1810">
        <f t="shared" si="15"/>
        <v>1</v>
      </c>
      <c r="AB40" s="1810">
        <f t="shared" si="16"/>
        <v>1</v>
      </c>
      <c r="AC40" s="1810">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0"/>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0">
        <f t="shared" si="15"/>
        <v>1</v>
      </c>
      <c r="AB41" s="1810">
        <f t="shared" si="16"/>
        <v>1</v>
      </c>
      <c r="AC41" s="1810">
        <f t="shared" si="17"/>
        <v>1</v>
      </c>
    </row>
    <row r="42" spans="1:29" ht="15">
      <c r="A42" s="472"/>
      <c r="B42" s="422" t="s">
        <v>2570</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40"/>
      <c r="Q42" s="1809" t="str">
        <f t="shared" si="11"/>
        <v>内部装修</v>
      </c>
      <c r="R42" s="774" t="s">
        <v>21</v>
      </c>
      <c r="S42" s="775">
        <f t="shared" si="12"/>
        <v>100</v>
      </c>
      <c r="T42" s="774" t="s">
        <v>21</v>
      </c>
      <c r="U42" s="775">
        <f t="shared" si="13"/>
        <v>100</v>
      </c>
      <c r="V42" s="774" t="s">
        <v>21</v>
      </c>
      <c r="W42" s="775">
        <f t="shared" si="14"/>
        <v>100</v>
      </c>
      <c r="X42" s="1812"/>
      <c r="Y42" s="3176"/>
      <c r="Z42" s="1813" t="str">
        <f t="shared" si="18"/>
        <v>内部装修</v>
      </c>
      <c r="AA42" s="1810">
        <f t="shared" si="15"/>
        <v>1</v>
      </c>
      <c r="AB42" s="1810">
        <f t="shared" si="16"/>
        <v>1</v>
      </c>
      <c r="AC42" s="1810">
        <f t="shared" si="17"/>
        <v>1</v>
      </c>
    </row>
    <row r="43" spans="1:29" ht="15">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0"/>
      <c r="Q43" s="1809" t="str">
        <f t="shared" si="11"/>
        <v>内部装修维护情况</v>
      </c>
      <c r="R43" s="774" t="s">
        <v>21</v>
      </c>
      <c r="S43" s="775">
        <f t="shared" si="12"/>
        <v>100</v>
      </c>
      <c r="T43" s="774" t="s">
        <v>21</v>
      </c>
      <c r="U43" s="775">
        <f t="shared" si="13"/>
        <v>100</v>
      </c>
      <c r="V43" s="774" t="s">
        <v>21</v>
      </c>
      <c r="W43" s="775">
        <f t="shared" si="14"/>
        <v>100</v>
      </c>
      <c r="X43" s="1812"/>
      <c r="Y43" s="317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0"/>
      <c r="Q44" s="1794">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0"/>
      <c r="Q45" s="1809">
        <f t="shared" si="11"/>
        <v>111</v>
      </c>
      <c r="R45" s="774" t="s">
        <v>21</v>
      </c>
      <c r="S45" s="775">
        <f t="shared" si="12"/>
        <v>100</v>
      </c>
      <c r="T45" s="774" t="s">
        <v>21</v>
      </c>
      <c r="U45" s="775">
        <f t="shared" si="13"/>
        <v>100</v>
      </c>
      <c r="V45" s="774" t="s">
        <v>21</v>
      </c>
      <c r="W45" s="775">
        <f t="shared" si="14"/>
        <v>100</v>
      </c>
      <c r="X45" s="1812"/>
      <c r="Y45" s="3176"/>
      <c r="Z45" s="1813">
        <f t="shared" si="18"/>
        <v>111</v>
      </c>
      <c r="AA45" s="1810">
        <f t="shared" si="15"/>
        <v>1</v>
      </c>
      <c r="AB45" s="1810">
        <f t="shared" si="16"/>
        <v>1</v>
      </c>
      <c r="AC45" s="1810">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1"/>
      <c r="Q46" s="1809">
        <f t="shared" si="11"/>
        <v>111</v>
      </c>
      <c r="R46" s="774" t="s">
        <v>20</v>
      </c>
      <c r="S46" s="775">
        <f t="shared" si="12"/>
        <v>100</v>
      </c>
      <c r="T46" s="774" t="s">
        <v>20</v>
      </c>
      <c r="U46" s="775">
        <f t="shared" si="13"/>
        <v>100</v>
      </c>
      <c r="V46" s="774" t="s">
        <v>20</v>
      </c>
      <c r="W46" s="775">
        <f t="shared" si="14"/>
        <v>100</v>
      </c>
      <c r="X46" s="1812"/>
      <c r="Y46" s="3242"/>
      <c r="Z46" s="1813">
        <f t="shared" si="18"/>
        <v>111</v>
      </c>
      <c r="AA46" s="1810">
        <f t="shared" si="15"/>
        <v>1</v>
      </c>
      <c r="AB46" s="1810">
        <f t="shared" si="16"/>
        <v>1</v>
      </c>
      <c r="AC46" s="1810">
        <f t="shared" si="17"/>
        <v>1</v>
      </c>
    </row>
    <row r="47" spans="1:29" ht="15">
      <c r="A47" s="479" t="s">
        <v>2572</v>
      </c>
      <c r="B47" s="480"/>
      <c r="C47" s="1407" t="s">
        <v>19</v>
      </c>
      <c r="D47" s="1408"/>
      <c r="E47" s="1409"/>
      <c r="F47" s="1410"/>
      <c r="G47" s="1411"/>
      <c r="H47" s="1412"/>
      <c r="I47" s="1409"/>
      <c r="J47" s="1412"/>
      <c r="K47" s="2617"/>
      <c r="L47" s="1143"/>
      <c r="M47" s="1144"/>
      <c r="N47" s="1131"/>
      <c r="O47" s="1144"/>
      <c r="P47" s="3171" t="str">
        <f>A47</f>
        <v>成交单价（元/平方米）</v>
      </c>
      <c r="Q47" s="3171"/>
      <c r="R47" s="3238">
        <f>E47</f>
        <v>0</v>
      </c>
      <c r="S47" s="3238"/>
      <c r="T47" s="3238">
        <f>G47</f>
        <v>0</v>
      </c>
      <c r="U47" s="3238"/>
      <c r="V47" s="3238">
        <f>I47</f>
        <v>0</v>
      </c>
      <c r="W47" s="3238"/>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8"/>
      <c r="L48" s="1143"/>
      <c r="M48" s="1144"/>
      <c r="N48" s="1144"/>
      <c r="O48" s="1144"/>
      <c r="P48" s="3171" t="str">
        <f>A48</f>
        <v>比较价值（元/平方米）</v>
      </c>
      <c r="Q48" s="3171"/>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9"/>
      <c r="L49" s="1143"/>
      <c r="M49" s="1144"/>
      <c r="N49" s="1144"/>
      <c r="O49" s="1144"/>
      <c r="P49" s="3165" t="str">
        <f>A49</f>
        <v>估价对象XX用房的比较价值（楼面单价，元/平方米）</v>
      </c>
      <c r="Q49" s="3166"/>
      <c r="R49" s="3237" t="e">
        <f>IF(F1="售价",ROUND(AVERAGE(R48:V48),0),ROUND(AVERAGE(R48:V48),1))</f>
        <v>#DIV/0!</v>
      </c>
      <c r="S49" s="3237"/>
      <c r="T49" s="3237"/>
      <c r="U49" s="3237"/>
      <c r="V49" s="3237"/>
      <c r="W49" s="323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2"/>
      <c r="Q57" s="504"/>
    </row>
    <row r="58" spans="1:29" s="508" customFormat="1" ht="15">
      <c r="A58" s="505" t="s">
        <v>2579</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2095</v>
      </c>
      <c r="C82" s="539" t="s">
        <v>2599</v>
      </c>
      <c r="D82" s="539" t="s">
        <v>2600</v>
      </c>
      <c r="E82" s="539" t="s">
        <v>2601</v>
      </c>
      <c r="F82" s="539" t="s">
        <v>2602</v>
      </c>
      <c r="G82" s="539" t="s">
        <v>2603</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2606</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2558</v>
      </c>
      <c r="B100" s="528" t="s">
        <v>2607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2610</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2611</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2612</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2614</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4">
        <v>6</v>
      </c>
      <c r="C139" s="1085">
        <v>96</v>
      </c>
      <c r="D139" s="2644" t="s">
        <v>2626</v>
      </c>
      <c r="E139" s="1086">
        <v>100</v>
      </c>
      <c r="F139" s="1087">
        <v>102.5</v>
      </c>
      <c r="G139" s="2644" t="s">
        <v>2626</v>
      </c>
      <c r="H139" s="1088">
        <v>105</v>
      </c>
      <c r="I139" s="2645" t="s">
        <v>2627</v>
      </c>
      <c r="J139" s="1085">
        <v>20</v>
      </c>
      <c r="K139" s="1089">
        <f>C145/(J139-2)</f>
        <v>4.0555555555555553E-3</v>
      </c>
    </row>
    <row r="140" spans="1:17" ht="15">
      <c r="B140" s="1090">
        <v>5</v>
      </c>
      <c r="C140" s="1091">
        <v>100</v>
      </c>
      <c r="D140" s="1091"/>
      <c r="E140" s="1092"/>
      <c r="F140" s="1093">
        <v>102</v>
      </c>
      <c r="G140" s="1091"/>
      <c r="H140" s="1094"/>
      <c r="I140" s="2646" t="s">
        <v>2628</v>
      </c>
      <c r="J140" s="315">
        <f>ROUNDUP((J139-1)/2,0)</f>
        <v>10</v>
      </c>
      <c r="K140" s="1095">
        <v>100</v>
      </c>
    </row>
    <row r="141" spans="1:17" ht="15">
      <c r="B141" s="1090">
        <v>4</v>
      </c>
      <c r="C141" s="1091">
        <v>102</v>
      </c>
      <c r="D141" s="1091"/>
      <c r="E141" s="1092"/>
      <c r="F141" s="1093">
        <v>101.5</v>
      </c>
      <c r="G141" s="1091"/>
      <c r="H141" s="1094"/>
      <c r="I141" s="2646" t="s">
        <v>2629</v>
      </c>
      <c r="J141" s="315">
        <v>1</v>
      </c>
      <c r="K141" s="1096">
        <f>ROUND(100+(J141-J140)*K139*100,1)</f>
        <v>96.4</v>
      </c>
    </row>
    <row r="142" spans="1:17" ht="15">
      <c r="B142" s="1090">
        <v>3</v>
      </c>
      <c r="C142" s="1091">
        <v>103</v>
      </c>
      <c r="D142" s="1091"/>
      <c r="E142" s="1092"/>
      <c r="F142" s="1093">
        <v>101</v>
      </c>
      <c r="G142" s="1091"/>
      <c r="H142" s="1094"/>
      <c r="I142" s="2646" t="s">
        <v>2630</v>
      </c>
      <c r="J142" s="315">
        <f>J139</f>
        <v>20</v>
      </c>
      <c r="K142" s="1097">
        <v>95</v>
      </c>
    </row>
    <row r="143" spans="1:17" ht="15">
      <c r="B143" s="1090">
        <v>2</v>
      </c>
      <c r="C143" s="1091">
        <v>100</v>
      </c>
      <c r="D143" s="1091"/>
      <c r="E143" s="1092"/>
      <c r="F143" s="1093">
        <v>100.5</v>
      </c>
      <c r="G143" s="1091"/>
      <c r="H143" s="1094"/>
      <c r="I143" s="2646" t="s">
        <v>2631</v>
      </c>
      <c r="J143" s="1091">
        <v>15</v>
      </c>
      <c r="K143" s="1096">
        <f>ROUND(100+(J143-J140)*K139*100,1)</f>
        <v>102</v>
      </c>
    </row>
    <row r="144" spans="1:17" ht="15">
      <c r="B144" s="1090">
        <v>1</v>
      </c>
      <c r="C144" s="1091">
        <v>98</v>
      </c>
      <c r="D144" s="2647" t="s">
        <v>2632</v>
      </c>
      <c r="E144" s="1092">
        <v>102</v>
      </c>
      <c r="F144" s="1098">
        <v>100</v>
      </c>
      <c r="G144" s="2647" t="s">
        <v>2632</v>
      </c>
      <c r="H144" s="1094">
        <v>105</v>
      </c>
      <c r="I144" s="2646" t="s">
        <v>2631</v>
      </c>
      <c r="J144" s="1091">
        <v>18</v>
      </c>
      <c r="K144" s="1096">
        <f>ROUND(100+(J144-J140)*K139*100,1)</f>
        <v>103.2</v>
      </c>
    </row>
    <row r="145" spans="2:11" ht="15.75" thickBot="1">
      <c r="B145" s="2648" t="s">
        <v>2633</v>
      </c>
      <c r="C145" s="1099">
        <f>ROUND(MAX(C139:C144)/MIN(C139:C144)-1,3)</f>
        <v>7.2999999999999995E-2</v>
      </c>
      <c r="D145" s="1100"/>
      <c r="E145" s="1100"/>
      <c r="F145" s="2649" t="s">
        <v>2634</v>
      </c>
      <c r="G145" s="2650"/>
      <c r="H145" s="2651"/>
      <c r="I145" s="2652" t="s">
        <v>2631</v>
      </c>
      <c r="J145" s="1101">
        <v>8</v>
      </c>
      <c r="K145" s="1102">
        <f>ROUND(100+(J145-J140)*K139*100,1)</f>
        <v>99.2</v>
      </c>
    </row>
    <row r="147" spans="2:11">
      <c r="B147" s="2633" t="s">
        <v>2635</v>
      </c>
    </row>
    <row r="148" spans="2:11">
      <c r="B148" s="2633"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578" t="s">
        <v>2637</v>
      </c>
      <c r="C1" s="1633" t="s">
        <v>2525</v>
      </c>
      <c r="D1" s="1620"/>
      <c r="E1" s="2653"/>
      <c r="F1" s="2580"/>
      <c r="G1" s="1630" t="s">
        <v>2638</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2325</v>
      </c>
      <c r="B2" s="1418" t="e">
        <f ca="1">IF(C2="——",ROUND(C49*D3/10000,0),ROUND(C49*D3/10000,0)-D2)</f>
        <v>#DIV/0!</v>
      </c>
      <c r="C2" s="2582"/>
      <c r="D2" s="1365" t="e">
        <f ca="1">SUMIF(INDIRECT("'"&amp;F2&amp;"'"&amp;"!A:A"),"承租人权益价值",INDIRECT("'"&amp;F2&amp;"'"&amp;"!c:c"))</f>
        <v>#REF!</v>
      </c>
      <c r="E2" s="2583" t="s">
        <v>2326</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2327</v>
      </c>
      <c r="B3" s="609" t="e">
        <f ca="1">IF(C2="——",C49,ROUND(B2*10000/D3,0))</f>
        <v>#DIV/0!</v>
      </c>
      <c r="C3" s="400" t="s">
        <v>2639</v>
      </c>
      <c r="D3" s="399">
        <f>IF(D1="",'数据-汇总表'!E3,SUMIF('数据-汇总表'!$C19:$C33,D1,'数据-汇总表'!$E19:$E33))</f>
        <v>109861.36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2640</v>
      </c>
      <c r="B4" s="402"/>
      <c r="C4" s="3168" t="s">
        <v>2641</v>
      </c>
      <c r="D4" s="3181"/>
      <c r="E4" s="3182" t="s">
        <v>2642</v>
      </c>
      <c r="F4" s="3183"/>
      <c r="G4" s="3168" t="s">
        <v>2643</v>
      </c>
      <c r="H4" s="3181"/>
      <c r="I4" s="3168" t="s">
        <v>2644</v>
      </c>
      <c r="J4" s="3181"/>
      <c r="K4" s="610" t="s">
        <v>2645</v>
      </c>
      <c r="L4" s="1130"/>
      <c r="M4" s="1131"/>
      <c r="N4" s="1131"/>
      <c r="O4" s="1131"/>
      <c r="P4" s="3184" t="s">
        <v>2646</v>
      </c>
      <c r="Q4" s="3185"/>
      <c r="R4" s="3190" t="s">
        <v>2642</v>
      </c>
      <c r="S4" s="3191"/>
      <c r="T4" s="3190" t="s">
        <v>2643</v>
      </c>
      <c r="U4" s="3191"/>
      <c r="V4" s="3177" t="s">
        <v>2644</v>
      </c>
      <c r="W4" s="3177"/>
      <c r="X4" s="1812"/>
      <c r="Y4" s="3190" t="s">
        <v>2646</v>
      </c>
      <c r="Z4" s="3191"/>
      <c r="AA4" s="3178" t="s">
        <v>2642</v>
      </c>
      <c r="AB4" s="3177" t="s">
        <v>2643</v>
      </c>
      <c r="AC4" s="3178" t="s">
        <v>2644</v>
      </c>
    </row>
    <row r="5" spans="1:29" ht="15">
      <c r="A5" s="404"/>
      <c r="B5" s="405"/>
      <c r="C5" s="3198" t="s">
        <v>2537</v>
      </c>
      <c r="D5" s="3199"/>
      <c r="E5" s="3205" t="s">
        <v>2538</v>
      </c>
      <c r="F5" s="3206"/>
      <c r="G5" s="3198" t="s">
        <v>2539</v>
      </c>
      <c r="H5" s="3199"/>
      <c r="I5" s="3198" t="s">
        <v>2540</v>
      </c>
      <c r="J5" s="3199"/>
      <c r="K5" s="610"/>
      <c r="L5" s="1130"/>
      <c r="M5" s="1131"/>
      <c r="N5" s="1131"/>
      <c r="O5" s="1131"/>
      <c r="P5" s="3186"/>
      <c r="Q5" s="3187"/>
      <c r="R5" s="3192"/>
      <c r="S5" s="3193"/>
      <c r="T5" s="3192"/>
      <c r="U5" s="3193"/>
      <c r="V5" s="3177"/>
      <c r="W5" s="3177"/>
      <c r="X5" s="1812"/>
      <c r="Y5" s="3192"/>
      <c r="Z5" s="3193"/>
      <c r="AA5" s="3179"/>
      <c r="AB5" s="3177"/>
      <c r="AC5" s="3179"/>
    </row>
    <row r="6" spans="1:29" ht="15.75" thickBot="1">
      <c r="A6" s="406"/>
      <c r="B6" s="407"/>
      <c r="C6" s="3196" t="s">
        <v>2541</v>
      </c>
      <c r="D6" s="3197"/>
      <c r="E6" s="3203" t="s">
        <v>2541</v>
      </c>
      <c r="F6" s="3204"/>
      <c r="G6" s="3196" t="s">
        <v>2541</v>
      </c>
      <c r="H6" s="3197"/>
      <c r="I6" s="3196" t="s">
        <v>2541</v>
      </c>
      <c r="J6" s="3197"/>
      <c r="K6" s="610" t="s">
        <v>2542</v>
      </c>
      <c r="L6" s="1130"/>
      <c r="M6" s="1131"/>
      <c r="N6" s="1131"/>
      <c r="O6" s="1131"/>
      <c r="P6" s="3188"/>
      <c r="Q6" s="3189"/>
      <c r="R6" s="3192"/>
      <c r="S6" s="3193"/>
      <c r="T6" s="3194"/>
      <c r="U6" s="3195"/>
      <c r="V6" s="3177"/>
      <c r="W6" s="3177"/>
      <c r="X6" s="1812"/>
      <c r="Y6" s="3194"/>
      <c r="Z6" s="3195"/>
      <c r="AA6" s="3180"/>
      <c r="AB6" s="3177"/>
      <c r="AC6" s="3180"/>
    </row>
    <row r="7" spans="1:29" s="117" customFormat="1" ht="15.75" thickBot="1">
      <c r="A7" s="408" t="s">
        <v>2543</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0" t="s">
        <v>2544</v>
      </c>
      <c r="Q7" s="3202"/>
      <c r="R7" s="770" t="s">
        <v>17</v>
      </c>
      <c r="S7" s="771">
        <f t="shared" ref="S7:S15" si="0">F7</f>
        <v>0</v>
      </c>
      <c r="T7" s="770" t="s">
        <v>17</v>
      </c>
      <c r="U7" s="771">
        <f t="shared" ref="U7:U15" si="1">H7</f>
        <v>0</v>
      </c>
      <c r="V7" s="770" t="s">
        <v>17</v>
      </c>
      <c r="W7" s="771">
        <f t="shared" ref="W7:W15" si="2">J7</f>
        <v>0</v>
      </c>
      <c r="X7" s="772"/>
      <c r="Y7" s="3200" t="s">
        <v>2544</v>
      </c>
      <c r="Z7" s="3201"/>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0" t="s">
        <v>2547</v>
      </c>
      <c r="Q8" s="3201"/>
      <c r="R8" s="770" t="s">
        <v>17</v>
      </c>
      <c r="S8" s="771">
        <f t="shared" si="0"/>
        <v>0</v>
      </c>
      <c r="T8" s="770" t="s">
        <v>17</v>
      </c>
      <c r="U8" s="771">
        <f t="shared" si="1"/>
        <v>0</v>
      </c>
      <c r="V8" s="770" t="s">
        <v>17</v>
      </c>
      <c r="W8" s="771">
        <f t="shared" si="2"/>
        <v>0</v>
      </c>
      <c r="X8" s="772"/>
      <c r="Y8" s="3200" t="s">
        <v>2547</v>
      </c>
      <c r="Z8" s="3201"/>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0" t="s">
        <v>2550</v>
      </c>
      <c r="Q9" s="1794"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0"/>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0"/>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0"/>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0"/>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0"/>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15">
      <c r="A15" s="440" t="s">
        <v>2554</v>
      </c>
      <c r="B15" s="69" t="s">
        <v>2648</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3" t="s">
        <v>2555</v>
      </c>
      <c r="Q15" s="1809" t="str">
        <f t="shared" si="6"/>
        <v>商业繁华度</v>
      </c>
      <c r="R15" s="774" t="s">
        <v>17</v>
      </c>
      <c r="S15" s="775">
        <f t="shared" si="0"/>
        <v>100</v>
      </c>
      <c r="T15" s="774" t="s">
        <v>17</v>
      </c>
      <c r="U15" s="775">
        <f t="shared" si="1"/>
        <v>100</v>
      </c>
      <c r="V15" s="774" t="s">
        <v>17</v>
      </c>
      <c r="W15" s="775">
        <f t="shared" si="2"/>
        <v>100</v>
      </c>
      <c r="X15" s="1812"/>
      <c r="Y15" s="3173" t="s">
        <v>2555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4"/>
      <c r="Q16" s="1809"/>
      <c r="R16" s="774"/>
      <c r="S16" s="775"/>
      <c r="T16" s="774"/>
      <c r="U16" s="775"/>
      <c r="V16" s="774"/>
      <c r="W16" s="775"/>
      <c r="X16" s="1812"/>
      <c r="Y16" s="3174"/>
      <c r="Z16" s="1813"/>
      <c r="AA16" s="1810">
        <v>1</v>
      </c>
      <c r="AB16" s="1810">
        <v>1</v>
      </c>
      <c r="AC16" s="1810">
        <v>1</v>
      </c>
    </row>
    <row r="17" spans="1:29" ht="15">
      <c r="A17" s="428"/>
      <c r="B17" s="451" t="s">
        <v>2094</v>
      </c>
      <c r="C17" s="2603"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4"/>
      <c r="Q17" s="1809" t="str">
        <f>B17</f>
        <v>交通便捷度</v>
      </c>
      <c r="R17" s="774" t="s">
        <v>17</v>
      </c>
      <c r="S17" s="775">
        <f>F17</f>
        <v>100</v>
      </c>
      <c r="T17" s="774" t="s">
        <v>17</v>
      </c>
      <c r="U17" s="775">
        <f>H17</f>
        <v>100</v>
      </c>
      <c r="V17" s="774" t="s">
        <v>17</v>
      </c>
      <c r="W17" s="775">
        <f>J17</f>
        <v>100</v>
      </c>
      <c r="X17" s="1812"/>
      <c r="Y17" s="3174"/>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244"/>
      <c r="Q18" s="1809"/>
      <c r="R18" s="774"/>
      <c r="S18" s="775"/>
      <c r="T18" s="774"/>
      <c r="U18" s="775"/>
      <c r="V18" s="774"/>
      <c r="W18" s="775"/>
      <c r="X18" s="1812"/>
      <c r="Y18" s="3174"/>
      <c r="Z18" s="1813"/>
      <c r="AA18" s="1810">
        <v>1</v>
      </c>
      <c r="AB18" s="1810">
        <v>1</v>
      </c>
      <c r="AC18" s="1810">
        <v>1</v>
      </c>
    </row>
    <row r="19" spans="1:29" ht="15">
      <c r="A19" s="428"/>
      <c r="B19" s="451" t="s">
        <v>2649</v>
      </c>
      <c r="C19" s="2603"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4"/>
      <c r="Q19" s="1809" t="str">
        <f>B19</f>
        <v>公共配套设施</v>
      </c>
      <c r="R19" s="774" t="s">
        <v>17</v>
      </c>
      <c r="S19" s="775">
        <f>F19</f>
        <v>100</v>
      </c>
      <c r="T19" s="774" t="s">
        <v>17</v>
      </c>
      <c r="U19" s="775">
        <f>H19</f>
        <v>100</v>
      </c>
      <c r="V19" s="774" t="s">
        <v>17</v>
      </c>
      <c r="W19" s="775">
        <f>J19</f>
        <v>100</v>
      </c>
      <c r="X19" s="1812"/>
      <c r="Y19" s="3174"/>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244"/>
      <c r="Q20" s="1809"/>
      <c r="R20" s="774"/>
      <c r="S20" s="775"/>
      <c r="T20" s="774"/>
      <c r="U20" s="775"/>
      <c r="V20" s="774"/>
      <c r="W20" s="775"/>
      <c r="X20" s="1812"/>
      <c r="Y20" s="3174"/>
      <c r="Z20" s="1813"/>
      <c r="AA20" s="1810">
        <v>1</v>
      </c>
      <c r="AB20" s="1810">
        <v>1</v>
      </c>
      <c r="AC20" s="1810">
        <v>1</v>
      </c>
    </row>
    <row r="21" spans="1:29" ht="15">
      <c r="A21" s="428"/>
      <c r="B21" s="1384" t="s">
        <v>2650</v>
      </c>
      <c r="C21" s="2603"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4"/>
      <c r="Q21" s="1809" t="str">
        <f>B21</f>
        <v>基础设施水平</v>
      </c>
      <c r="R21" s="774" t="s">
        <v>17</v>
      </c>
      <c r="S21" s="775">
        <f>F21</f>
        <v>100</v>
      </c>
      <c r="T21" s="774" t="s">
        <v>17</v>
      </c>
      <c r="U21" s="775">
        <f>H21</f>
        <v>100</v>
      </c>
      <c r="V21" s="774" t="s">
        <v>17</v>
      </c>
      <c r="W21" s="775">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1"/>
      <c r="P22" s="3244"/>
      <c r="Q22" s="1809"/>
      <c r="R22" s="774"/>
      <c r="S22" s="775"/>
      <c r="T22" s="774"/>
      <c r="U22" s="775"/>
      <c r="V22" s="774"/>
      <c r="W22" s="775"/>
      <c r="X22" s="1812"/>
      <c r="Y22" s="3174"/>
      <c r="Z22" s="1813"/>
      <c r="AA22" s="1810">
        <v>1</v>
      </c>
      <c r="AB22" s="1810">
        <v>1</v>
      </c>
      <c r="AC22" s="1810">
        <v>1</v>
      </c>
    </row>
    <row r="23" spans="1:29" ht="15">
      <c r="A23" s="428"/>
      <c r="B23" s="451" t="s">
        <v>2099</v>
      </c>
      <c r="C23" s="2660"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4"/>
      <c r="Q23" s="1809" t="str">
        <f>B23</f>
        <v>自然及人文环境</v>
      </c>
      <c r="R23" s="774" t="s">
        <v>17</v>
      </c>
      <c r="S23" s="775">
        <f>F23</f>
        <v>100</v>
      </c>
      <c r="T23" s="774" t="s">
        <v>17</v>
      </c>
      <c r="U23" s="775">
        <f>H23</f>
        <v>100</v>
      </c>
      <c r="V23" s="774" t="s">
        <v>17</v>
      </c>
      <c r="W23" s="775">
        <f>J23</f>
        <v>100</v>
      </c>
      <c r="X23" s="1812"/>
      <c r="Y23" s="3174"/>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244"/>
      <c r="Q24" s="1809"/>
      <c r="R24" s="774"/>
      <c r="S24" s="775"/>
      <c r="T24" s="774"/>
      <c r="U24" s="775"/>
      <c r="V24" s="774"/>
      <c r="W24" s="775"/>
      <c r="X24" s="1812"/>
      <c r="Y24" s="3174"/>
      <c r="Z24" s="1813"/>
      <c r="AA24" s="1810">
        <v>1</v>
      </c>
      <c r="AB24" s="1810">
        <v>1</v>
      </c>
      <c r="AC24" s="1810">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4"/>
      <c r="Q25" s="1809" t="str">
        <f t="shared" ref="Q25:Q46" si="11">B25</f>
        <v>临街状况</v>
      </c>
      <c r="R25" s="774" t="s">
        <v>17</v>
      </c>
      <c r="S25" s="775">
        <f>F25</f>
        <v>100</v>
      </c>
      <c r="T25" s="774" t="s">
        <v>17</v>
      </c>
      <c r="U25" s="775">
        <f>H25</f>
        <v>100</v>
      </c>
      <c r="V25" s="774" t="s">
        <v>17</v>
      </c>
      <c r="W25" s="775">
        <f>J25</f>
        <v>100</v>
      </c>
      <c r="X25" s="1812"/>
      <c r="Y25" s="3174"/>
      <c r="Z25" s="1813" t="str">
        <f>Q25</f>
        <v>临街状况</v>
      </c>
      <c r="AA25" s="1810">
        <f t="shared" si="3"/>
        <v>1</v>
      </c>
      <c r="AB25" s="1810">
        <f t="shared" si="4"/>
        <v>1</v>
      </c>
      <c r="AC25" s="1810">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4"/>
      <c r="Q26" s="1809" t="str">
        <f t="shared" si="11"/>
        <v>平面位置/可视性</v>
      </c>
      <c r="R26" s="774" t="s">
        <v>17</v>
      </c>
      <c r="S26" s="775">
        <f>F26</f>
        <v>100</v>
      </c>
      <c r="T26" s="774" t="s">
        <v>17</v>
      </c>
      <c r="U26" s="775">
        <f>H26</f>
        <v>100</v>
      </c>
      <c r="V26" s="774" t="s">
        <v>17</v>
      </c>
      <c r="W26" s="775">
        <f>J26</f>
        <v>100</v>
      </c>
      <c r="X26" s="1812"/>
      <c r="Y26" s="3174"/>
      <c r="Z26" s="1813" t="str">
        <f>Q26</f>
        <v>平面位置/可视性</v>
      </c>
      <c r="AA26" s="1810">
        <f t="shared" si="3"/>
        <v>1</v>
      </c>
      <c r="AB26" s="1810">
        <f t="shared" si="4"/>
        <v>1</v>
      </c>
      <c r="AC26" s="1810">
        <f t="shared" si="5"/>
        <v>1</v>
      </c>
    </row>
    <row r="27" spans="1:29" s="117" customFormat="1" ht="15">
      <c r="A27" s="431"/>
      <c r="B27" s="451" t="s">
        <v>2653</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44"/>
      <c r="Q27" s="1794" t="str">
        <f t="shared" si="11"/>
        <v>人流量</v>
      </c>
      <c r="R27" s="770" t="s">
        <v>17</v>
      </c>
      <c r="S27" s="771">
        <f>F27</f>
        <v>100</v>
      </c>
      <c r="T27" s="770" t="s">
        <v>17</v>
      </c>
      <c r="U27" s="771">
        <f>H27</f>
        <v>100</v>
      </c>
      <c r="V27" s="770" t="s">
        <v>17</v>
      </c>
      <c r="W27" s="771">
        <f>J27</f>
        <v>100</v>
      </c>
      <c r="X27" s="772"/>
      <c r="Y27" s="3174"/>
      <c r="Z27" s="55" t="str">
        <f>Q27</f>
        <v>人流量</v>
      </c>
      <c r="AA27" s="1810">
        <f>D27/F27</f>
        <v>1</v>
      </c>
      <c r="AB27" s="1810">
        <f>D27/H27</f>
        <v>1</v>
      </c>
      <c r="AC27" s="1810">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4"/>
      <c r="Q29" s="1809">
        <f t="shared" si="11"/>
        <v>111</v>
      </c>
      <c r="R29" s="774" t="s">
        <v>17</v>
      </c>
      <c r="S29" s="775">
        <f t="shared" si="12"/>
        <v>100</v>
      </c>
      <c r="T29" s="774" t="s">
        <v>17</v>
      </c>
      <c r="U29" s="775">
        <f t="shared" si="13"/>
        <v>100</v>
      </c>
      <c r="V29" s="774" t="s">
        <v>17</v>
      </c>
      <c r="W29" s="775">
        <f t="shared" si="14"/>
        <v>100</v>
      </c>
      <c r="X29" s="1812"/>
      <c r="Y29" s="317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4"/>
      <c r="Q30" s="1809">
        <f t="shared" si="11"/>
        <v>111</v>
      </c>
      <c r="R30" s="774" t="s">
        <v>17</v>
      </c>
      <c r="S30" s="775">
        <f t="shared" si="12"/>
        <v>100</v>
      </c>
      <c r="T30" s="774" t="s">
        <v>17</v>
      </c>
      <c r="U30" s="775">
        <f t="shared" si="13"/>
        <v>100</v>
      </c>
      <c r="V30" s="774" t="s">
        <v>17</v>
      </c>
      <c r="W30" s="775">
        <f t="shared" si="14"/>
        <v>100</v>
      </c>
      <c r="X30" s="1812"/>
      <c r="Y30" s="317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4"/>
      <c r="Q31" s="1809">
        <f t="shared" si="11"/>
        <v>111</v>
      </c>
      <c r="R31" s="774" t="s">
        <v>17</v>
      </c>
      <c r="S31" s="775">
        <f t="shared" si="12"/>
        <v>100</v>
      </c>
      <c r="T31" s="774" t="s">
        <v>17</v>
      </c>
      <c r="U31" s="775">
        <f t="shared" si="13"/>
        <v>100</v>
      </c>
      <c r="V31" s="774" t="s">
        <v>17</v>
      </c>
      <c r="W31" s="775">
        <f t="shared" si="14"/>
        <v>100</v>
      </c>
      <c r="X31" s="1812"/>
      <c r="Y31" s="3174"/>
      <c r="Z31" s="1813">
        <f t="shared" si="15"/>
        <v>111</v>
      </c>
      <c r="AA31" s="1810">
        <f t="shared" si="3"/>
        <v>1</v>
      </c>
      <c r="AB31" s="1810">
        <f t="shared" si="4"/>
        <v>1</v>
      </c>
      <c r="AC31" s="1810">
        <f t="shared" si="5"/>
        <v>1</v>
      </c>
    </row>
    <row r="32" spans="1:29" ht="15">
      <c r="A32" s="440" t="s">
        <v>2558</v>
      </c>
      <c r="B32" s="71" t="s">
        <v>2655</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39" t="s">
        <v>2560</v>
      </c>
      <c r="Q32" s="1809" t="str">
        <f t="shared" si="11"/>
        <v>商业类型</v>
      </c>
      <c r="R32" s="774" t="s">
        <v>17</v>
      </c>
      <c r="S32" s="775">
        <f t="shared" si="12"/>
        <v>100</v>
      </c>
      <c r="T32" s="774" t="s">
        <v>17</v>
      </c>
      <c r="U32" s="775">
        <f t="shared" si="13"/>
        <v>100</v>
      </c>
      <c r="V32" s="774" t="s">
        <v>17</v>
      </c>
      <c r="W32" s="775">
        <f t="shared" si="14"/>
        <v>100</v>
      </c>
      <c r="X32" s="1812"/>
      <c r="Y32" s="3176" t="s">
        <v>2560</v>
      </c>
      <c r="Z32" s="1813" t="str">
        <f t="shared" si="15"/>
        <v>商业类型</v>
      </c>
      <c r="AA32" s="1810">
        <f t="shared" si="3"/>
        <v>1</v>
      </c>
      <c r="AB32" s="1810">
        <f t="shared" si="4"/>
        <v>1</v>
      </c>
      <c r="AC32" s="1810">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0"/>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0" t="e">
        <f t="shared" si="3"/>
        <v>#N/A</v>
      </c>
      <c r="AB33" s="1810" t="e">
        <f t="shared" si="4"/>
        <v>#N/A</v>
      </c>
      <c r="AC33" s="1810" t="e">
        <f t="shared" si="5"/>
        <v>#N/A</v>
      </c>
    </row>
    <row r="34" spans="1:29" ht="15">
      <c r="A34" s="472"/>
      <c r="B34" s="422" t="s">
        <v>2562</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40"/>
      <c r="Q34" s="1809" t="str">
        <f t="shared" si="11"/>
        <v>建筑结构</v>
      </c>
      <c r="R34" s="774" t="s">
        <v>17</v>
      </c>
      <c r="S34" s="775">
        <f t="shared" si="12"/>
        <v>100</v>
      </c>
      <c r="T34" s="774" t="s">
        <v>17</v>
      </c>
      <c r="U34" s="775">
        <f t="shared" si="13"/>
        <v>100</v>
      </c>
      <c r="V34" s="774" t="s">
        <v>17</v>
      </c>
      <c r="W34" s="775">
        <f t="shared" si="14"/>
        <v>100</v>
      </c>
      <c r="X34" s="1812"/>
      <c r="Y34" s="3176"/>
      <c r="Z34" s="1813" t="str">
        <f t="shared" si="15"/>
        <v>建筑结构</v>
      </c>
      <c r="AA34" s="1810">
        <f t="shared" si="3"/>
        <v>1</v>
      </c>
      <c r="AB34" s="1810">
        <f t="shared" si="4"/>
        <v>1</v>
      </c>
      <c r="AC34" s="1810">
        <f t="shared" si="5"/>
        <v>1</v>
      </c>
    </row>
    <row r="35" spans="1:29" ht="15">
      <c r="A35" s="472"/>
      <c r="B35" s="422" t="s">
        <v>2656</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0"/>
      <c r="Q35" s="1809" t="str">
        <f t="shared" si="11"/>
        <v>公共部分装修</v>
      </c>
      <c r="R35" s="774" t="s">
        <v>17</v>
      </c>
      <c r="S35" s="775">
        <f t="shared" si="12"/>
        <v>100</v>
      </c>
      <c r="T35" s="774" t="s">
        <v>17</v>
      </c>
      <c r="U35" s="775">
        <f t="shared" si="13"/>
        <v>100</v>
      </c>
      <c r="V35" s="774" t="s">
        <v>17</v>
      </c>
      <c r="W35" s="775">
        <f t="shared" si="14"/>
        <v>100</v>
      </c>
      <c r="X35" s="1812"/>
      <c r="Y35" s="3176"/>
      <c r="Z35" s="1813" t="str">
        <f t="shared" si="15"/>
        <v>公共部分装修</v>
      </c>
      <c r="AA35" s="1810">
        <f t="shared" si="3"/>
        <v>1</v>
      </c>
      <c r="AB35" s="1810">
        <f t="shared" si="4"/>
        <v>1</v>
      </c>
      <c r="AC35" s="1810">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0"/>
      <c r="Q36" s="1809" t="str">
        <f t="shared" si="11"/>
        <v>成新度</v>
      </c>
      <c r="R36" s="774" t="s">
        <v>17</v>
      </c>
      <c r="S36" s="775" t="e">
        <f t="shared" si="12"/>
        <v>#N/A</v>
      </c>
      <c r="T36" s="774" t="s">
        <v>17</v>
      </c>
      <c r="U36" s="775" t="e">
        <f t="shared" si="13"/>
        <v>#N/A</v>
      </c>
      <c r="V36" s="774" t="s">
        <v>17</v>
      </c>
      <c r="W36" s="775" t="e">
        <f t="shared" si="14"/>
        <v>#N/A</v>
      </c>
      <c r="X36" s="1812"/>
      <c r="Y36" s="3176"/>
      <c r="Z36" s="1813" t="str">
        <f t="shared" si="15"/>
        <v>成新度</v>
      </c>
      <c r="AA36" s="1810" t="e">
        <f t="shared" si="3"/>
        <v>#N/A</v>
      </c>
      <c r="AB36" s="1810" t="e">
        <f t="shared" si="4"/>
        <v>#N/A</v>
      </c>
      <c r="AC36" s="1810" t="e">
        <f t="shared" si="5"/>
        <v>#N/A</v>
      </c>
    </row>
    <row r="37" spans="1:29" s="117" customFormat="1" ht="15">
      <c r="A37" s="473"/>
      <c r="B37" s="422" t="s">
        <v>2658</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0"/>
      <c r="Q37" s="1794"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2659</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0" t="s">
        <v>2560</v>
      </c>
      <c r="Q38" s="1809" t="str">
        <f t="shared" si="11"/>
        <v>业态</v>
      </c>
      <c r="R38" s="774" t="s">
        <v>17</v>
      </c>
      <c r="S38" s="775">
        <f t="shared" si="12"/>
        <v>100</v>
      </c>
      <c r="T38" s="774" t="s">
        <v>17</v>
      </c>
      <c r="U38" s="775">
        <f t="shared" si="13"/>
        <v>100</v>
      </c>
      <c r="V38" s="774" t="s">
        <v>17</v>
      </c>
      <c r="W38" s="775">
        <f t="shared" si="14"/>
        <v>100</v>
      </c>
      <c r="X38" s="1812"/>
      <c r="Y38" s="3176" t="s">
        <v>2560</v>
      </c>
      <c r="Z38" s="1813" t="str">
        <f t="shared" si="15"/>
        <v>业态</v>
      </c>
      <c r="AA38" s="1810">
        <f t="shared" si="3"/>
        <v>1</v>
      </c>
      <c r="AB38" s="1810">
        <f t="shared" si="4"/>
        <v>1</v>
      </c>
      <c r="AC38" s="1810">
        <f t="shared" si="5"/>
        <v>1</v>
      </c>
    </row>
    <row r="39" spans="1:29" ht="15">
      <c r="A39" s="472"/>
      <c r="B39" s="422" t="s">
        <v>2660</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0"/>
      <c r="Q39" s="1809" t="str">
        <f t="shared" si="11"/>
        <v>层高</v>
      </c>
      <c r="R39" s="774" t="s">
        <v>17</v>
      </c>
      <c r="S39" s="775">
        <f t="shared" si="12"/>
        <v>100</v>
      </c>
      <c r="T39" s="774" t="s">
        <v>17</v>
      </c>
      <c r="U39" s="775">
        <f t="shared" si="13"/>
        <v>100</v>
      </c>
      <c r="V39" s="774" t="s">
        <v>17</v>
      </c>
      <c r="W39" s="775">
        <f t="shared" si="14"/>
        <v>100</v>
      </c>
      <c r="X39" s="1812"/>
      <c r="Y39" s="3176"/>
      <c r="Z39" s="1813" t="str">
        <f t="shared" si="15"/>
        <v>层高</v>
      </c>
      <c r="AA39" s="1810">
        <f t="shared" si="3"/>
        <v>1</v>
      </c>
      <c r="AB39" s="1810">
        <f t="shared" si="4"/>
        <v>1</v>
      </c>
      <c r="AC39" s="1810">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0"/>
      <c r="Q40" s="1809" t="str">
        <f t="shared" si="11"/>
        <v>单套建筑面积</v>
      </c>
      <c r="R40" s="774" t="s">
        <v>17</v>
      </c>
      <c r="S40" s="775">
        <f t="shared" si="12"/>
        <v>100</v>
      </c>
      <c r="T40" s="774" t="s">
        <v>17</v>
      </c>
      <c r="U40" s="775">
        <f t="shared" si="13"/>
        <v>100</v>
      </c>
      <c r="V40" s="774" t="s">
        <v>17</v>
      </c>
      <c r="W40" s="775">
        <f t="shared" si="14"/>
        <v>100</v>
      </c>
      <c r="X40" s="1812"/>
      <c r="Y40" s="3176"/>
      <c r="Z40" s="1813" t="str">
        <f t="shared" si="15"/>
        <v>单套建筑面积</v>
      </c>
      <c r="AA40" s="1810">
        <f t="shared" si="3"/>
        <v>1</v>
      </c>
      <c r="AB40" s="1810">
        <f t="shared" si="4"/>
        <v>1</v>
      </c>
      <c r="AC40" s="1810">
        <f t="shared" si="5"/>
        <v>1</v>
      </c>
    </row>
    <row r="41" spans="1:29" s="471" customFormat="1" ht="15">
      <c r="A41" s="468"/>
      <c r="B41" s="1811"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0"/>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0">
        <f t="shared" si="3"/>
        <v>1</v>
      </c>
      <c r="AB41" s="1810">
        <f t="shared" si="4"/>
        <v>1</v>
      </c>
      <c r="AC41" s="1810">
        <f t="shared" si="5"/>
        <v>1</v>
      </c>
    </row>
    <row r="42" spans="1:29" ht="15">
      <c r="A42" s="472"/>
      <c r="B42" s="422" t="s">
        <v>2663</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0"/>
      <c r="Q42" s="1809" t="str">
        <f t="shared" si="11"/>
        <v>内部装修</v>
      </c>
      <c r="R42" s="774" t="s">
        <v>17</v>
      </c>
      <c r="S42" s="775">
        <f t="shared" si="12"/>
        <v>100</v>
      </c>
      <c r="T42" s="774" t="s">
        <v>17</v>
      </c>
      <c r="U42" s="775">
        <f t="shared" si="13"/>
        <v>100</v>
      </c>
      <c r="V42" s="774" t="s">
        <v>17</v>
      </c>
      <c r="W42" s="775">
        <f t="shared" si="14"/>
        <v>100</v>
      </c>
      <c r="X42" s="1812"/>
      <c r="Y42" s="3176"/>
      <c r="Z42" s="1813" t="str">
        <f t="shared" si="15"/>
        <v>内部装修</v>
      </c>
      <c r="AA42" s="1810">
        <f t="shared" si="3"/>
        <v>1</v>
      </c>
      <c r="AB42" s="1810">
        <f t="shared" si="4"/>
        <v>1</v>
      </c>
      <c r="AC42" s="1810">
        <f t="shared" si="5"/>
        <v>1</v>
      </c>
    </row>
    <row r="43" spans="1:29" ht="15">
      <c r="A43" s="472"/>
      <c r="B43" s="422" t="s">
        <v>2571</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0"/>
      <c r="Q43" s="1809" t="str">
        <f t="shared" si="11"/>
        <v>内部装修维护情况</v>
      </c>
      <c r="R43" s="774" t="s">
        <v>17</v>
      </c>
      <c r="S43" s="775">
        <f t="shared" si="12"/>
        <v>100</v>
      </c>
      <c r="T43" s="774" t="s">
        <v>17</v>
      </c>
      <c r="U43" s="775">
        <f t="shared" si="13"/>
        <v>100</v>
      </c>
      <c r="V43" s="774" t="s">
        <v>17</v>
      </c>
      <c r="W43" s="775">
        <f t="shared" si="14"/>
        <v>100</v>
      </c>
      <c r="X43" s="1812"/>
      <c r="Y43" s="317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0"/>
      <c r="Q44" s="1794">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0"/>
      <c r="Q45" s="1809">
        <f t="shared" si="11"/>
        <v>111</v>
      </c>
      <c r="R45" s="774" t="s">
        <v>17</v>
      </c>
      <c r="S45" s="775">
        <f t="shared" si="12"/>
        <v>100</v>
      </c>
      <c r="T45" s="774" t="s">
        <v>17</v>
      </c>
      <c r="U45" s="775">
        <f t="shared" si="13"/>
        <v>100</v>
      </c>
      <c r="V45" s="774" t="s">
        <v>17</v>
      </c>
      <c r="W45" s="775">
        <f t="shared" si="14"/>
        <v>100</v>
      </c>
      <c r="X45" s="1812"/>
      <c r="Y45" s="3176"/>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1"/>
      <c r="Q46" s="1809">
        <f t="shared" si="11"/>
        <v>111</v>
      </c>
      <c r="R46" s="774" t="s">
        <v>17</v>
      </c>
      <c r="S46" s="775">
        <f t="shared" si="12"/>
        <v>100</v>
      </c>
      <c r="T46" s="774" t="s">
        <v>17</v>
      </c>
      <c r="U46" s="775">
        <f t="shared" si="13"/>
        <v>100</v>
      </c>
      <c r="V46" s="774" t="s">
        <v>17</v>
      </c>
      <c r="W46" s="775">
        <f t="shared" si="14"/>
        <v>100</v>
      </c>
      <c r="X46" s="1812"/>
      <c r="Y46" s="3242"/>
      <c r="Z46" s="1813">
        <f t="shared" si="15"/>
        <v>111</v>
      </c>
      <c r="AA46" s="1810">
        <f t="shared" si="3"/>
        <v>1</v>
      </c>
      <c r="AB46" s="1810">
        <f t="shared" si="4"/>
        <v>1</v>
      </c>
      <c r="AC46" s="1810">
        <f t="shared" si="5"/>
        <v>1</v>
      </c>
    </row>
    <row r="47" spans="1:29" ht="15">
      <c r="A47" s="479" t="s">
        <v>2572</v>
      </c>
      <c r="B47" s="480"/>
      <c r="C47" s="1407" t="s">
        <v>1</v>
      </c>
      <c r="D47" s="1408"/>
      <c r="E47" s="1409"/>
      <c r="F47" s="1410"/>
      <c r="G47" s="1411"/>
      <c r="H47" s="1412"/>
      <c r="I47" s="1409"/>
      <c r="J47" s="1412"/>
      <c r="K47" s="783"/>
      <c r="L47" s="1143"/>
      <c r="M47" s="1144"/>
      <c r="N47" s="1131"/>
      <c r="O47" s="1144"/>
      <c r="P47" s="3171" t="str">
        <f>A47</f>
        <v>成交单价（元/平方米）</v>
      </c>
      <c r="Q47" s="3171"/>
      <c r="R47" s="3177">
        <f>E47</f>
        <v>0</v>
      </c>
      <c r="S47" s="3177"/>
      <c r="T47" s="3177">
        <f>G47</f>
        <v>0</v>
      </c>
      <c r="U47" s="3177"/>
      <c r="V47" s="3177">
        <f>I47</f>
        <v>0</v>
      </c>
      <c r="W47" s="3177"/>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171" t="str">
        <f>A48</f>
        <v>比较价值（元/平方米）</v>
      </c>
      <c r="Q48" s="3171"/>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165" t="str">
        <f>A49</f>
        <v>估价对象XX用房的比较价值（楼面单价，元/平方米）</v>
      </c>
      <c r="Q49" s="3166"/>
      <c r="R49" s="3237" t="e">
        <f>IF(F1="售价",ROUND(AVERAGE(R48:V48),0),ROUND(AVERAGE(R48:V48),1))</f>
        <v>#DIV/0!</v>
      </c>
      <c r="S49" s="3237"/>
      <c r="T49" s="3237"/>
      <c r="U49" s="3237"/>
      <c r="V49" s="3237"/>
      <c r="W49" s="323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2543</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2675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2611</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2677</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2678</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2679</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665" t="s">
        <v>2681</v>
      </c>
      <c r="C1" s="1619" t="s">
        <v>2525</v>
      </c>
      <c r="D1" s="1620"/>
      <c r="E1" s="1629"/>
      <c r="F1" s="2580"/>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8" t="e">
        <f ca="1">IF(C2="——",ROUND(C50*D3/10000,0),ROUND(C50*D3/10000,0)-D2)</f>
        <v>#DIV/0!</v>
      </c>
      <c r="C2" s="2582"/>
      <c r="D2" s="1365" t="e">
        <f ca="1">SUMIF(INDIRECT("'"&amp;F2&amp;"'"&amp;"!A:A"),"承租人权益价值",INDIRECT("'"&amp;F2&amp;"'"&amp;"!c:c"))</f>
        <v>#REF!</v>
      </c>
      <c r="E2" s="2583" t="s">
        <v>2326</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109861.36</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68" t="s">
        <v>2641</v>
      </c>
      <c r="D4" s="3181"/>
      <c r="E4" s="3182" t="s">
        <v>2642</v>
      </c>
      <c r="F4" s="3183"/>
      <c r="G4" s="3168" t="s">
        <v>2643</v>
      </c>
      <c r="H4" s="3181"/>
      <c r="I4" s="3168" t="s">
        <v>2644</v>
      </c>
      <c r="J4" s="3181"/>
      <c r="K4" s="610" t="s">
        <v>2645</v>
      </c>
      <c r="L4" s="1130"/>
      <c r="M4" s="1131"/>
      <c r="N4" s="1131"/>
      <c r="O4" s="1131"/>
      <c r="P4" s="3251" t="s">
        <v>2646</v>
      </c>
      <c r="Q4" s="3252"/>
      <c r="R4" s="3255" t="s">
        <v>2642</v>
      </c>
      <c r="S4" s="3256"/>
      <c r="T4" s="3255" t="s">
        <v>2643</v>
      </c>
      <c r="U4" s="3256"/>
      <c r="V4" s="3257" t="s">
        <v>2644</v>
      </c>
      <c r="W4" s="3257"/>
      <c r="X4" s="2666"/>
      <c r="Y4" s="3255" t="s">
        <v>2646</v>
      </c>
      <c r="Z4" s="3256"/>
      <c r="AA4" s="3259" t="s">
        <v>2642</v>
      </c>
      <c r="AB4" s="3259" t="s">
        <v>2643</v>
      </c>
      <c r="AC4" s="3248" t="s">
        <v>2644</v>
      </c>
    </row>
    <row r="5" spans="1:29" ht="15">
      <c r="A5" s="404"/>
      <c r="B5" s="405"/>
      <c r="C5" s="3198" t="s">
        <v>2537</v>
      </c>
      <c r="D5" s="3199"/>
      <c r="E5" s="3205" t="s">
        <v>2538</v>
      </c>
      <c r="F5" s="3206"/>
      <c r="G5" s="3198" t="s">
        <v>2539</v>
      </c>
      <c r="H5" s="3199"/>
      <c r="I5" s="3198" t="s">
        <v>2540</v>
      </c>
      <c r="J5" s="3199"/>
      <c r="K5" s="610"/>
      <c r="L5" s="1130"/>
      <c r="M5" s="1131"/>
      <c r="N5" s="1131"/>
      <c r="O5" s="1131"/>
      <c r="P5" s="3253"/>
      <c r="Q5" s="3187"/>
      <c r="R5" s="3192"/>
      <c r="S5" s="3193"/>
      <c r="T5" s="3192"/>
      <c r="U5" s="3193"/>
      <c r="V5" s="3177"/>
      <c r="W5" s="3177"/>
      <c r="X5" s="1812"/>
      <c r="Y5" s="3192"/>
      <c r="Z5" s="3193"/>
      <c r="AA5" s="3179"/>
      <c r="AB5" s="3179"/>
      <c r="AC5" s="3249"/>
    </row>
    <row r="6" spans="1:29" ht="15.75" thickBot="1">
      <c r="A6" s="406"/>
      <c r="B6" s="407"/>
      <c r="C6" s="3196" t="s">
        <v>2541</v>
      </c>
      <c r="D6" s="3197"/>
      <c r="E6" s="3203" t="s">
        <v>2541</v>
      </c>
      <c r="F6" s="3204"/>
      <c r="G6" s="3196" t="s">
        <v>2541</v>
      </c>
      <c r="H6" s="3197"/>
      <c r="I6" s="3196" t="s">
        <v>2541</v>
      </c>
      <c r="J6" s="3197"/>
      <c r="K6" s="610" t="s">
        <v>2542</v>
      </c>
      <c r="L6" s="1130"/>
      <c r="M6" s="1131"/>
      <c r="N6" s="1131"/>
      <c r="O6" s="1131"/>
      <c r="P6" s="3254"/>
      <c r="Q6" s="3189"/>
      <c r="R6" s="3192"/>
      <c r="S6" s="3193"/>
      <c r="T6" s="3194"/>
      <c r="U6" s="3195"/>
      <c r="V6" s="3177"/>
      <c r="W6" s="3177"/>
      <c r="X6" s="1812"/>
      <c r="Y6" s="3194"/>
      <c r="Z6" s="3195"/>
      <c r="AA6" s="3180"/>
      <c r="AB6" s="3180"/>
      <c r="AC6" s="3250"/>
    </row>
    <row r="7" spans="1:29" s="117" customFormat="1" ht="15.75" thickBot="1">
      <c r="A7" s="408" t="s">
        <v>2543</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8" t="s">
        <v>2544</v>
      </c>
      <c r="Q7" s="3202"/>
      <c r="R7" s="770" t="s">
        <v>17</v>
      </c>
      <c r="S7" s="771">
        <f t="shared" ref="S7:S15" si="0">F7</f>
        <v>0</v>
      </c>
      <c r="T7" s="770" t="s">
        <v>17</v>
      </c>
      <c r="U7" s="771">
        <f t="shared" ref="U7:U15" si="1">H7</f>
        <v>0</v>
      </c>
      <c r="V7" s="770" t="s">
        <v>17</v>
      </c>
      <c r="W7" s="771">
        <f t="shared" ref="W7:W15" si="2">J7</f>
        <v>0</v>
      </c>
      <c r="X7" s="772"/>
      <c r="Y7" s="3200" t="s">
        <v>2544</v>
      </c>
      <c r="Z7" s="3201"/>
      <c r="AA7" s="773" t="e">
        <f>D7/F7</f>
        <v>#DIV/0!</v>
      </c>
      <c r="AB7" s="773"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8" t="s">
        <v>2547</v>
      </c>
      <c r="Q8" s="3201"/>
      <c r="R8" s="770" t="s">
        <v>17</v>
      </c>
      <c r="S8" s="771">
        <f t="shared" si="0"/>
        <v>0</v>
      </c>
      <c r="T8" s="770" t="s">
        <v>17</v>
      </c>
      <c r="U8" s="771">
        <f t="shared" si="1"/>
        <v>0</v>
      </c>
      <c r="V8" s="770" t="s">
        <v>17</v>
      </c>
      <c r="W8" s="771">
        <f t="shared" si="2"/>
        <v>0</v>
      </c>
      <c r="X8" s="772"/>
      <c r="Y8" s="3200" t="s">
        <v>2547</v>
      </c>
      <c r="Z8" s="3201"/>
      <c r="AA8" s="773" t="e">
        <f t="shared" ref="AA8:AA47" si="3">D8/F8</f>
        <v>#DIV/0!</v>
      </c>
      <c r="AB8" s="773"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0" t="s">
        <v>2550</v>
      </c>
      <c r="Q9" s="1794"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0"/>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0"/>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70"/>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70"/>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70"/>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67">
        <f t="shared" si="5"/>
        <v>1</v>
      </c>
    </row>
    <row r="15" spans="1:29" ht="15">
      <c r="A15" s="440" t="s">
        <v>2554</v>
      </c>
      <c r="B15" s="629" t="s">
        <v>2682</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3" t="s">
        <v>2555</v>
      </c>
      <c r="Q15" s="1809" t="str">
        <f t="shared" si="6"/>
        <v>办公集聚程度</v>
      </c>
      <c r="R15" s="774" t="s">
        <v>17</v>
      </c>
      <c r="S15" s="775">
        <f t="shared" si="0"/>
        <v>100</v>
      </c>
      <c r="T15" s="774" t="s">
        <v>17</v>
      </c>
      <c r="U15" s="775">
        <f t="shared" si="1"/>
        <v>100</v>
      </c>
      <c r="V15" s="774" t="s">
        <v>17</v>
      </c>
      <c r="W15" s="775">
        <f t="shared" si="2"/>
        <v>100</v>
      </c>
      <c r="X15" s="1812"/>
      <c r="Y15" s="3173" t="s">
        <v>2555</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244"/>
      <c r="Q16" s="1809"/>
      <c r="R16" s="774"/>
      <c r="S16" s="775"/>
      <c r="T16" s="774"/>
      <c r="U16" s="775"/>
      <c r="V16" s="774"/>
      <c r="W16" s="775"/>
      <c r="X16" s="1812"/>
      <c r="Y16" s="3174"/>
      <c r="Z16" s="1813"/>
      <c r="AA16" s="1810">
        <v>1</v>
      </c>
      <c r="AB16" s="1810">
        <v>1</v>
      </c>
      <c r="AC16" s="2670">
        <v>1</v>
      </c>
    </row>
    <row r="17" spans="1:29" ht="15">
      <c r="A17" s="428"/>
      <c r="B17" s="631" t="s">
        <v>2094</v>
      </c>
      <c r="C17" s="2671"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4"/>
      <c r="Q17" s="1809" t="str">
        <f>B17</f>
        <v>交通便捷度</v>
      </c>
      <c r="R17" s="774" t="s">
        <v>17</v>
      </c>
      <c r="S17" s="775">
        <f>F17</f>
        <v>100</v>
      </c>
      <c r="T17" s="774" t="s">
        <v>17</v>
      </c>
      <c r="U17" s="775">
        <f>H17</f>
        <v>100</v>
      </c>
      <c r="V17" s="774" t="s">
        <v>17</v>
      </c>
      <c r="W17" s="775">
        <f>J17</f>
        <v>100</v>
      </c>
      <c r="X17" s="1812"/>
      <c r="Y17" s="3174"/>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244"/>
      <c r="Q18" s="1809"/>
      <c r="R18" s="774"/>
      <c r="S18" s="775"/>
      <c r="T18" s="774"/>
      <c r="U18" s="775"/>
      <c r="V18" s="774"/>
      <c r="W18" s="775"/>
      <c r="X18" s="1812"/>
      <c r="Y18" s="3174"/>
      <c r="Z18" s="1813"/>
      <c r="AA18" s="1810">
        <v>1</v>
      </c>
      <c r="AB18" s="1810">
        <v>1</v>
      </c>
      <c r="AC18" s="2670">
        <v>1</v>
      </c>
    </row>
    <row r="19" spans="1:29" ht="15">
      <c r="A19" s="428"/>
      <c r="B19" s="631" t="s">
        <v>2683</v>
      </c>
      <c r="C19" s="2671"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4"/>
      <c r="Q19" s="1809" t="str">
        <f>B19</f>
        <v>公共配套设施</v>
      </c>
      <c r="R19" s="774" t="s">
        <v>17</v>
      </c>
      <c r="S19" s="775">
        <f>F19</f>
        <v>100</v>
      </c>
      <c r="T19" s="774" t="s">
        <v>17</v>
      </c>
      <c r="U19" s="775">
        <f>H19</f>
        <v>100</v>
      </c>
      <c r="V19" s="774" t="s">
        <v>17</v>
      </c>
      <c r="W19" s="775">
        <f>J19</f>
        <v>100</v>
      </c>
      <c r="X19" s="1812"/>
      <c r="Y19" s="3174"/>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244"/>
      <c r="Q20" s="1809"/>
      <c r="R20" s="774"/>
      <c r="S20" s="775"/>
      <c r="T20" s="774"/>
      <c r="U20" s="775"/>
      <c r="V20" s="774"/>
      <c r="W20" s="775"/>
      <c r="X20" s="1812"/>
      <c r="Y20" s="3174"/>
      <c r="Z20" s="1813"/>
      <c r="AA20" s="1810">
        <v>1</v>
      </c>
      <c r="AB20" s="1810">
        <v>1</v>
      </c>
      <c r="AC20" s="2670">
        <v>1</v>
      </c>
    </row>
    <row r="21" spans="1:29" ht="15">
      <c r="A21" s="428"/>
      <c r="B21" s="633" t="s">
        <v>2684</v>
      </c>
      <c r="C21" s="2671"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4"/>
      <c r="Q21" s="1809" t="str">
        <f>B21</f>
        <v>基础设施水平</v>
      </c>
      <c r="R21" s="774" t="s">
        <v>17</v>
      </c>
      <c r="S21" s="775">
        <f>F21</f>
        <v>100</v>
      </c>
      <c r="T21" s="774" t="s">
        <v>17</v>
      </c>
      <c r="U21" s="775">
        <f>H21</f>
        <v>100</v>
      </c>
      <c r="V21" s="774" t="s">
        <v>17</v>
      </c>
      <c r="W21" s="775">
        <f>J21</f>
        <v>100</v>
      </c>
      <c r="X21" s="1812"/>
      <c r="Y21" s="3174"/>
      <c r="Z21" s="1813" t="str">
        <f>Q21</f>
        <v>基础设施水平</v>
      </c>
      <c r="AA21" s="1810">
        <f t="shared" ref="AA21" si="8">D21/F21</f>
        <v>1</v>
      </c>
      <c r="AB21" s="1810">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44"/>
      <c r="Q22" s="1809"/>
      <c r="R22" s="774"/>
      <c r="S22" s="775"/>
      <c r="T22" s="774"/>
      <c r="U22" s="775"/>
      <c r="V22" s="774"/>
      <c r="W22" s="775"/>
      <c r="X22" s="1812"/>
      <c r="Y22" s="3174"/>
      <c r="Z22" s="1813"/>
      <c r="AA22" s="1810">
        <v>1</v>
      </c>
      <c r="AB22" s="1810">
        <v>1</v>
      </c>
      <c r="AC22" s="2670">
        <v>1</v>
      </c>
    </row>
    <row r="23" spans="1:29" ht="15">
      <c r="A23" s="428"/>
      <c r="B23" s="631" t="s">
        <v>2685</v>
      </c>
      <c r="C23" s="2671"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4"/>
      <c r="Q23" s="1809" t="str">
        <f>B23</f>
        <v>环境质量</v>
      </c>
      <c r="R23" s="774" t="s">
        <v>17</v>
      </c>
      <c r="S23" s="775">
        <f>F23</f>
        <v>100</v>
      </c>
      <c r="T23" s="774" t="s">
        <v>17</v>
      </c>
      <c r="U23" s="775">
        <f>H23</f>
        <v>100</v>
      </c>
      <c r="V23" s="774" t="s">
        <v>17</v>
      </c>
      <c r="W23" s="775">
        <f>J23</f>
        <v>100</v>
      </c>
      <c r="X23" s="1812"/>
      <c r="Y23" s="3174"/>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244"/>
      <c r="Q24" s="1809"/>
      <c r="R24" s="774"/>
      <c r="S24" s="775"/>
      <c r="T24" s="774"/>
      <c r="U24" s="775"/>
      <c r="V24" s="774"/>
      <c r="W24" s="775"/>
      <c r="X24" s="1812"/>
      <c r="Y24" s="3174"/>
      <c r="Z24" s="1813"/>
      <c r="AA24" s="1810">
        <v>1</v>
      </c>
      <c r="AB24" s="1810">
        <v>1</v>
      </c>
      <c r="AC24" s="2670">
        <v>1</v>
      </c>
    </row>
    <row r="25" spans="1:29" ht="27">
      <c r="A25" s="404"/>
      <c r="B25" s="631" t="s">
        <v>2686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44"/>
      <c r="Q25" s="1809" t="str">
        <f>B25</f>
        <v>毗邻道路的类型与等级</v>
      </c>
      <c r="R25" s="774" t="s">
        <v>17</v>
      </c>
      <c r="S25" s="775">
        <f>F25</f>
        <v>100</v>
      </c>
      <c r="T25" s="774" t="s">
        <v>17</v>
      </c>
      <c r="U25" s="775">
        <f>H25</f>
        <v>100</v>
      </c>
      <c r="V25" s="774" t="s">
        <v>17</v>
      </c>
      <c r="W25" s="775">
        <f>J25</f>
        <v>100</v>
      </c>
      <c r="X25" s="1812"/>
      <c r="Y25" s="3174"/>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44"/>
      <c r="Q26" s="1809"/>
      <c r="R26" s="774"/>
      <c r="S26" s="775"/>
      <c r="T26" s="774"/>
      <c r="U26" s="775"/>
      <c r="V26" s="774"/>
      <c r="W26" s="775"/>
      <c r="X26" s="1812"/>
      <c r="Y26" s="3174"/>
      <c r="Z26" s="1813"/>
      <c r="AA26" s="1810">
        <v>1</v>
      </c>
      <c r="AB26" s="1810">
        <v>1</v>
      </c>
      <c r="AC26" s="2670">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4"/>
      <c r="Q27" s="1809" t="str">
        <f t="shared" ref="Q27:Q47" si="11">B27</f>
        <v>楼层</v>
      </c>
      <c r="R27" s="774" t="s">
        <v>17</v>
      </c>
      <c r="S27" s="775">
        <f>F27</f>
        <v>100</v>
      </c>
      <c r="T27" s="774" t="s">
        <v>17</v>
      </c>
      <c r="U27" s="775">
        <f>H27</f>
        <v>100</v>
      </c>
      <c r="V27" s="774" t="s">
        <v>17</v>
      </c>
      <c r="W27" s="775">
        <f>J27</f>
        <v>100</v>
      </c>
      <c r="X27" s="1812"/>
      <c r="Y27" s="3174"/>
      <c r="Z27" s="1813" t="str">
        <f>Q27</f>
        <v>楼层</v>
      </c>
      <c r="AA27" s="1810">
        <f t="shared" si="3"/>
        <v>1</v>
      </c>
      <c r="AB27" s="1810">
        <f t="shared" si="4"/>
        <v>1</v>
      </c>
      <c r="AC27" s="2670">
        <f t="shared" si="5"/>
        <v>1</v>
      </c>
    </row>
    <row r="28" spans="1:29" s="117" customFormat="1" ht="15">
      <c r="A28" s="431"/>
      <c r="B28" s="631"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44"/>
      <c r="Q28" s="1794" t="str">
        <f t="shared" si="11"/>
        <v>朝向</v>
      </c>
      <c r="R28" s="770" t="s">
        <v>17</v>
      </c>
      <c r="S28" s="771">
        <f>F28</f>
        <v>100</v>
      </c>
      <c r="T28" s="770" t="s">
        <v>17</v>
      </c>
      <c r="U28" s="771">
        <f>H28</f>
        <v>100</v>
      </c>
      <c r="V28" s="770" t="s">
        <v>17</v>
      </c>
      <c r="W28" s="771">
        <f>J28</f>
        <v>100</v>
      </c>
      <c r="X28" s="772"/>
      <c r="Y28" s="3174"/>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44"/>
      <c r="Q29" s="1809">
        <f t="shared" si="11"/>
        <v>111</v>
      </c>
      <c r="R29" s="774" t="s">
        <v>17</v>
      </c>
      <c r="S29" s="775">
        <f t="shared" ref="S29:S47" si="12">F29</f>
        <v>100</v>
      </c>
      <c r="T29" s="774" t="s">
        <v>17</v>
      </c>
      <c r="U29" s="775">
        <f t="shared" ref="U29:U47" si="13">H29</f>
        <v>100</v>
      </c>
      <c r="V29" s="774" t="s">
        <v>17</v>
      </c>
      <c r="W29" s="775">
        <f t="shared" ref="W29:W47" si="14">J29</f>
        <v>100</v>
      </c>
      <c r="X29" s="1812"/>
      <c r="Y29" s="3174"/>
      <c r="Z29" s="1813">
        <f t="shared" ref="Z29:Z47" si="15">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44"/>
      <c r="Q30" s="1809">
        <f t="shared" si="11"/>
        <v>111</v>
      </c>
      <c r="R30" s="774" t="s">
        <v>17</v>
      </c>
      <c r="S30" s="775">
        <f t="shared" si="12"/>
        <v>100</v>
      </c>
      <c r="T30" s="774" t="s">
        <v>17</v>
      </c>
      <c r="U30" s="775">
        <f t="shared" si="13"/>
        <v>100</v>
      </c>
      <c r="V30" s="774" t="s">
        <v>17</v>
      </c>
      <c r="W30" s="775">
        <f t="shared" si="14"/>
        <v>100</v>
      </c>
      <c r="X30" s="1812"/>
      <c r="Y30" s="3174"/>
      <c r="Z30" s="1813">
        <f t="shared" si="15"/>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44"/>
      <c r="Q31" s="1809">
        <f t="shared" si="11"/>
        <v>111</v>
      </c>
      <c r="R31" s="774" t="s">
        <v>17</v>
      </c>
      <c r="S31" s="775">
        <f t="shared" si="12"/>
        <v>100</v>
      </c>
      <c r="T31" s="774" t="s">
        <v>17</v>
      </c>
      <c r="U31" s="775">
        <f t="shared" si="13"/>
        <v>100</v>
      </c>
      <c r="V31" s="774" t="s">
        <v>17</v>
      </c>
      <c r="W31" s="775">
        <f t="shared" si="14"/>
        <v>100</v>
      </c>
      <c r="X31" s="1812"/>
      <c r="Y31" s="3174"/>
      <c r="Z31" s="1813">
        <f t="shared" si="15"/>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44"/>
      <c r="Q32" s="1809">
        <f t="shared" si="11"/>
        <v>111</v>
      </c>
      <c r="R32" s="774" t="s">
        <v>17</v>
      </c>
      <c r="S32" s="775">
        <f t="shared" si="12"/>
        <v>100</v>
      </c>
      <c r="T32" s="774" t="s">
        <v>17</v>
      </c>
      <c r="U32" s="775">
        <f t="shared" si="13"/>
        <v>100</v>
      </c>
      <c r="V32" s="774" t="s">
        <v>17</v>
      </c>
      <c r="W32" s="775">
        <f t="shared" si="14"/>
        <v>100</v>
      </c>
      <c r="X32" s="1812"/>
      <c r="Y32" s="3174"/>
      <c r="Z32" s="1813">
        <f t="shared" si="15"/>
        <v>111</v>
      </c>
      <c r="AA32" s="1810">
        <f t="shared" si="3"/>
        <v>1</v>
      </c>
      <c r="AB32" s="1810">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39" t="s">
        <v>2560</v>
      </c>
      <c r="Q33" s="1809" t="str">
        <f t="shared" si="11"/>
        <v>建筑类型</v>
      </c>
      <c r="R33" s="774" t="s">
        <v>17</v>
      </c>
      <c r="S33" s="775">
        <f t="shared" si="12"/>
        <v>100</v>
      </c>
      <c r="T33" s="774" t="s">
        <v>17</v>
      </c>
      <c r="U33" s="775">
        <f t="shared" si="13"/>
        <v>100</v>
      </c>
      <c r="V33" s="774" t="s">
        <v>17</v>
      </c>
      <c r="W33" s="775">
        <f t="shared" si="14"/>
        <v>100</v>
      </c>
      <c r="X33" s="1812"/>
      <c r="Y33" s="3176" t="s">
        <v>2560</v>
      </c>
      <c r="Z33" s="1813" t="str">
        <f t="shared" si="15"/>
        <v>建筑类型</v>
      </c>
      <c r="AA33" s="1810">
        <f t="shared" si="3"/>
        <v>1</v>
      </c>
      <c r="AB33" s="1810">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0"/>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0" t="e">
        <f t="shared" si="3"/>
        <v>#N/A</v>
      </c>
      <c r="AB34" s="1810"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0"/>
      <c r="Q35" s="1809" t="str">
        <f t="shared" si="11"/>
        <v>建筑结构</v>
      </c>
      <c r="R35" s="774" t="s">
        <v>17</v>
      </c>
      <c r="S35" s="775">
        <f t="shared" si="12"/>
        <v>100</v>
      </c>
      <c r="T35" s="774" t="s">
        <v>17</v>
      </c>
      <c r="U35" s="775">
        <f t="shared" si="13"/>
        <v>100</v>
      </c>
      <c r="V35" s="774" t="s">
        <v>17</v>
      </c>
      <c r="W35" s="775">
        <f t="shared" si="14"/>
        <v>100</v>
      </c>
      <c r="X35" s="1812"/>
      <c r="Y35" s="3176"/>
      <c r="Z35" s="1813" t="str">
        <f t="shared" si="15"/>
        <v>建筑结构</v>
      </c>
      <c r="AA35" s="1810">
        <f t="shared" si="3"/>
        <v>1</v>
      </c>
      <c r="AB35" s="1810">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0"/>
      <c r="Q36" s="1809" t="str">
        <f t="shared" si="11"/>
        <v>公共部分装修</v>
      </c>
      <c r="R36" s="774" t="s">
        <v>17</v>
      </c>
      <c r="S36" s="775">
        <f t="shared" si="12"/>
        <v>100</v>
      </c>
      <c r="T36" s="774" t="s">
        <v>17</v>
      </c>
      <c r="U36" s="775">
        <f t="shared" si="13"/>
        <v>100</v>
      </c>
      <c r="V36" s="774" t="s">
        <v>17</v>
      </c>
      <c r="W36" s="775">
        <f t="shared" si="14"/>
        <v>100</v>
      </c>
      <c r="X36" s="1812"/>
      <c r="Y36" s="3176"/>
      <c r="Z36" s="1813" t="str">
        <f t="shared" si="15"/>
        <v>公共部分装修</v>
      </c>
      <c r="AA36" s="1810">
        <f t="shared" si="3"/>
        <v>1</v>
      </c>
      <c r="AB36" s="1810">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0"/>
      <c r="Q37" s="1809" t="str">
        <f t="shared" si="11"/>
        <v>成新度</v>
      </c>
      <c r="R37" s="774" t="s">
        <v>17</v>
      </c>
      <c r="S37" s="775" t="e">
        <f t="shared" si="12"/>
        <v>#N/A</v>
      </c>
      <c r="T37" s="774" t="s">
        <v>17</v>
      </c>
      <c r="U37" s="775" t="e">
        <f t="shared" si="13"/>
        <v>#N/A</v>
      </c>
      <c r="V37" s="774" t="s">
        <v>17</v>
      </c>
      <c r="W37" s="775" t="e">
        <f t="shared" si="14"/>
        <v>#N/A</v>
      </c>
      <c r="X37" s="1812"/>
      <c r="Y37" s="3176"/>
      <c r="Z37" s="1813" t="str">
        <f t="shared" si="15"/>
        <v>成新度</v>
      </c>
      <c r="AA37" s="1810" t="e">
        <f t="shared" si="3"/>
        <v>#N/A</v>
      </c>
      <c r="AB37" s="1810"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0"/>
      <c r="Q38" s="1794"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0" t="s">
        <v>2560</v>
      </c>
      <c r="Q39" s="1809" t="str">
        <f t="shared" si="11"/>
        <v>物业管理</v>
      </c>
      <c r="R39" s="774" t="s">
        <v>17</v>
      </c>
      <c r="S39" s="775">
        <f t="shared" si="12"/>
        <v>100</v>
      </c>
      <c r="T39" s="774" t="s">
        <v>17</v>
      </c>
      <c r="U39" s="775">
        <f t="shared" si="13"/>
        <v>100</v>
      </c>
      <c r="V39" s="774" t="s">
        <v>17</v>
      </c>
      <c r="W39" s="775">
        <f t="shared" si="14"/>
        <v>100</v>
      </c>
      <c r="X39" s="1812"/>
      <c r="Y39" s="3176" t="s">
        <v>2560</v>
      </c>
      <c r="Z39" s="1813" t="str">
        <f t="shared" si="15"/>
        <v>物业管理</v>
      </c>
      <c r="AA39" s="1810">
        <f t="shared" si="3"/>
        <v>1</v>
      </c>
      <c r="AB39" s="1810">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0"/>
      <c r="Q40" s="1809" t="str">
        <f t="shared" si="11"/>
        <v>市政基础设施</v>
      </c>
      <c r="R40" s="774" t="s">
        <v>17</v>
      </c>
      <c r="S40" s="775">
        <f t="shared" si="12"/>
        <v>100</v>
      </c>
      <c r="T40" s="774" t="s">
        <v>17</v>
      </c>
      <c r="U40" s="775">
        <f t="shared" si="13"/>
        <v>100</v>
      </c>
      <c r="V40" s="774" t="s">
        <v>17</v>
      </c>
      <c r="W40" s="775">
        <f t="shared" si="14"/>
        <v>100</v>
      </c>
      <c r="X40" s="1812"/>
      <c r="Y40" s="3176"/>
      <c r="Z40" s="1813" t="str">
        <f t="shared" si="15"/>
        <v>市政基础设施</v>
      </c>
      <c r="AA40" s="1810">
        <f t="shared" si="3"/>
        <v>1</v>
      </c>
      <c r="AB40" s="1810">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0"/>
      <c r="Q41" s="1809" t="str">
        <f t="shared" si="11"/>
        <v>层高</v>
      </c>
      <c r="R41" s="774" t="s">
        <v>17</v>
      </c>
      <c r="S41" s="775">
        <f t="shared" si="12"/>
        <v>100</v>
      </c>
      <c r="T41" s="774" t="s">
        <v>17</v>
      </c>
      <c r="U41" s="775">
        <f t="shared" si="13"/>
        <v>100</v>
      </c>
      <c r="V41" s="774" t="s">
        <v>17</v>
      </c>
      <c r="W41" s="775">
        <f t="shared" si="14"/>
        <v>100</v>
      </c>
      <c r="X41" s="1812"/>
      <c r="Y41" s="3176"/>
      <c r="Z41" s="1813" t="str">
        <f t="shared" si="15"/>
        <v>层高</v>
      </c>
      <c r="AA41" s="1810">
        <f t="shared" si="3"/>
        <v>1</v>
      </c>
      <c r="AB41" s="1810">
        <f t="shared" si="4"/>
        <v>1</v>
      </c>
      <c r="AC41" s="2670">
        <f t="shared" si="5"/>
        <v>1</v>
      </c>
    </row>
    <row r="42" spans="1:29" s="471" customFormat="1" ht="15">
      <c r="A42" s="468"/>
      <c r="B42" s="1811"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0"/>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0">
        <f t="shared" si="3"/>
        <v>1</v>
      </c>
      <c r="AB42" s="1810">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0"/>
      <c r="Q43" s="1809" t="str">
        <f t="shared" si="11"/>
        <v>内部装修</v>
      </c>
      <c r="R43" s="774" t="s">
        <v>17</v>
      </c>
      <c r="S43" s="775">
        <f t="shared" si="12"/>
        <v>100</v>
      </c>
      <c r="T43" s="774" t="s">
        <v>17</v>
      </c>
      <c r="U43" s="775">
        <f t="shared" si="13"/>
        <v>100</v>
      </c>
      <c r="V43" s="774" t="s">
        <v>17</v>
      </c>
      <c r="W43" s="775">
        <f t="shared" si="14"/>
        <v>100</v>
      </c>
      <c r="X43" s="1812"/>
      <c r="Y43" s="3176"/>
      <c r="Z43" s="1813" t="str">
        <f t="shared" si="15"/>
        <v>内部装修</v>
      </c>
      <c r="AA43" s="1810">
        <f t="shared" si="3"/>
        <v>1</v>
      </c>
      <c r="AB43" s="1810">
        <f t="shared" si="4"/>
        <v>1</v>
      </c>
      <c r="AC43" s="2670">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40"/>
      <c r="Q44" s="1809" t="str">
        <f t="shared" si="11"/>
        <v>内部装修维护情况</v>
      </c>
      <c r="R44" s="774" t="s">
        <v>17</v>
      </c>
      <c r="S44" s="775">
        <f t="shared" si="12"/>
        <v>100</v>
      </c>
      <c r="T44" s="774" t="s">
        <v>17</v>
      </c>
      <c r="U44" s="775">
        <f t="shared" si="13"/>
        <v>100</v>
      </c>
      <c r="V44" s="774" t="s">
        <v>17</v>
      </c>
      <c r="W44" s="775">
        <f t="shared" si="14"/>
        <v>100</v>
      </c>
      <c r="X44" s="1812"/>
      <c r="Y44" s="3176"/>
      <c r="Z44" s="1813" t="str">
        <f t="shared" si="15"/>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0"/>
      <c r="Q45" s="1794">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0"/>
      <c r="Q46" s="1809">
        <f t="shared" si="11"/>
        <v>111</v>
      </c>
      <c r="R46" s="774" t="s">
        <v>17</v>
      </c>
      <c r="S46" s="775">
        <f t="shared" si="12"/>
        <v>100</v>
      </c>
      <c r="T46" s="774" t="s">
        <v>17</v>
      </c>
      <c r="U46" s="775">
        <f t="shared" si="13"/>
        <v>100</v>
      </c>
      <c r="V46" s="774" t="s">
        <v>17</v>
      </c>
      <c r="W46" s="775">
        <f t="shared" si="14"/>
        <v>100</v>
      </c>
      <c r="X46" s="1812"/>
      <c r="Y46" s="3176"/>
      <c r="Z46" s="1813">
        <f t="shared" si="15"/>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1"/>
      <c r="Q47" s="1809">
        <f t="shared" si="11"/>
        <v>111</v>
      </c>
      <c r="R47" s="774" t="s">
        <v>17</v>
      </c>
      <c r="S47" s="775">
        <f t="shared" si="12"/>
        <v>100</v>
      </c>
      <c r="T47" s="774" t="s">
        <v>17</v>
      </c>
      <c r="U47" s="775">
        <f t="shared" si="13"/>
        <v>100</v>
      </c>
      <c r="V47" s="774" t="s">
        <v>17</v>
      </c>
      <c r="W47" s="775">
        <f t="shared" si="14"/>
        <v>100</v>
      </c>
      <c r="X47" s="1812"/>
      <c r="Y47" s="3242"/>
      <c r="Z47" s="1813">
        <f t="shared" si="15"/>
        <v>111</v>
      </c>
      <c r="AA47" s="1810">
        <f t="shared" si="3"/>
        <v>1</v>
      </c>
      <c r="AB47" s="1810">
        <f t="shared" si="4"/>
        <v>1</v>
      </c>
      <c r="AC47" s="2670">
        <f t="shared" si="5"/>
        <v>1</v>
      </c>
    </row>
    <row r="48" spans="1:29" ht="15">
      <c r="A48" s="479" t="s">
        <v>2572</v>
      </c>
      <c r="B48" s="480"/>
      <c r="C48" s="1407" t="s">
        <v>1</v>
      </c>
      <c r="D48" s="1408"/>
      <c r="E48" s="1409"/>
      <c r="F48" s="1410"/>
      <c r="G48" s="1411"/>
      <c r="H48" s="1412"/>
      <c r="I48" s="1409"/>
      <c r="J48" s="485"/>
      <c r="K48" s="783"/>
      <c r="L48" s="1143"/>
      <c r="M48" s="1131"/>
      <c r="N48" s="1131"/>
      <c r="O48" s="1131"/>
      <c r="P48" s="3170" t="str">
        <f>A48</f>
        <v>成交单价（元/平方米）</v>
      </c>
      <c r="Q48" s="3171"/>
      <c r="R48" s="3238">
        <f>E48</f>
        <v>0</v>
      </c>
      <c r="S48" s="3238"/>
      <c r="T48" s="3238">
        <f>G48</f>
        <v>0</v>
      </c>
      <c r="U48" s="3238"/>
      <c r="V48" s="3238">
        <f>I48</f>
        <v>0</v>
      </c>
      <c r="W48" s="3238"/>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170" t="str">
        <f>A49</f>
        <v>比较价值（元/平方米）</v>
      </c>
      <c r="Q49" s="3171"/>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45" t="str">
        <f>A50</f>
        <v>估价对象XX用房的比较价值（楼面单价，元/平方米）</v>
      </c>
      <c r="Q50" s="3246"/>
      <c r="R50" s="3247" t="e">
        <f>IF(F1="售价",ROUND(AVERAGE(R49:V49),0),ROUND(AVERAGE(R49:V49),1))</f>
        <v>#DIV/0!</v>
      </c>
      <c r="S50" s="3247"/>
      <c r="T50" s="3247"/>
      <c r="U50" s="3247"/>
      <c r="V50" s="3247"/>
      <c r="W50" s="3247"/>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7"/>
      <c r="Q58" s="504"/>
    </row>
    <row r="59" spans="1:29" s="508" customFormat="1" ht="15">
      <c r="A59" s="505" t="s">
        <v>2543</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2583</v>
      </c>
      <c r="B64" s="528" t="s">
        <v>2549</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2694</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2558</v>
      </c>
      <c r="B101" s="528" t="s">
        <v>2607</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2609</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2611</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2612</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2613</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2696</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2615</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芜湖市宝能泰盛投资有限公司：</v>
      </c>
    </row>
    <row r="4" spans="1:1" ht="54">
      <c r="A4" s="1947" t="str">
        <f>"受贵公司委托，我公司对"&amp;项目基本情况!S1&amp;"进行了预评估。"</f>
        <v>受贵公司委托，我公司对安徽省芜湖市鸠江区江北集中区东至和声路、北至长河南路商务金融用地出让国有建设用地使用权及在建建筑物房地产抵押价值进行了预评估。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芜湖市鸠江区江北集中区东至和声路、北至长河南路商务金融用地出让国有建设用地使用权及在建建筑物房地产，为所有。根据《国有土地使用证》[]，估价对象（分摊）出让国有建设用地使用权面积为84185平方米，建筑面积为109861.36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芜湖市鸠江区江北集中区东至和声路、北至长河南路商务金融用地出让国有建设用地使用权及在建建筑物房地产,为开发建设的商业项目，该项目尚在开发建设中。根据《国有土地使用证》[]，估价对象（分摊）出让国有建设用地使用权面积为84185平方米，规划建筑面积为109861.36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2019年6月14日（评估专业人员实地查勘之日）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665" t="s">
        <v>2697</v>
      </c>
      <c r="C1" s="1619" t="s">
        <v>2525</v>
      </c>
      <c r="D1" s="1620"/>
      <c r="E1" s="1629"/>
      <c r="F1" s="2580"/>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8" t="e">
        <f ca="1">IF(C2="——",ROUND(C43*D3/10000,0),ROUND(C43*D3/10000,0)-D2)</f>
        <v>#DIV/0!</v>
      </c>
      <c r="C2" s="2582"/>
      <c r="D2" s="1124" t="e">
        <f ca="1">SUMIF(INDIRECT("'"&amp;F2&amp;"'"&amp;"!A:A"),"承租人权益价值",INDIRECT("'"&amp;F2&amp;"'"&amp;"!c:c"))</f>
        <v>#REF!</v>
      </c>
      <c r="E2" s="2583" t="s">
        <v>2326</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109861.36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68" t="s">
        <v>2641</v>
      </c>
      <c r="D4" s="3181"/>
      <c r="E4" s="3182" t="s">
        <v>2642</v>
      </c>
      <c r="F4" s="3183"/>
      <c r="G4" s="3168" t="s">
        <v>2643</v>
      </c>
      <c r="H4" s="3181"/>
      <c r="I4" s="3168" t="s">
        <v>2644</v>
      </c>
      <c r="J4" s="3181"/>
      <c r="K4" s="610" t="s">
        <v>2645</v>
      </c>
      <c r="L4" s="1130"/>
      <c r="M4" s="1131"/>
      <c r="N4" s="1131"/>
      <c r="O4" s="1131"/>
      <c r="P4" s="3184" t="s">
        <v>2646</v>
      </c>
      <c r="Q4" s="3185"/>
      <c r="R4" s="3190" t="s">
        <v>2642</v>
      </c>
      <c r="S4" s="3191"/>
      <c r="T4" s="3190" t="s">
        <v>2643</v>
      </c>
      <c r="U4" s="3191"/>
      <c r="V4" s="3177" t="s">
        <v>2644</v>
      </c>
      <c r="W4" s="3177"/>
      <c r="X4" s="1812"/>
      <c r="Y4" s="3190" t="s">
        <v>2646</v>
      </c>
      <c r="Z4" s="3191"/>
      <c r="AA4" s="3178" t="s">
        <v>2642</v>
      </c>
      <c r="AB4" s="3179" t="s">
        <v>2643</v>
      </c>
      <c r="AC4" s="3178" t="s">
        <v>2644</v>
      </c>
    </row>
    <row r="5" spans="1:29" ht="15">
      <c r="A5" s="404"/>
      <c r="B5" s="405"/>
      <c r="C5" s="3198" t="s">
        <v>2537</v>
      </c>
      <c r="D5" s="3199"/>
      <c r="E5" s="3205" t="s">
        <v>2538</v>
      </c>
      <c r="F5" s="3206"/>
      <c r="G5" s="3198" t="s">
        <v>2539</v>
      </c>
      <c r="H5" s="3199"/>
      <c r="I5" s="3198" t="s">
        <v>2540</v>
      </c>
      <c r="J5" s="3199"/>
      <c r="K5" s="610"/>
      <c r="L5" s="1130"/>
      <c r="M5" s="1131"/>
      <c r="N5" s="1131"/>
      <c r="O5" s="1131"/>
      <c r="P5" s="3186"/>
      <c r="Q5" s="3187"/>
      <c r="R5" s="3192"/>
      <c r="S5" s="3193"/>
      <c r="T5" s="3192"/>
      <c r="U5" s="3193"/>
      <c r="V5" s="3177"/>
      <c r="W5" s="3177"/>
      <c r="X5" s="1812"/>
      <c r="Y5" s="3192"/>
      <c r="Z5" s="3193"/>
      <c r="AA5" s="3179"/>
      <c r="AB5" s="3179"/>
      <c r="AC5" s="3179"/>
    </row>
    <row r="6" spans="1:29" ht="15.75" thickBot="1">
      <c r="A6" s="406"/>
      <c r="B6" s="407"/>
      <c r="C6" s="3196" t="s">
        <v>2541</v>
      </c>
      <c r="D6" s="3197"/>
      <c r="E6" s="3203" t="s">
        <v>2541</v>
      </c>
      <c r="F6" s="3204"/>
      <c r="G6" s="3196" t="s">
        <v>2541</v>
      </c>
      <c r="H6" s="3197"/>
      <c r="I6" s="3196" t="s">
        <v>2541</v>
      </c>
      <c r="J6" s="3197"/>
      <c r="K6" s="610" t="s">
        <v>2542</v>
      </c>
      <c r="L6" s="1130"/>
      <c r="M6" s="1131"/>
      <c r="N6" s="1131"/>
      <c r="O6" s="1131"/>
      <c r="P6" s="3188"/>
      <c r="Q6" s="3189"/>
      <c r="R6" s="3192"/>
      <c r="S6" s="3193"/>
      <c r="T6" s="3194"/>
      <c r="U6" s="3195"/>
      <c r="V6" s="3177"/>
      <c r="W6" s="3177"/>
      <c r="X6" s="1812"/>
      <c r="Y6" s="3194"/>
      <c r="Z6" s="3195"/>
      <c r="AA6" s="3180"/>
      <c r="AB6" s="3180"/>
      <c r="AC6" s="3180"/>
    </row>
    <row r="7" spans="1:29" s="117" customFormat="1" ht="15.75" thickBot="1">
      <c r="A7" s="408" t="s">
        <v>2543</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0" t="s">
        <v>2544</v>
      </c>
      <c r="Q7" s="3202"/>
      <c r="R7" s="770" t="s">
        <v>17</v>
      </c>
      <c r="S7" s="771">
        <f t="shared" ref="S7:S15" si="0">F7</f>
        <v>0</v>
      </c>
      <c r="T7" s="770" t="s">
        <v>17</v>
      </c>
      <c r="U7" s="771">
        <f t="shared" ref="U7:U15" si="1">H7</f>
        <v>0</v>
      </c>
      <c r="V7" s="770" t="s">
        <v>17</v>
      </c>
      <c r="W7" s="771">
        <f t="shared" ref="W7:W15" si="2">J7</f>
        <v>0</v>
      </c>
      <c r="X7" s="772"/>
      <c r="Y7" s="3200" t="s">
        <v>2544</v>
      </c>
      <c r="Z7" s="3201"/>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0" t="s">
        <v>2547</v>
      </c>
      <c r="Q8" s="3201"/>
      <c r="R8" s="770" t="s">
        <v>17</v>
      </c>
      <c r="S8" s="771">
        <f t="shared" si="0"/>
        <v>0</v>
      </c>
      <c r="T8" s="770" t="s">
        <v>17</v>
      </c>
      <c r="U8" s="771">
        <f t="shared" si="1"/>
        <v>0</v>
      </c>
      <c r="V8" s="770" t="s">
        <v>17</v>
      </c>
      <c r="W8" s="771">
        <f t="shared" si="2"/>
        <v>0</v>
      </c>
      <c r="X8" s="772"/>
      <c r="Y8" s="3200" t="s">
        <v>2547</v>
      </c>
      <c r="Z8" s="3201"/>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1" t="s">
        <v>2550</v>
      </c>
      <c r="Q9" s="1794"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1"/>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1"/>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71"/>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71"/>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71"/>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3" t="s">
        <v>2555</v>
      </c>
      <c r="Q15" s="1809" t="str">
        <f t="shared" si="6"/>
        <v>产业集聚程度</v>
      </c>
      <c r="R15" s="774" t="s">
        <v>17</v>
      </c>
      <c r="S15" s="775">
        <f t="shared" si="0"/>
        <v>100</v>
      </c>
      <c r="T15" s="774" t="s">
        <v>17</v>
      </c>
      <c r="U15" s="775">
        <f t="shared" si="1"/>
        <v>100</v>
      </c>
      <c r="V15" s="774" t="s">
        <v>17</v>
      </c>
      <c r="W15" s="775">
        <f t="shared" si="2"/>
        <v>100</v>
      </c>
      <c r="X15" s="1812"/>
      <c r="Y15" s="3173"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4"/>
      <c r="Q16" s="1809"/>
      <c r="R16" s="774"/>
      <c r="S16" s="775"/>
      <c r="T16" s="774"/>
      <c r="U16" s="775"/>
      <c r="V16" s="774"/>
      <c r="W16" s="775"/>
      <c r="X16" s="1812"/>
      <c r="Y16" s="3174"/>
      <c r="Z16" s="1813"/>
      <c r="AA16" s="1810">
        <v>1</v>
      </c>
      <c r="AB16" s="1810">
        <v>1</v>
      </c>
      <c r="AC16" s="1810">
        <v>1</v>
      </c>
    </row>
    <row r="17" spans="1:29" ht="85.5">
      <c r="A17" s="428"/>
      <c r="B17" s="451" t="s">
        <v>2094</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4"/>
      <c r="Q17" s="1809" t="str">
        <f>B17</f>
        <v>交通便捷度</v>
      </c>
      <c r="R17" s="774" t="s">
        <v>17</v>
      </c>
      <c r="S17" s="775">
        <f>F17</f>
        <v>100</v>
      </c>
      <c r="T17" s="774" t="s">
        <v>17</v>
      </c>
      <c r="U17" s="775">
        <f>H17</f>
        <v>100</v>
      </c>
      <c r="V17" s="774" t="s">
        <v>17</v>
      </c>
      <c r="W17" s="775">
        <f>J17</f>
        <v>100</v>
      </c>
      <c r="X17" s="1812"/>
      <c r="Y17" s="3174"/>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174"/>
      <c r="Q18" s="1809"/>
      <c r="R18" s="774"/>
      <c r="S18" s="775"/>
      <c r="T18" s="774"/>
      <c r="U18" s="775"/>
      <c r="V18" s="774"/>
      <c r="W18" s="775"/>
      <c r="X18" s="1812"/>
      <c r="Y18" s="3174"/>
      <c r="Z18" s="1813"/>
      <c r="AA18" s="1810">
        <v>1</v>
      </c>
      <c r="AB18" s="1810">
        <v>1</v>
      </c>
      <c r="AC18" s="1810">
        <v>1</v>
      </c>
    </row>
    <row r="19" spans="1:29" ht="42.75">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4"/>
      <c r="Q19" s="1809" t="str">
        <f>B19</f>
        <v>公共配套设施</v>
      </c>
      <c r="R19" s="774" t="s">
        <v>17</v>
      </c>
      <c r="S19" s="775">
        <f>F19</f>
        <v>100</v>
      </c>
      <c r="T19" s="774" t="s">
        <v>17</v>
      </c>
      <c r="U19" s="775">
        <f>H19</f>
        <v>100</v>
      </c>
      <c r="V19" s="774" t="s">
        <v>17</v>
      </c>
      <c r="W19" s="775">
        <f>J19</f>
        <v>100</v>
      </c>
      <c r="X19" s="1812"/>
      <c r="Y19" s="3174"/>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174"/>
      <c r="Q20" s="1809"/>
      <c r="R20" s="774"/>
      <c r="S20" s="775"/>
      <c r="T20" s="774"/>
      <c r="U20" s="775"/>
      <c r="V20" s="774"/>
      <c r="W20" s="775"/>
      <c r="X20" s="1812"/>
      <c r="Y20" s="3174"/>
      <c r="Z20" s="1813"/>
      <c r="AA20" s="1810">
        <v>1</v>
      </c>
      <c r="AB20" s="1810">
        <v>1</v>
      </c>
      <c r="AC20" s="1810">
        <v>1</v>
      </c>
    </row>
    <row r="21" spans="1:29" ht="28.5">
      <c r="A21" s="428"/>
      <c r="B21" s="1384"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4"/>
      <c r="Q21" s="1809" t="str">
        <f>B21</f>
        <v>基础设施水平</v>
      </c>
      <c r="R21" s="774" t="s">
        <v>17</v>
      </c>
      <c r="S21" s="775">
        <f>F21</f>
        <v>100</v>
      </c>
      <c r="T21" s="774" t="s">
        <v>17</v>
      </c>
      <c r="U21" s="775">
        <f>H21</f>
        <v>100</v>
      </c>
      <c r="V21" s="774" t="s">
        <v>17</v>
      </c>
      <c r="W21" s="775">
        <f>J21</f>
        <v>100</v>
      </c>
      <c r="X21" s="1812"/>
      <c r="Y21" s="3174"/>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174"/>
      <c r="Q22" s="1809"/>
      <c r="R22" s="774"/>
      <c r="S22" s="775"/>
      <c r="T22" s="774"/>
      <c r="U22" s="775"/>
      <c r="V22" s="774"/>
      <c r="W22" s="775"/>
      <c r="X22" s="1812"/>
      <c r="Y22" s="3174"/>
      <c r="Z22" s="1813"/>
      <c r="AA22" s="1810">
        <v>1</v>
      </c>
      <c r="AB22" s="1810">
        <v>1</v>
      </c>
      <c r="AC22" s="1810">
        <v>1</v>
      </c>
    </row>
    <row r="23" spans="1:29" ht="71.25">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4"/>
      <c r="Q23" s="1809" t="str">
        <f>B23</f>
        <v>环境质量</v>
      </c>
      <c r="R23" s="774" t="s">
        <v>17</v>
      </c>
      <c r="S23" s="775">
        <f>F23</f>
        <v>100</v>
      </c>
      <c r="T23" s="774" t="s">
        <v>17</v>
      </c>
      <c r="U23" s="775">
        <f>H23</f>
        <v>100</v>
      </c>
      <c r="V23" s="774" t="s">
        <v>17</v>
      </c>
      <c r="W23" s="775">
        <f>J23</f>
        <v>100</v>
      </c>
      <c r="X23" s="1812"/>
      <c r="Y23" s="3174"/>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174"/>
      <c r="Q24" s="1809"/>
      <c r="R24" s="774"/>
      <c r="S24" s="775"/>
      <c r="T24" s="774"/>
      <c r="U24" s="775"/>
      <c r="V24" s="774"/>
      <c r="W24" s="775"/>
      <c r="X24" s="1812"/>
      <c r="Y24" s="317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4"/>
      <c r="Q25" s="1809">
        <f>B25</f>
        <v>111</v>
      </c>
      <c r="R25" s="774" t="s">
        <v>17</v>
      </c>
      <c r="S25" s="775">
        <f>F25</f>
        <v>100</v>
      </c>
      <c r="T25" s="774" t="s">
        <v>17</v>
      </c>
      <c r="U25" s="775">
        <f>H25</f>
        <v>100</v>
      </c>
      <c r="V25" s="774" t="s">
        <v>17</v>
      </c>
      <c r="W25" s="775">
        <f>J25</f>
        <v>100</v>
      </c>
      <c r="X25" s="1812"/>
      <c r="Y25" s="317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4"/>
      <c r="Q26" s="1809">
        <f t="shared" ref="Q26:Q40" si="11">B26</f>
        <v>111</v>
      </c>
      <c r="R26" s="774" t="s">
        <v>17</v>
      </c>
      <c r="S26" s="775">
        <f>F26</f>
        <v>100</v>
      </c>
      <c r="T26" s="774" t="s">
        <v>17</v>
      </c>
      <c r="U26" s="775">
        <f>H26</f>
        <v>100</v>
      </c>
      <c r="V26" s="774" t="s">
        <v>17</v>
      </c>
      <c r="W26" s="775">
        <f>J26</f>
        <v>100</v>
      </c>
      <c r="X26" s="1812"/>
      <c r="Y26" s="317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4"/>
      <c r="Q27" s="1794">
        <f t="shared" si="11"/>
        <v>111</v>
      </c>
      <c r="R27" s="770" t="s">
        <v>17</v>
      </c>
      <c r="S27" s="771">
        <f>F27</f>
        <v>100</v>
      </c>
      <c r="T27" s="770" t="s">
        <v>17</v>
      </c>
      <c r="U27" s="771">
        <f>H27</f>
        <v>100</v>
      </c>
      <c r="V27" s="770" t="s">
        <v>17</v>
      </c>
      <c r="W27" s="771">
        <f>J27</f>
        <v>100</v>
      </c>
      <c r="X27" s="772"/>
      <c r="Y27" s="3174"/>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4"/>
      <c r="Q28" s="1809">
        <f t="shared" si="11"/>
        <v>111</v>
      </c>
      <c r="R28" s="774" t="s">
        <v>17</v>
      </c>
      <c r="S28" s="775">
        <f t="shared" ref="S28:S40" si="12">F28</f>
        <v>100</v>
      </c>
      <c r="T28" s="774" t="s">
        <v>17</v>
      </c>
      <c r="U28" s="775">
        <f t="shared" ref="U28:U40" si="13">H28</f>
        <v>100</v>
      </c>
      <c r="V28" s="774" t="s">
        <v>17</v>
      </c>
      <c r="W28" s="775">
        <f t="shared" ref="W28:W40" si="14">J28</f>
        <v>100</v>
      </c>
      <c r="X28" s="1812"/>
      <c r="Y28" s="3174"/>
      <c r="Z28" s="1813">
        <f t="shared" ref="Z28:Z40" si="15">Q28</f>
        <v>111</v>
      </c>
      <c r="AA28" s="1810">
        <f t="shared" si="3"/>
        <v>1</v>
      </c>
      <c r="AB28" s="1810">
        <f t="shared" si="4"/>
        <v>1</v>
      </c>
      <c r="AC28" s="1810">
        <f t="shared" si="5"/>
        <v>1</v>
      </c>
    </row>
    <row r="29" spans="1:29" ht="28.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175" t="s">
        <v>2560</v>
      </c>
      <c r="Q29" s="1809" t="str">
        <f t="shared" si="11"/>
        <v>建筑类型</v>
      </c>
      <c r="R29" s="774" t="s">
        <v>17</v>
      </c>
      <c r="S29" s="775">
        <f t="shared" si="12"/>
        <v>100</v>
      </c>
      <c r="T29" s="774" t="s">
        <v>17</v>
      </c>
      <c r="U29" s="775">
        <f t="shared" si="13"/>
        <v>100</v>
      </c>
      <c r="V29" s="774" t="s">
        <v>17</v>
      </c>
      <c r="W29" s="775">
        <f t="shared" si="14"/>
        <v>100</v>
      </c>
      <c r="X29" s="1812"/>
      <c r="Y29" s="3176"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6"/>
      <c r="Q31" s="1809" t="str">
        <f t="shared" si="11"/>
        <v>建筑结构</v>
      </c>
      <c r="R31" s="774" t="s">
        <v>17</v>
      </c>
      <c r="S31" s="775">
        <f t="shared" si="12"/>
        <v>100</v>
      </c>
      <c r="T31" s="774" t="s">
        <v>17</v>
      </c>
      <c r="U31" s="775">
        <f t="shared" si="13"/>
        <v>100</v>
      </c>
      <c r="V31" s="774" t="s">
        <v>17</v>
      </c>
      <c r="W31" s="775">
        <f t="shared" si="14"/>
        <v>100</v>
      </c>
      <c r="X31" s="1812"/>
      <c r="Y31" s="3176"/>
      <c r="Z31" s="1813" t="str">
        <f t="shared" si="15"/>
        <v>建筑结构</v>
      </c>
      <c r="AA31" s="1810">
        <f t="shared" si="3"/>
        <v>1</v>
      </c>
      <c r="AB31" s="1810">
        <f t="shared" si="4"/>
        <v>1</v>
      </c>
      <c r="AC31" s="1810">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6"/>
      <c r="Q32" s="1809" t="str">
        <f t="shared" si="11"/>
        <v>公共部分装修</v>
      </c>
      <c r="R32" s="774" t="s">
        <v>17</v>
      </c>
      <c r="S32" s="775">
        <f t="shared" si="12"/>
        <v>100</v>
      </c>
      <c r="T32" s="774" t="s">
        <v>17</v>
      </c>
      <c r="U32" s="775">
        <f t="shared" si="13"/>
        <v>100</v>
      </c>
      <c r="V32" s="774" t="s">
        <v>17</v>
      </c>
      <c r="W32" s="775">
        <f t="shared" si="14"/>
        <v>100</v>
      </c>
      <c r="X32" s="1812"/>
      <c r="Y32" s="3176"/>
      <c r="Z32" s="1813" t="str">
        <f t="shared" si="15"/>
        <v>公共部分装修</v>
      </c>
      <c r="AA32" s="1810">
        <f t="shared" si="3"/>
        <v>1</v>
      </c>
      <c r="AB32" s="1810">
        <f t="shared" si="4"/>
        <v>1</v>
      </c>
      <c r="AC32" s="1810">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6"/>
      <c r="Q33" s="1809" t="str">
        <f t="shared" si="11"/>
        <v>成新度</v>
      </c>
      <c r="R33" s="774" t="s">
        <v>17</v>
      </c>
      <c r="S33" s="775" t="e">
        <f t="shared" si="12"/>
        <v>#N/A</v>
      </c>
      <c r="T33" s="774" t="s">
        <v>17</v>
      </c>
      <c r="U33" s="775" t="e">
        <f t="shared" si="13"/>
        <v>#N/A</v>
      </c>
      <c r="V33" s="774" t="s">
        <v>17</v>
      </c>
      <c r="W33" s="775" t="e">
        <f t="shared" si="14"/>
        <v>#N/A</v>
      </c>
      <c r="X33" s="1812"/>
      <c r="Y33" s="3176"/>
      <c r="Z33" s="1813" t="str">
        <f t="shared" si="15"/>
        <v>成新度</v>
      </c>
      <c r="AA33" s="1810" t="e">
        <f t="shared" si="3"/>
        <v>#N/A</v>
      </c>
      <c r="AB33" s="1810" t="e">
        <f t="shared" si="4"/>
        <v>#N/A</v>
      </c>
      <c r="AC33" s="1810"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6"/>
      <c r="Q34" s="1794"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6" t="s">
        <v>2560</v>
      </c>
      <c r="Q35" s="1809" t="str">
        <f t="shared" si="11"/>
        <v>市政基础设施</v>
      </c>
      <c r="R35" s="774" t="s">
        <v>17</v>
      </c>
      <c r="S35" s="775">
        <f t="shared" si="12"/>
        <v>100</v>
      </c>
      <c r="T35" s="774" t="s">
        <v>17</v>
      </c>
      <c r="U35" s="775">
        <f t="shared" si="13"/>
        <v>100</v>
      </c>
      <c r="V35" s="774" t="s">
        <v>17</v>
      </c>
      <c r="W35" s="775">
        <f t="shared" si="14"/>
        <v>100</v>
      </c>
      <c r="X35" s="1812"/>
      <c r="Y35" s="3176" t="s">
        <v>2560</v>
      </c>
      <c r="Z35" s="1813" t="str">
        <f t="shared" si="15"/>
        <v>市政基础设施</v>
      </c>
      <c r="AA35" s="1810">
        <f t="shared" si="3"/>
        <v>1</v>
      </c>
      <c r="AB35" s="1810">
        <f t="shared" si="4"/>
        <v>1</v>
      </c>
      <c r="AC35" s="1810">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6"/>
      <c r="Q36" s="1809" t="str">
        <f t="shared" si="11"/>
        <v>内部装修</v>
      </c>
      <c r="R36" s="774" t="s">
        <v>17</v>
      </c>
      <c r="S36" s="775">
        <f t="shared" si="12"/>
        <v>100</v>
      </c>
      <c r="T36" s="774" t="s">
        <v>17</v>
      </c>
      <c r="U36" s="775">
        <f t="shared" si="13"/>
        <v>100</v>
      </c>
      <c r="V36" s="774" t="s">
        <v>17</v>
      </c>
      <c r="W36" s="775">
        <f t="shared" si="14"/>
        <v>100</v>
      </c>
      <c r="X36" s="1812"/>
      <c r="Y36" s="3176"/>
      <c r="Z36" s="1813" t="str">
        <f t="shared" si="15"/>
        <v>内部装修</v>
      </c>
      <c r="AA36" s="1810">
        <f t="shared" si="3"/>
        <v>1</v>
      </c>
      <c r="AB36" s="1810">
        <f t="shared" si="4"/>
        <v>1</v>
      </c>
      <c r="AC36" s="1810">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6"/>
      <c r="Q37" s="1809" t="str">
        <f t="shared" si="11"/>
        <v>内部装修状况</v>
      </c>
      <c r="R37" s="774" t="s">
        <v>17</v>
      </c>
      <c r="S37" s="775">
        <f t="shared" si="12"/>
        <v>100</v>
      </c>
      <c r="T37" s="774" t="s">
        <v>17</v>
      </c>
      <c r="U37" s="775">
        <f t="shared" si="13"/>
        <v>100</v>
      </c>
      <c r="V37" s="774" t="s">
        <v>17</v>
      </c>
      <c r="W37" s="775">
        <f t="shared" si="14"/>
        <v>100</v>
      </c>
      <c r="X37" s="1812"/>
      <c r="Y37" s="317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6"/>
      <c r="Q39" s="1809">
        <f t="shared" si="11"/>
        <v>111</v>
      </c>
      <c r="R39" s="774" t="s">
        <v>17</v>
      </c>
      <c r="S39" s="775">
        <f t="shared" si="12"/>
        <v>100</v>
      </c>
      <c r="T39" s="774" t="s">
        <v>17</v>
      </c>
      <c r="U39" s="775">
        <f t="shared" si="13"/>
        <v>100</v>
      </c>
      <c r="V39" s="774" t="s">
        <v>17</v>
      </c>
      <c r="W39" s="775">
        <f t="shared" si="14"/>
        <v>100</v>
      </c>
      <c r="X39" s="1812"/>
      <c r="Y39" s="3176"/>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2"/>
      <c r="Q40" s="1809">
        <f t="shared" si="11"/>
        <v>111</v>
      </c>
      <c r="R40" s="774" t="s">
        <v>17</v>
      </c>
      <c r="S40" s="775">
        <f t="shared" si="12"/>
        <v>100</v>
      </c>
      <c r="T40" s="774" t="s">
        <v>17</v>
      </c>
      <c r="U40" s="775">
        <f t="shared" si="13"/>
        <v>100</v>
      </c>
      <c r="V40" s="774" t="s">
        <v>17</v>
      </c>
      <c r="W40" s="775">
        <f t="shared" si="14"/>
        <v>100</v>
      </c>
      <c r="X40" s="1812"/>
      <c r="Y40" s="3242"/>
      <c r="Z40" s="1813">
        <f t="shared" si="15"/>
        <v>111</v>
      </c>
      <c r="AA40" s="1810">
        <f t="shared" si="3"/>
        <v>1</v>
      </c>
      <c r="AB40" s="1810">
        <f t="shared" si="4"/>
        <v>1</v>
      </c>
      <c r="AC40" s="1810">
        <f t="shared" si="5"/>
        <v>1</v>
      </c>
    </row>
    <row r="41" spans="1:29" ht="15">
      <c r="A41" s="479" t="s">
        <v>2572</v>
      </c>
      <c r="B41" s="480"/>
      <c r="C41" s="1407" t="s">
        <v>1</v>
      </c>
      <c r="D41" s="1408"/>
      <c r="E41" s="1409"/>
      <c r="F41" s="1410"/>
      <c r="G41" s="1411"/>
      <c r="H41" s="1412"/>
      <c r="I41" s="1409"/>
      <c r="J41" s="1412"/>
      <c r="K41" s="783"/>
      <c r="L41" s="1143"/>
      <c r="M41" s="1144"/>
      <c r="N41" s="1131"/>
      <c r="O41" s="1144"/>
      <c r="P41" s="3171" t="str">
        <f>A41</f>
        <v>成交单价（元/平方米）</v>
      </c>
      <c r="Q41" s="3171"/>
      <c r="R41" s="3238">
        <f>E41</f>
        <v>0</v>
      </c>
      <c r="S41" s="3238"/>
      <c r="T41" s="3238">
        <f>G41</f>
        <v>0</v>
      </c>
      <c r="U41" s="3238"/>
      <c r="V41" s="3238">
        <f>I41</f>
        <v>0</v>
      </c>
      <c r="W41" s="3238"/>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171" t="str">
        <f>A42</f>
        <v>比较价值（元/平方米）</v>
      </c>
      <c r="Q42" s="3171"/>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165" t="str">
        <f>A43</f>
        <v>估价对象XX用房的比较价值（楼面单价，元/平方米）</v>
      </c>
      <c r="Q43" s="3166"/>
      <c r="R43" s="3237" t="e">
        <f>IF(F1="售价",ROUND(AVERAGE(R42:V42),0),ROUND(AVERAGE(R42:V42),1))</f>
        <v>#DIV/0!</v>
      </c>
      <c r="S43" s="3237"/>
      <c r="T43" s="3237"/>
      <c r="U43" s="3237"/>
      <c r="V43" s="3237"/>
      <c r="W43" s="323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2702</v>
      </c>
      <c r="B1" s="1618"/>
      <c r="C1" s="1619" t="s">
        <v>2525</v>
      </c>
      <c r="D1" s="1620"/>
      <c r="E1" s="1621"/>
      <c r="F1" s="2580"/>
      <c r="G1" s="1622" t="s">
        <v>2638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2325</v>
      </c>
      <c r="B2" s="1418" t="e">
        <f ca="1">IF(C2="——",IF(B37="元/平方米",ROUND(C39*D3/10000,0),ROUND(F3*C39/10000,0)),IF(B37="元/平方米",ROUND(C39*D3/10000,0),ROUND(F3*C39/10000,0))-D2)</f>
        <v>#DIV/0!</v>
      </c>
      <c r="C2" s="2582"/>
      <c r="D2" s="1124" t="e">
        <f ca="1">SUMIF(INDIRECT("'"&amp;F2&amp;"'"&amp;"!A:A"),"承租人权益价值",INDIRECT("'"&amp;F2&amp;"'"&amp;"!c:c"))</f>
        <v>#REF!</v>
      </c>
      <c r="E2" s="2583" t="s">
        <v>2326</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168" t="s">
        <v>2641</v>
      </c>
      <c r="D4" s="3181"/>
      <c r="E4" s="3182" t="s">
        <v>2642</v>
      </c>
      <c r="F4" s="3183"/>
      <c r="G4" s="3168" t="s">
        <v>2643</v>
      </c>
      <c r="H4" s="3181"/>
      <c r="I4" s="3168" t="s">
        <v>2644</v>
      </c>
      <c r="J4" s="3181"/>
      <c r="K4" s="610" t="s">
        <v>2645</v>
      </c>
      <c r="L4" s="1130"/>
      <c r="M4" s="1131"/>
      <c r="N4" s="1131"/>
      <c r="O4" s="1131"/>
      <c r="P4" s="3184" t="s">
        <v>2646</v>
      </c>
      <c r="Q4" s="3185"/>
      <c r="R4" s="3190" t="s">
        <v>2642</v>
      </c>
      <c r="S4" s="3191"/>
      <c r="T4" s="3190" t="s">
        <v>2643</v>
      </c>
      <c r="U4" s="3191"/>
      <c r="V4" s="3177" t="s">
        <v>2644</v>
      </c>
      <c r="W4" s="3177"/>
      <c r="X4" s="1812"/>
      <c r="Y4" s="3190" t="s">
        <v>2646</v>
      </c>
      <c r="Z4" s="3191"/>
      <c r="AA4" s="3178" t="s">
        <v>2642</v>
      </c>
      <c r="AB4" s="3179" t="s">
        <v>2643</v>
      </c>
      <c r="AC4" s="3178" t="s">
        <v>2644</v>
      </c>
    </row>
    <row r="5" spans="1:29" ht="15">
      <c r="A5" s="404"/>
      <c r="B5" s="405"/>
      <c r="C5" s="3198" t="s">
        <v>2537</v>
      </c>
      <c r="D5" s="3199"/>
      <c r="E5" s="3205" t="s">
        <v>2538</v>
      </c>
      <c r="F5" s="3206"/>
      <c r="G5" s="3198" t="s">
        <v>2539</v>
      </c>
      <c r="H5" s="3199"/>
      <c r="I5" s="3198" t="s">
        <v>2540</v>
      </c>
      <c r="J5" s="3199"/>
      <c r="K5" s="610"/>
      <c r="L5" s="1130"/>
      <c r="M5" s="1131"/>
      <c r="N5" s="1131"/>
      <c r="O5" s="1131"/>
      <c r="P5" s="3186"/>
      <c r="Q5" s="3187"/>
      <c r="R5" s="3192"/>
      <c r="S5" s="3193"/>
      <c r="T5" s="3192"/>
      <c r="U5" s="3193"/>
      <c r="V5" s="3177"/>
      <c r="W5" s="3177"/>
      <c r="X5" s="1812"/>
      <c r="Y5" s="3192"/>
      <c r="Z5" s="3193"/>
      <c r="AA5" s="3179"/>
      <c r="AB5" s="3179"/>
      <c r="AC5" s="3179"/>
    </row>
    <row r="6" spans="1:29" ht="15.75" thickBot="1">
      <c r="A6" s="406"/>
      <c r="B6" s="407"/>
      <c r="C6" s="3196" t="s">
        <v>2541</v>
      </c>
      <c r="D6" s="3197"/>
      <c r="E6" s="3203" t="s">
        <v>2541</v>
      </c>
      <c r="F6" s="3204"/>
      <c r="G6" s="3196" t="s">
        <v>2541</v>
      </c>
      <c r="H6" s="3197"/>
      <c r="I6" s="3196" t="s">
        <v>2541</v>
      </c>
      <c r="J6" s="3197"/>
      <c r="K6" s="610" t="s">
        <v>2542</v>
      </c>
      <c r="L6" s="1130"/>
      <c r="M6" s="1131"/>
      <c r="N6" s="1131"/>
      <c r="O6" s="1131"/>
      <c r="P6" s="3188"/>
      <c r="Q6" s="3189"/>
      <c r="R6" s="3192"/>
      <c r="S6" s="3193"/>
      <c r="T6" s="3194"/>
      <c r="U6" s="3195"/>
      <c r="V6" s="3177"/>
      <c r="W6" s="3177"/>
      <c r="X6" s="1812"/>
      <c r="Y6" s="3194"/>
      <c r="Z6" s="3195"/>
      <c r="AA6" s="3180"/>
      <c r="AB6" s="3180"/>
      <c r="AC6" s="3180"/>
    </row>
    <row r="7" spans="1:29" s="117" customFormat="1" ht="15.75" thickBot="1">
      <c r="A7" s="408" t="s">
        <v>2543</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0" t="s">
        <v>2544</v>
      </c>
      <c r="Q7" s="3202"/>
      <c r="R7" s="770" t="s">
        <v>17</v>
      </c>
      <c r="S7" s="771">
        <f t="shared" ref="S7:S14" si="0">F7</f>
        <v>0</v>
      </c>
      <c r="T7" s="770" t="s">
        <v>17</v>
      </c>
      <c r="U7" s="771">
        <f t="shared" ref="U7:U14" si="1">H7</f>
        <v>0</v>
      </c>
      <c r="V7" s="770" t="s">
        <v>17</v>
      </c>
      <c r="W7" s="771">
        <f t="shared" ref="W7:W14" si="2">J7</f>
        <v>0</v>
      </c>
      <c r="X7" s="772"/>
      <c r="Y7" s="3200" t="s">
        <v>2544</v>
      </c>
      <c r="Z7" s="3201"/>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0" t="s">
        <v>2547</v>
      </c>
      <c r="Q8" s="3201"/>
      <c r="R8" s="770" t="s">
        <v>17</v>
      </c>
      <c r="S8" s="771">
        <f t="shared" si="0"/>
        <v>0</v>
      </c>
      <c r="T8" s="770" t="s">
        <v>17</v>
      </c>
      <c r="U8" s="771">
        <f t="shared" si="1"/>
        <v>0</v>
      </c>
      <c r="V8" s="770" t="s">
        <v>17</v>
      </c>
      <c r="W8" s="771">
        <f t="shared" si="2"/>
        <v>0</v>
      </c>
      <c r="X8" s="772"/>
      <c r="Y8" s="3200" t="s">
        <v>2547</v>
      </c>
      <c r="Z8" s="3201"/>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1" t="s">
        <v>2550</v>
      </c>
      <c r="Q9" s="1794" t="str">
        <f t="shared" ref="Q9:Q14" si="6">B9</f>
        <v>用途</v>
      </c>
      <c r="R9" s="770" t="s">
        <v>17</v>
      </c>
      <c r="S9" s="771">
        <f t="shared" si="0"/>
        <v>100</v>
      </c>
      <c r="T9" s="770" t="s">
        <v>17</v>
      </c>
      <c r="U9" s="771">
        <f t="shared" si="1"/>
        <v>100</v>
      </c>
      <c r="V9" s="770" t="s">
        <v>17</v>
      </c>
      <c r="W9" s="771">
        <f t="shared" si="2"/>
        <v>100</v>
      </c>
      <c r="X9" s="772"/>
      <c r="Y9" s="3022"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1"/>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1"/>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1"/>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1"/>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01" t="s">
        <v>2554</v>
      </c>
      <c r="B14" s="629" t="s">
        <v>2704</v>
      </c>
      <c r="C14" s="2689"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3" t="s">
        <v>2555</v>
      </c>
      <c r="Q14" s="1809" t="str">
        <f t="shared" si="6"/>
        <v>交通便捷度</v>
      </c>
      <c r="R14" s="774" t="s">
        <v>17</v>
      </c>
      <c r="S14" s="775">
        <f t="shared" si="0"/>
        <v>100</v>
      </c>
      <c r="T14" s="774" t="s">
        <v>17</v>
      </c>
      <c r="U14" s="775">
        <f t="shared" si="1"/>
        <v>100</v>
      </c>
      <c r="V14" s="774" t="s">
        <v>17</v>
      </c>
      <c r="W14" s="775">
        <f t="shared" si="2"/>
        <v>100</v>
      </c>
      <c r="X14" s="1812"/>
      <c r="Y14" s="3173" t="s">
        <v>2555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4"/>
      <c r="Q15" s="1809"/>
      <c r="R15" s="774"/>
      <c r="S15" s="775"/>
      <c r="T15" s="774"/>
      <c r="U15" s="775"/>
      <c r="V15" s="774"/>
      <c r="W15" s="775"/>
      <c r="X15" s="1812"/>
      <c r="Y15" s="3174"/>
      <c r="Z15" s="1813"/>
      <c r="AA15" s="1810">
        <v>1</v>
      </c>
      <c r="AB15" s="1810">
        <v>1</v>
      </c>
      <c r="AC15" s="1810">
        <v>1</v>
      </c>
    </row>
    <row r="16" spans="1:29" ht="15">
      <c r="A16" s="404"/>
      <c r="B16" s="631" t="s">
        <v>2683</v>
      </c>
      <c r="C16" s="2603"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4"/>
      <c r="Q16" s="1809" t="str">
        <f>B16</f>
        <v>公共配套设施</v>
      </c>
      <c r="R16" s="774" t="s">
        <v>17</v>
      </c>
      <c r="S16" s="775">
        <f>F16</f>
        <v>100</v>
      </c>
      <c r="T16" s="774" t="s">
        <v>17</v>
      </c>
      <c r="U16" s="775">
        <f>H16</f>
        <v>100</v>
      </c>
      <c r="V16" s="774" t="s">
        <v>17</v>
      </c>
      <c r="W16" s="775">
        <f>J16</f>
        <v>100</v>
      </c>
      <c r="X16" s="1812"/>
      <c r="Y16" s="3174"/>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174"/>
      <c r="Q17" s="1809"/>
      <c r="R17" s="774"/>
      <c r="S17" s="775"/>
      <c r="T17" s="774"/>
      <c r="U17" s="775"/>
      <c r="V17" s="774"/>
      <c r="W17" s="775"/>
      <c r="X17" s="1812"/>
      <c r="Y17" s="3174"/>
      <c r="Z17" s="1813"/>
      <c r="AA17" s="1810">
        <v>1</v>
      </c>
      <c r="AB17" s="1810">
        <v>1</v>
      </c>
      <c r="AC17" s="1810">
        <v>1</v>
      </c>
    </row>
    <row r="18" spans="1:29" ht="15">
      <c r="A18" s="404"/>
      <c r="B18" s="633" t="s">
        <v>2684</v>
      </c>
      <c r="C18" s="2603"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4"/>
      <c r="Q18" s="1809" t="str">
        <f>B18</f>
        <v>基础设施水平</v>
      </c>
      <c r="R18" s="774" t="s">
        <v>17</v>
      </c>
      <c r="S18" s="775">
        <f>F18</f>
        <v>100</v>
      </c>
      <c r="T18" s="774" t="s">
        <v>17</v>
      </c>
      <c r="U18" s="775">
        <f>H18</f>
        <v>100</v>
      </c>
      <c r="V18" s="774" t="s">
        <v>17</v>
      </c>
      <c r="W18" s="775">
        <f>J18</f>
        <v>100</v>
      </c>
      <c r="X18" s="1812"/>
      <c r="Y18" s="3174"/>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3"/>
      <c r="L19" s="1140"/>
      <c r="M19" s="1131"/>
      <c r="N19" s="1131"/>
      <c r="O19" s="1131"/>
      <c r="P19" s="3174"/>
      <c r="Q19" s="1809"/>
      <c r="R19" s="774"/>
      <c r="S19" s="775"/>
      <c r="T19" s="774"/>
      <c r="U19" s="775"/>
      <c r="V19" s="774"/>
      <c r="W19" s="775"/>
      <c r="X19" s="1812"/>
      <c r="Y19" s="3174"/>
      <c r="Z19" s="1813"/>
      <c r="AA19" s="1810">
        <v>1</v>
      </c>
      <c r="AB19" s="1810">
        <v>1</v>
      </c>
      <c r="AC19" s="1810">
        <v>1</v>
      </c>
    </row>
    <row r="20" spans="1:29" ht="15">
      <c r="A20" s="404"/>
      <c r="B20" s="631" t="s">
        <v>2705</v>
      </c>
      <c r="C20" s="2603"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4"/>
      <c r="Q20" s="1809" t="str">
        <f>B20</f>
        <v>自然及人文环境</v>
      </c>
      <c r="R20" s="774" t="s">
        <v>17</v>
      </c>
      <c r="S20" s="775">
        <f>F20</f>
        <v>100</v>
      </c>
      <c r="T20" s="774" t="s">
        <v>17</v>
      </c>
      <c r="U20" s="775">
        <f>H20</f>
        <v>100</v>
      </c>
      <c r="V20" s="774" t="s">
        <v>17</v>
      </c>
      <c r="W20" s="775">
        <f>J20</f>
        <v>100</v>
      </c>
      <c r="X20" s="1812"/>
      <c r="Y20" s="317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4"/>
      <c r="Q21" s="1809"/>
      <c r="R21" s="774"/>
      <c r="S21" s="775"/>
      <c r="T21" s="774"/>
      <c r="U21" s="775"/>
      <c r="V21" s="774"/>
      <c r="W21" s="775"/>
      <c r="X21" s="1812"/>
      <c r="Y21" s="3174"/>
      <c r="Z21" s="1813"/>
      <c r="AA21" s="1810">
        <v>1</v>
      </c>
      <c r="AB21" s="1810">
        <v>1</v>
      </c>
      <c r="AC21" s="1810">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4"/>
      <c r="Q22" s="1809" t="str">
        <f>B22</f>
        <v>楼层</v>
      </c>
      <c r="R22" s="774" t="s">
        <v>17</v>
      </c>
      <c r="S22" s="775">
        <f>F22</f>
        <v>100</v>
      </c>
      <c r="T22" s="774" t="s">
        <v>17</v>
      </c>
      <c r="U22" s="775">
        <f>H22</f>
        <v>100</v>
      </c>
      <c r="V22" s="774" t="s">
        <v>17</v>
      </c>
      <c r="W22" s="775">
        <f>J22</f>
        <v>100</v>
      </c>
      <c r="X22" s="1812"/>
      <c r="Y22" s="317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4"/>
      <c r="Q23" s="1809">
        <f>B23</f>
        <v>111</v>
      </c>
      <c r="R23" s="774" t="s">
        <v>17</v>
      </c>
      <c r="S23" s="775">
        <f>F23</f>
        <v>100</v>
      </c>
      <c r="T23" s="774" t="s">
        <v>17</v>
      </c>
      <c r="U23" s="775">
        <f>H23</f>
        <v>100</v>
      </c>
      <c r="V23" s="774" t="s">
        <v>17</v>
      </c>
      <c r="W23" s="775">
        <f>J23</f>
        <v>100</v>
      </c>
      <c r="X23" s="1812"/>
      <c r="Y23" s="317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4"/>
      <c r="Q24" s="1809">
        <f t="shared" ref="Q24:Q36" si="11">B24</f>
        <v>111</v>
      </c>
      <c r="R24" s="774" t="s">
        <v>17</v>
      </c>
      <c r="S24" s="775">
        <f>F24</f>
        <v>100</v>
      </c>
      <c r="T24" s="774" t="s">
        <v>17</v>
      </c>
      <c r="U24" s="775">
        <f>H24</f>
        <v>100</v>
      </c>
      <c r="V24" s="774" t="s">
        <v>17</v>
      </c>
      <c r="W24" s="775">
        <f>J24</f>
        <v>100</v>
      </c>
      <c r="X24" s="1812"/>
      <c r="Y24" s="317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4"/>
      <c r="Q25" s="1794">
        <f t="shared" si="11"/>
        <v>111</v>
      </c>
      <c r="R25" s="770" t="s">
        <v>17</v>
      </c>
      <c r="S25" s="771">
        <f>F25</f>
        <v>100</v>
      </c>
      <c r="T25" s="770" t="s">
        <v>17</v>
      </c>
      <c r="U25" s="771">
        <f>H25</f>
        <v>100</v>
      </c>
      <c r="V25" s="770" t="s">
        <v>17</v>
      </c>
      <c r="W25" s="771">
        <f>J25</f>
        <v>100</v>
      </c>
      <c r="X25" s="772"/>
      <c r="Y25" s="3174"/>
      <c r="Z25" s="55">
        <f>Q25</f>
        <v>111</v>
      </c>
      <c r="AA25" s="1810">
        <f>D25/F25</f>
        <v>1</v>
      </c>
      <c r="AB25" s="1810">
        <f>D25/H25</f>
        <v>1</v>
      </c>
      <c r="AC25" s="1810">
        <f>D25/J25</f>
        <v>1</v>
      </c>
    </row>
    <row r="26" spans="1:29" ht="28.5">
      <c r="A26" s="652"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75" t="s">
        <v>2560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6" t="s">
        <v>2560</v>
      </c>
      <c r="Z26" s="1813" t="str">
        <f t="shared" ref="Z26:Z36" si="15">Q26</f>
        <v>配套类型</v>
      </c>
      <c r="AA26" s="1810">
        <f t="shared" si="3"/>
        <v>1</v>
      </c>
      <c r="AB26" s="1810">
        <f t="shared" si="4"/>
        <v>1</v>
      </c>
      <c r="AC26" s="1810">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0">
        <f t="shared" si="3"/>
        <v>1</v>
      </c>
      <c r="AB27" s="1810">
        <f t="shared" si="4"/>
        <v>1</v>
      </c>
      <c r="AC27" s="1810">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6"/>
      <c r="Q28" s="1809" t="str">
        <f t="shared" si="11"/>
        <v>公共部分装修</v>
      </c>
      <c r="R28" s="774" t="s">
        <v>17</v>
      </c>
      <c r="S28" s="775">
        <f t="shared" si="12"/>
        <v>100</v>
      </c>
      <c r="T28" s="774" t="s">
        <v>17</v>
      </c>
      <c r="U28" s="775">
        <f t="shared" si="13"/>
        <v>100</v>
      </c>
      <c r="V28" s="774" t="s">
        <v>17</v>
      </c>
      <c r="W28" s="775">
        <f t="shared" si="14"/>
        <v>100</v>
      </c>
      <c r="X28" s="1812"/>
      <c r="Y28" s="3176"/>
      <c r="Z28" s="1813" t="str">
        <f t="shared" si="15"/>
        <v>公共部分装修</v>
      </c>
      <c r="AA28" s="1810">
        <f t="shared" si="3"/>
        <v>1</v>
      </c>
      <c r="AB28" s="1810">
        <f t="shared" si="4"/>
        <v>1</v>
      </c>
      <c r="AC28" s="1810">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6"/>
      <c r="Q29" s="1809" t="str">
        <f t="shared" si="11"/>
        <v>成新率</v>
      </c>
      <c r="R29" s="774" t="s">
        <v>17</v>
      </c>
      <c r="S29" s="775" t="e">
        <f t="shared" si="12"/>
        <v>#N/A</v>
      </c>
      <c r="T29" s="774" t="s">
        <v>17</v>
      </c>
      <c r="U29" s="775" t="e">
        <f t="shared" si="13"/>
        <v>#N/A</v>
      </c>
      <c r="V29" s="774" t="s">
        <v>17</v>
      </c>
      <c r="W29" s="775" t="e">
        <f t="shared" si="14"/>
        <v>#N/A</v>
      </c>
      <c r="X29" s="1812"/>
      <c r="Y29" s="3176"/>
      <c r="Z29" s="1813" t="str">
        <f t="shared" si="15"/>
        <v>成新率</v>
      </c>
      <c r="AA29" s="1810" t="e">
        <f t="shared" si="3"/>
        <v>#N/A</v>
      </c>
      <c r="AB29" s="1810" t="e">
        <f t="shared" si="4"/>
        <v>#N/A</v>
      </c>
      <c r="AC29" s="1810"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6"/>
      <c r="Q30" s="1809" t="str">
        <f t="shared" si="11"/>
        <v>物业等级</v>
      </c>
      <c r="R30" s="774" t="s">
        <v>17</v>
      </c>
      <c r="S30" s="775">
        <f t="shared" si="12"/>
        <v>100</v>
      </c>
      <c r="T30" s="774" t="s">
        <v>17</v>
      </c>
      <c r="U30" s="775">
        <f t="shared" si="13"/>
        <v>100</v>
      </c>
      <c r="V30" s="774" t="s">
        <v>17</v>
      </c>
      <c r="W30" s="775">
        <f t="shared" si="14"/>
        <v>100</v>
      </c>
      <c r="X30" s="1812"/>
      <c r="Y30" s="3176"/>
      <c r="Z30" s="1813" t="str">
        <f t="shared" si="15"/>
        <v>物业等级</v>
      </c>
      <c r="AA30" s="1810">
        <f t="shared" si="3"/>
        <v>1</v>
      </c>
      <c r="AB30" s="1810">
        <f t="shared" si="4"/>
        <v>1</v>
      </c>
      <c r="AC30" s="1810">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6"/>
      <c r="Q31" s="1794"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6" t="s">
        <v>2560</v>
      </c>
      <c r="Q32" s="1809" t="str">
        <f t="shared" si="11"/>
        <v>车位类型</v>
      </c>
      <c r="R32" s="774" t="s">
        <v>17</v>
      </c>
      <c r="S32" s="775">
        <f t="shared" si="12"/>
        <v>100</v>
      </c>
      <c r="T32" s="774" t="s">
        <v>17</v>
      </c>
      <c r="U32" s="775">
        <f t="shared" si="13"/>
        <v>100</v>
      </c>
      <c r="V32" s="774" t="s">
        <v>17</v>
      </c>
      <c r="W32" s="775">
        <f t="shared" si="14"/>
        <v>100</v>
      </c>
      <c r="X32" s="1812"/>
      <c r="Y32" s="3176" t="s">
        <v>2560</v>
      </c>
      <c r="Z32" s="1813" t="str">
        <f t="shared" si="15"/>
        <v>车位类型</v>
      </c>
      <c r="AA32" s="1810">
        <f t="shared" si="3"/>
        <v>1</v>
      </c>
      <c r="AB32" s="1810">
        <f t="shared" si="4"/>
        <v>1</v>
      </c>
      <c r="AC32" s="1810">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6"/>
      <c r="Q33" s="1809" t="str">
        <f t="shared" si="11"/>
        <v>是否直接入户</v>
      </c>
      <c r="R33" s="774" t="s">
        <v>17</v>
      </c>
      <c r="S33" s="775">
        <f t="shared" si="12"/>
        <v>100</v>
      </c>
      <c r="T33" s="774" t="s">
        <v>17</v>
      </c>
      <c r="U33" s="775">
        <f t="shared" si="13"/>
        <v>100</v>
      </c>
      <c r="V33" s="774" t="s">
        <v>17</v>
      </c>
      <c r="W33" s="775">
        <f t="shared" si="14"/>
        <v>100</v>
      </c>
      <c r="X33" s="1812"/>
      <c r="Y33" s="317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6"/>
      <c r="Q34" s="1809">
        <f t="shared" si="11"/>
        <v>111</v>
      </c>
      <c r="R34" s="774" t="s">
        <v>17</v>
      </c>
      <c r="S34" s="775">
        <f t="shared" si="12"/>
        <v>100</v>
      </c>
      <c r="T34" s="774" t="s">
        <v>17</v>
      </c>
      <c r="U34" s="775">
        <f t="shared" si="13"/>
        <v>100</v>
      </c>
      <c r="V34" s="774" t="s">
        <v>17</v>
      </c>
      <c r="W34" s="775">
        <f t="shared" si="14"/>
        <v>100</v>
      </c>
      <c r="X34" s="1812"/>
      <c r="Y34" s="317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6"/>
      <c r="Q36" s="1809">
        <f t="shared" si="11"/>
        <v>111</v>
      </c>
      <c r="R36" s="774" t="s">
        <v>17</v>
      </c>
      <c r="S36" s="775">
        <f t="shared" si="12"/>
        <v>100</v>
      </c>
      <c r="T36" s="774" t="s">
        <v>17</v>
      </c>
      <c r="U36" s="775">
        <f t="shared" si="13"/>
        <v>100</v>
      </c>
      <c r="V36" s="774" t="s">
        <v>17</v>
      </c>
      <c r="W36" s="775">
        <f t="shared" si="14"/>
        <v>100</v>
      </c>
      <c r="X36" s="1812"/>
      <c r="Y36" s="3176"/>
      <c r="Z36" s="1813">
        <f t="shared" si="15"/>
        <v>111</v>
      </c>
      <c r="AA36" s="1810">
        <f t="shared" si="3"/>
        <v>1</v>
      </c>
      <c r="AB36" s="1810">
        <f t="shared" si="4"/>
        <v>1</v>
      </c>
      <c r="AC36" s="1810">
        <f t="shared" si="5"/>
        <v>1</v>
      </c>
    </row>
    <row r="37" spans="1:29" ht="15">
      <c r="A37" s="479" t="s">
        <v>2715</v>
      </c>
      <c r="B37" s="2691" t="s">
        <v>2716</v>
      </c>
      <c r="C37" s="1407" t="s">
        <v>1</v>
      </c>
      <c r="D37" s="1408"/>
      <c r="E37" s="1409"/>
      <c r="F37" s="1410"/>
      <c r="G37" s="1411"/>
      <c r="H37" s="1412"/>
      <c r="I37" s="1409"/>
      <c r="J37" s="1412"/>
      <c r="K37" s="619"/>
      <c r="L37" s="1143"/>
      <c r="M37" s="1144"/>
      <c r="N37" s="1131"/>
      <c r="O37" s="1144"/>
      <c r="P37" s="3171" t="str">
        <f>A37</f>
        <v>成交单价</v>
      </c>
      <c r="Q37" s="3171"/>
      <c r="R37" s="3238">
        <f>E37</f>
        <v>0</v>
      </c>
      <c r="S37" s="3238"/>
      <c r="T37" s="3238">
        <f>G37</f>
        <v>0</v>
      </c>
      <c r="U37" s="3238"/>
      <c r="V37" s="3238">
        <f>I37</f>
        <v>0</v>
      </c>
      <c r="W37" s="3238"/>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1" t="str">
        <f>A38</f>
        <v>比较价值（元/平方米）</v>
      </c>
      <c r="Q38" s="3171"/>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165" t="str">
        <f>A39</f>
        <v>估价对象XX用房的比较价值（楼面单价，元/平方米）</v>
      </c>
      <c r="Q39" s="3166"/>
      <c r="R39" s="3237" t="e">
        <f>IF(F1="售价",ROUND(AVERAGE(R38:V38),0),ROUND(AVERAGE(R38:V38),1))</f>
        <v>#DIV/0!</v>
      </c>
      <c r="S39" s="3237"/>
      <c r="T39" s="3237"/>
      <c r="U39" s="3237"/>
      <c r="V39" s="3237"/>
      <c r="W39" s="323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2702</v>
      </c>
      <c r="B1" s="1618"/>
      <c r="C1" s="1619" t="s">
        <v>2525</v>
      </c>
      <c r="D1" s="1620"/>
      <c r="E1" s="1629"/>
      <c r="F1" s="2580"/>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8" t="e">
        <f ca="1">IF(C2="——",ROUND(C37*D3/10000,0),ROUND(C37*D3/10000,0)-D2)</f>
        <v>#DIV/0!</v>
      </c>
      <c r="C2" s="2582"/>
      <c r="D2" s="1124" t="e">
        <f ca="1">SUMIF(INDIRECT("'"&amp;F2&amp;"'"&amp;"!A:A"),"承租人权益价值",INDIRECT("'"&amp;F2&amp;"'"&amp;"!c:c"))</f>
        <v>#REF!</v>
      </c>
      <c r="E2" s="2583" t="s">
        <v>2326</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68" t="s">
        <v>2641</v>
      </c>
      <c r="D4" s="3181"/>
      <c r="E4" s="3182" t="s">
        <v>2642</v>
      </c>
      <c r="F4" s="3183"/>
      <c r="G4" s="3168" t="s">
        <v>2643</v>
      </c>
      <c r="H4" s="3181"/>
      <c r="I4" s="3168" t="s">
        <v>2644</v>
      </c>
      <c r="J4" s="3181"/>
      <c r="K4" s="610" t="s">
        <v>2645</v>
      </c>
      <c r="L4" s="1130"/>
      <c r="M4" s="1131"/>
      <c r="N4" s="1131"/>
      <c r="O4" s="1131"/>
      <c r="P4" s="3184" t="s">
        <v>2646</v>
      </c>
      <c r="Q4" s="3185"/>
      <c r="R4" s="3190" t="s">
        <v>2642</v>
      </c>
      <c r="S4" s="3191"/>
      <c r="T4" s="3190" t="s">
        <v>2643</v>
      </c>
      <c r="U4" s="3191"/>
      <c r="V4" s="3177" t="s">
        <v>2644</v>
      </c>
      <c r="W4" s="3177"/>
      <c r="X4" s="1812"/>
      <c r="Y4" s="3190" t="s">
        <v>2646</v>
      </c>
      <c r="Z4" s="3191"/>
      <c r="AA4" s="3178" t="s">
        <v>2642</v>
      </c>
      <c r="AB4" s="3179" t="s">
        <v>2643</v>
      </c>
      <c r="AC4" s="3178" t="s">
        <v>2644</v>
      </c>
    </row>
    <row r="5" spans="1:29" ht="15">
      <c r="A5" s="404"/>
      <c r="B5" s="405"/>
      <c r="C5" s="3198" t="s">
        <v>2537</v>
      </c>
      <c r="D5" s="3199"/>
      <c r="E5" s="3205" t="s">
        <v>2538</v>
      </c>
      <c r="F5" s="3206"/>
      <c r="G5" s="3198" t="s">
        <v>2539</v>
      </c>
      <c r="H5" s="3199"/>
      <c r="I5" s="3198" t="s">
        <v>2540</v>
      </c>
      <c r="J5" s="3199"/>
      <c r="K5" s="610"/>
      <c r="L5" s="1130"/>
      <c r="M5" s="1131"/>
      <c r="N5" s="1131"/>
      <c r="O5" s="1131"/>
      <c r="P5" s="3186"/>
      <c r="Q5" s="3187"/>
      <c r="R5" s="3192"/>
      <c r="S5" s="3193"/>
      <c r="T5" s="3192"/>
      <c r="U5" s="3193"/>
      <c r="V5" s="3177"/>
      <c r="W5" s="3177"/>
      <c r="X5" s="1812"/>
      <c r="Y5" s="3192"/>
      <c r="Z5" s="3193"/>
      <c r="AA5" s="3179"/>
      <c r="AB5" s="3179"/>
      <c r="AC5" s="3179"/>
    </row>
    <row r="6" spans="1:29" ht="15.75" thickBot="1">
      <c r="A6" s="406"/>
      <c r="B6" s="407"/>
      <c r="C6" s="3196" t="s">
        <v>2541</v>
      </c>
      <c r="D6" s="3197"/>
      <c r="E6" s="3203" t="s">
        <v>2541</v>
      </c>
      <c r="F6" s="3204"/>
      <c r="G6" s="3196" t="s">
        <v>2541</v>
      </c>
      <c r="H6" s="3197"/>
      <c r="I6" s="3196" t="s">
        <v>2541</v>
      </c>
      <c r="J6" s="3197"/>
      <c r="K6" s="610" t="s">
        <v>2542</v>
      </c>
      <c r="L6" s="1130"/>
      <c r="M6" s="1131"/>
      <c r="N6" s="1131"/>
      <c r="O6" s="1131"/>
      <c r="P6" s="3188"/>
      <c r="Q6" s="3189"/>
      <c r="R6" s="3192"/>
      <c r="S6" s="3193"/>
      <c r="T6" s="3194"/>
      <c r="U6" s="3195"/>
      <c r="V6" s="3177"/>
      <c r="W6" s="3177"/>
      <c r="X6" s="1812"/>
      <c r="Y6" s="3194"/>
      <c r="Z6" s="3195"/>
      <c r="AA6" s="3180"/>
      <c r="AB6" s="3180"/>
      <c r="AC6" s="3180"/>
    </row>
    <row r="7" spans="1:29" s="117" customFormat="1" ht="15.75" thickBot="1">
      <c r="A7" s="408" t="s">
        <v>2543</v>
      </c>
      <c r="B7" s="409"/>
      <c r="C7" s="410">
        <f>'数据-取费表'!B2</f>
        <v>43630</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00" t="s">
        <v>2544</v>
      </c>
      <c r="Q7" s="3202"/>
      <c r="R7" s="770" t="s">
        <v>17</v>
      </c>
      <c r="S7" s="771">
        <f t="shared" ref="S7:S14" si="0">F7</f>
        <v>0</v>
      </c>
      <c r="T7" s="770" t="s">
        <v>17</v>
      </c>
      <c r="U7" s="771">
        <f t="shared" ref="U7:U14" si="1">H7</f>
        <v>0</v>
      </c>
      <c r="V7" s="770" t="s">
        <v>17</v>
      </c>
      <c r="W7" s="771">
        <f t="shared" ref="W7:W14" si="2">J7</f>
        <v>0</v>
      </c>
      <c r="X7" s="772"/>
      <c r="Y7" s="3200" t="s">
        <v>2544</v>
      </c>
      <c r="Z7" s="3201"/>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0" t="s">
        <v>2547</v>
      </c>
      <c r="Q8" s="3201"/>
      <c r="R8" s="770" t="s">
        <v>17</v>
      </c>
      <c r="S8" s="771">
        <f t="shared" si="0"/>
        <v>0</v>
      </c>
      <c r="T8" s="770" t="s">
        <v>17</v>
      </c>
      <c r="U8" s="771">
        <f t="shared" si="1"/>
        <v>0</v>
      </c>
      <c r="V8" s="770" t="s">
        <v>17</v>
      </c>
      <c r="W8" s="771">
        <f t="shared" si="2"/>
        <v>0</v>
      </c>
      <c r="X8" s="772"/>
      <c r="Y8" s="3200" t="s">
        <v>2547</v>
      </c>
      <c r="Z8" s="3201"/>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1" t="s">
        <v>2550</v>
      </c>
      <c r="Q9" s="1794" t="str">
        <f t="shared" ref="Q9:Q14" si="6">B9</f>
        <v>用途</v>
      </c>
      <c r="R9" s="770" t="s">
        <v>17</v>
      </c>
      <c r="S9" s="771">
        <f t="shared" si="0"/>
        <v>100</v>
      </c>
      <c r="T9" s="770" t="s">
        <v>17</v>
      </c>
      <c r="U9" s="771">
        <f t="shared" si="1"/>
        <v>100</v>
      </c>
      <c r="V9" s="770" t="s">
        <v>17</v>
      </c>
      <c r="W9" s="771">
        <f t="shared" si="2"/>
        <v>100</v>
      </c>
      <c r="X9" s="772"/>
      <c r="Y9" s="3022"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1"/>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1"/>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1"/>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71"/>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40" t="s">
        <v>2554</v>
      </c>
      <c r="B14" s="69" t="s">
        <v>2704</v>
      </c>
      <c r="C14" s="2689"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3" t="s">
        <v>2555</v>
      </c>
      <c r="Q14" s="1809" t="str">
        <f t="shared" si="6"/>
        <v>交通便捷度</v>
      </c>
      <c r="R14" s="774" t="s">
        <v>17</v>
      </c>
      <c r="S14" s="775">
        <f t="shared" si="0"/>
        <v>100</v>
      </c>
      <c r="T14" s="774" t="s">
        <v>17</v>
      </c>
      <c r="U14" s="775">
        <f t="shared" si="1"/>
        <v>100</v>
      </c>
      <c r="V14" s="774" t="s">
        <v>17</v>
      </c>
      <c r="W14" s="775">
        <f t="shared" si="2"/>
        <v>100</v>
      </c>
      <c r="X14" s="1812"/>
      <c r="Y14" s="3173"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4"/>
      <c r="Q15" s="1809"/>
      <c r="R15" s="774"/>
      <c r="S15" s="775"/>
      <c r="T15" s="774"/>
      <c r="U15" s="775"/>
      <c r="V15" s="774"/>
      <c r="W15" s="775"/>
      <c r="X15" s="1812"/>
      <c r="Y15" s="3174"/>
      <c r="Z15" s="1813"/>
      <c r="AA15" s="1810">
        <v>1</v>
      </c>
      <c r="AB15" s="1810">
        <v>1</v>
      </c>
      <c r="AC15" s="1810">
        <v>1</v>
      </c>
    </row>
    <row r="16" spans="1:29" ht="15">
      <c r="A16" s="428"/>
      <c r="B16" s="451" t="s">
        <v>2683</v>
      </c>
      <c r="C16" s="2603"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4"/>
      <c r="Q16" s="1809" t="str">
        <f>B16</f>
        <v>公共配套设施</v>
      </c>
      <c r="R16" s="774" t="s">
        <v>17</v>
      </c>
      <c r="S16" s="775">
        <f>F16</f>
        <v>100</v>
      </c>
      <c r="T16" s="774" t="s">
        <v>17</v>
      </c>
      <c r="U16" s="775">
        <f>H16</f>
        <v>100</v>
      </c>
      <c r="V16" s="774" t="s">
        <v>17</v>
      </c>
      <c r="W16" s="775">
        <f>J16</f>
        <v>100</v>
      </c>
      <c r="X16" s="1812"/>
      <c r="Y16" s="3174"/>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174"/>
      <c r="Q17" s="1809"/>
      <c r="R17" s="774"/>
      <c r="S17" s="775"/>
      <c r="T17" s="774"/>
      <c r="U17" s="775"/>
      <c r="V17" s="774"/>
      <c r="W17" s="775"/>
      <c r="X17" s="1812"/>
      <c r="Y17" s="3174"/>
      <c r="Z17" s="1813"/>
      <c r="AA17" s="1810">
        <v>1</v>
      </c>
      <c r="AB17" s="1810">
        <v>1</v>
      </c>
      <c r="AC17" s="1810">
        <v>1</v>
      </c>
    </row>
    <row r="18" spans="1:29" ht="15">
      <c r="A18" s="428"/>
      <c r="B18" s="1384" t="s">
        <v>2684</v>
      </c>
      <c r="C18" s="2603"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4"/>
      <c r="Q18" s="1809" t="str">
        <f>B18</f>
        <v>基础设施水平</v>
      </c>
      <c r="R18" s="774" t="s">
        <v>17</v>
      </c>
      <c r="S18" s="775">
        <f>F18</f>
        <v>100</v>
      </c>
      <c r="T18" s="774" t="s">
        <v>17</v>
      </c>
      <c r="U18" s="775">
        <f>H18</f>
        <v>100</v>
      </c>
      <c r="V18" s="774" t="s">
        <v>17</v>
      </c>
      <c r="W18" s="775">
        <f>J18</f>
        <v>100</v>
      </c>
      <c r="X18" s="1812"/>
      <c r="Y18" s="3174"/>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174"/>
      <c r="Q19" s="1809"/>
      <c r="R19" s="774"/>
      <c r="S19" s="775"/>
      <c r="T19" s="774"/>
      <c r="U19" s="775"/>
      <c r="V19" s="774"/>
      <c r="W19" s="775"/>
      <c r="X19" s="1812"/>
      <c r="Y19" s="3174"/>
      <c r="Z19" s="1813"/>
      <c r="AA19" s="1810">
        <v>1</v>
      </c>
      <c r="AB19" s="1810">
        <v>1</v>
      </c>
      <c r="AC19" s="1810">
        <v>1</v>
      </c>
    </row>
    <row r="20" spans="1:29" ht="15">
      <c r="A20" s="428"/>
      <c r="B20" s="451" t="s">
        <v>2705</v>
      </c>
      <c r="C20" s="2603"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4"/>
      <c r="Q20" s="1809" t="str">
        <f>B20</f>
        <v>自然及人文环境</v>
      </c>
      <c r="R20" s="774" t="s">
        <v>17</v>
      </c>
      <c r="S20" s="775">
        <f>F20</f>
        <v>100</v>
      </c>
      <c r="T20" s="774" t="s">
        <v>17</v>
      </c>
      <c r="U20" s="775">
        <f>H20</f>
        <v>100</v>
      </c>
      <c r="V20" s="774" t="s">
        <v>17</v>
      </c>
      <c r="W20" s="775">
        <f>J20</f>
        <v>100</v>
      </c>
      <c r="X20" s="1812"/>
      <c r="Y20" s="317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4"/>
      <c r="Q21" s="1809"/>
      <c r="R21" s="774"/>
      <c r="S21" s="775"/>
      <c r="T21" s="774"/>
      <c r="U21" s="775"/>
      <c r="V21" s="774"/>
      <c r="W21" s="775"/>
      <c r="X21" s="1812"/>
      <c r="Y21" s="3174"/>
      <c r="Z21" s="1813"/>
      <c r="AA21" s="1810">
        <v>1</v>
      </c>
      <c r="AB21" s="1810">
        <v>1</v>
      </c>
      <c r="AC21" s="1810">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4"/>
      <c r="Q22" s="1809" t="str">
        <f>B22</f>
        <v>楼层</v>
      </c>
      <c r="R22" s="774" t="s">
        <v>17</v>
      </c>
      <c r="S22" s="775">
        <f>F22</f>
        <v>100</v>
      </c>
      <c r="T22" s="774" t="s">
        <v>17</v>
      </c>
      <c r="U22" s="775">
        <f>H22</f>
        <v>100</v>
      </c>
      <c r="V22" s="774" t="s">
        <v>17</v>
      </c>
      <c r="W22" s="775">
        <f>J22</f>
        <v>100</v>
      </c>
      <c r="X22" s="1812"/>
      <c r="Y22" s="3174"/>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4"/>
      <c r="Q23" s="1809">
        <f>B23</f>
        <v>111</v>
      </c>
      <c r="R23" s="774" t="s">
        <v>17</v>
      </c>
      <c r="S23" s="775">
        <f>F23</f>
        <v>100</v>
      </c>
      <c r="T23" s="774" t="s">
        <v>17</v>
      </c>
      <c r="U23" s="775">
        <f>H23</f>
        <v>100</v>
      </c>
      <c r="V23" s="774" t="s">
        <v>17</v>
      </c>
      <c r="W23" s="775">
        <f>J23</f>
        <v>100</v>
      </c>
      <c r="X23" s="1812"/>
      <c r="Y23" s="3174"/>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4"/>
      <c r="Q24" s="1809">
        <f t="shared" ref="Q24:Q34" si="11">B24</f>
        <v>111</v>
      </c>
      <c r="R24" s="774" t="s">
        <v>17</v>
      </c>
      <c r="S24" s="775">
        <f>F24</f>
        <v>100</v>
      </c>
      <c r="T24" s="774" t="s">
        <v>17</v>
      </c>
      <c r="U24" s="775">
        <f>H24</f>
        <v>100</v>
      </c>
      <c r="V24" s="774" t="s">
        <v>17</v>
      </c>
      <c r="W24" s="775">
        <f>J24</f>
        <v>100</v>
      </c>
      <c r="X24" s="1812"/>
      <c r="Y24" s="3174"/>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74"/>
      <c r="Q25" s="1794">
        <f t="shared" si="11"/>
        <v>111</v>
      </c>
      <c r="R25" s="770" t="s">
        <v>17</v>
      </c>
      <c r="S25" s="771">
        <f>F25</f>
        <v>100</v>
      </c>
      <c r="T25" s="770" t="s">
        <v>17</v>
      </c>
      <c r="U25" s="771">
        <f>H25</f>
        <v>100</v>
      </c>
      <c r="V25" s="770" t="s">
        <v>17</v>
      </c>
      <c r="W25" s="771">
        <f>J25</f>
        <v>100</v>
      </c>
      <c r="X25" s="772"/>
      <c r="Y25" s="3174"/>
      <c r="Z25" s="55">
        <f>Q25</f>
        <v>111</v>
      </c>
      <c r="AA25" s="1810">
        <f>D25/F25</f>
        <v>1</v>
      </c>
      <c r="AB25" s="1810">
        <f>D25/H25</f>
        <v>1</v>
      </c>
      <c r="AC25" s="1810">
        <f>D25/J25</f>
        <v>1</v>
      </c>
    </row>
    <row r="26" spans="1:29" ht="28.5">
      <c r="A26" s="466" t="s">
        <v>2558</v>
      </c>
      <c r="B26" s="71" t="s">
        <v>2709</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175" t="s">
        <v>2560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6" t="s">
        <v>2560</v>
      </c>
      <c r="Z26" s="1813" t="str">
        <f t="shared" ref="Z26:Z34" si="15">Q26</f>
        <v>公共部分装修</v>
      </c>
      <c r="AA26" s="1810">
        <f t="shared" si="3"/>
        <v>1</v>
      </c>
      <c r="AB26" s="1810">
        <f t="shared" si="4"/>
        <v>1</v>
      </c>
      <c r="AC26" s="1810">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0" t="e">
        <f t="shared" si="3"/>
        <v>#N/A</v>
      </c>
      <c r="AB27" s="1810" t="e">
        <f t="shared" si="4"/>
        <v>#N/A</v>
      </c>
      <c r="AC27" s="1810"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6"/>
      <c r="Q28" s="1809" t="str">
        <f t="shared" si="11"/>
        <v>物业等级</v>
      </c>
      <c r="R28" s="774" t="s">
        <v>17</v>
      </c>
      <c r="S28" s="775">
        <f t="shared" si="12"/>
        <v>100</v>
      </c>
      <c r="T28" s="774" t="s">
        <v>17</v>
      </c>
      <c r="U28" s="775">
        <f t="shared" si="13"/>
        <v>100</v>
      </c>
      <c r="V28" s="774" t="s">
        <v>17</v>
      </c>
      <c r="W28" s="775">
        <f t="shared" si="14"/>
        <v>100</v>
      </c>
      <c r="X28" s="1812"/>
      <c r="Y28" s="3176"/>
      <c r="Z28" s="1813" t="str">
        <f t="shared" si="15"/>
        <v>物业等级</v>
      </c>
      <c r="AA28" s="1810">
        <f t="shared" si="3"/>
        <v>1</v>
      </c>
      <c r="AB28" s="1810">
        <f t="shared" si="4"/>
        <v>1</v>
      </c>
      <c r="AC28" s="1810">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6"/>
      <c r="Q29" s="1809" t="str">
        <f t="shared" si="11"/>
        <v>有无电梯</v>
      </c>
      <c r="R29" s="774" t="s">
        <v>17</v>
      </c>
      <c r="S29" s="775">
        <f t="shared" si="12"/>
        <v>100</v>
      </c>
      <c r="T29" s="774" t="s">
        <v>17</v>
      </c>
      <c r="U29" s="775">
        <f t="shared" si="13"/>
        <v>100</v>
      </c>
      <c r="V29" s="774" t="s">
        <v>17</v>
      </c>
      <c r="W29" s="775">
        <f t="shared" si="14"/>
        <v>100</v>
      </c>
      <c r="X29" s="1812"/>
      <c r="Y29" s="3176"/>
      <c r="Z29" s="1813" t="str">
        <f t="shared" si="15"/>
        <v>有无电梯</v>
      </c>
      <c r="AA29" s="1810">
        <f t="shared" si="3"/>
        <v>1</v>
      </c>
      <c r="AB29" s="1810">
        <f t="shared" si="4"/>
        <v>1</v>
      </c>
      <c r="AC29" s="1810">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6"/>
      <c r="Q30" s="1809" t="str">
        <f t="shared" si="11"/>
        <v>建筑面积</v>
      </c>
      <c r="R30" s="774" t="s">
        <v>17</v>
      </c>
      <c r="S30" s="775" t="e">
        <f t="shared" si="12"/>
        <v>#N/A</v>
      </c>
      <c r="T30" s="774" t="s">
        <v>17</v>
      </c>
      <c r="U30" s="775" t="e">
        <f t="shared" si="13"/>
        <v>#N/A</v>
      </c>
      <c r="V30" s="774" t="s">
        <v>17</v>
      </c>
      <c r="W30" s="775" t="e">
        <f t="shared" si="14"/>
        <v>#N/A</v>
      </c>
      <c r="X30" s="1812"/>
      <c r="Y30" s="3176"/>
      <c r="Z30" s="1813" t="str">
        <f t="shared" si="15"/>
        <v>建筑面积</v>
      </c>
      <c r="AA30" s="1810" t="e">
        <f t="shared" si="3"/>
        <v>#N/A</v>
      </c>
      <c r="AB30" s="1810" t="e">
        <f t="shared" si="4"/>
        <v>#N/A</v>
      </c>
      <c r="AC30" s="1810"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6"/>
      <c r="Q31" s="1794"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6" t="s">
        <v>2560</v>
      </c>
      <c r="Q32" s="1809">
        <f t="shared" si="11"/>
        <v>111</v>
      </c>
      <c r="R32" s="774" t="s">
        <v>17</v>
      </c>
      <c r="S32" s="775">
        <f t="shared" si="12"/>
        <v>100</v>
      </c>
      <c r="T32" s="774" t="s">
        <v>17</v>
      </c>
      <c r="U32" s="775">
        <f t="shared" si="13"/>
        <v>100</v>
      </c>
      <c r="V32" s="774" t="s">
        <v>17</v>
      </c>
      <c r="W32" s="775">
        <f t="shared" si="14"/>
        <v>100</v>
      </c>
      <c r="X32" s="1812"/>
      <c r="Y32" s="3176" t="s">
        <v>2560</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6"/>
      <c r="Q33" s="1809">
        <f t="shared" si="11"/>
        <v>111</v>
      </c>
      <c r="R33" s="774" t="s">
        <v>17</v>
      </c>
      <c r="S33" s="775">
        <f t="shared" si="12"/>
        <v>100</v>
      </c>
      <c r="T33" s="774" t="s">
        <v>17</v>
      </c>
      <c r="U33" s="775">
        <f t="shared" si="13"/>
        <v>100</v>
      </c>
      <c r="V33" s="774" t="s">
        <v>17</v>
      </c>
      <c r="W33" s="775">
        <f t="shared" si="14"/>
        <v>100</v>
      </c>
      <c r="X33" s="1812"/>
      <c r="Y33" s="3176"/>
      <c r="Z33" s="1813">
        <f t="shared" si="15"/>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76"/>
      <c r="Q34" s="1809">
        <f t="shared" si="11"/>
        <v>111</v>
      </c>
      <c r="R34" s="774" t="s">
        <v>17</v>
      </c>
      <c r="S34" s="775">
        <f t="shared" si="12"/>
        <v>100</v>
      </c>
      <c r="T34" s="774" t="s">
        <v>17</v>
      </c>
      <c r="U34" s="775">
        <f t="shared" si="13"/>
        <v>100</v>
      </c>
      <c r="V34" s="774" t="s">
        <v>17</v>
      </c>
      <c r="W34" s="775">
        <f t="shared" si="14"/>
        <v>100</v>
      </c>
      <c r="X34" s="1812"/>
      <c r="Y34" s="3176"/>
      <c r="Z34" s="1813">
        <f t="shared" si="15"/>
        <v>111</v>
      </c>
      <c r="AA34" s="1810">
        <f t="shared" si="3"/>
        <v>1</v>
      </c>
      <c r="AB34" s="1810">
        <f t="shared" si="4"/>
        <v>1</v>
      </c>
      <c r="AC34" s="1810">
        <f t="shared" si="5"/>
        <v>1</v>
      </c>
    </row>
    <row r="35" spans="1:29" ht="15">
      <c r="A35" s="479" t="s">
        <v>2572</v>
      </c>
      <c r="B35" s="480"/>
      <c r="C35" s="1407" t="s">
        <v>1</v>
      </c>
      <c r="D35" s="1408"/>
      <c r="E35" s="1409"/>
      <c r="F35" s="1410"/>
      <c r="G35" s="1411"/>
      <c r="H35" s="1412"/>
      <c r="I35" s="1409"/>
      <c r="J35" s="1412"/>
      <c r="K35" s="783"/>
      <c r="L35" s="1143"/>
      <c r="M35" s="1144"/>
      <c r="N35" s="1131"/>
      <c r="O35" s="1144"/>
      <c r="P35" s="3171" t="str">
        <f>A35</f>
        <v>成交单价（元/平方米）</v>
      </c>
      <c r="Q35" s="3171"/>
      <c r="R35" s="3238">
        <f>E35</f>
        <v>0</v>
      </c>
      <c r="S35" s="3238"/>
      <c r="T35" s="3238">
        <f>G35</f>
        <v>0</v>
      </c>
      <c r="U35" s="3238"/>
      <c r="V35" s="3238">
        <f>I35</f>
        <v>0</v>
      </c>
      <c r="W35" s="3238"/>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171" t="str">
        <f>A36</f>
        <v>比较价值（元/平方米）</v>
      </c>
      <c r="Q36" s="3171"/>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165" t="str">
        <f>A37</f>
        <v>估价对象XX用房的比较价值（楼面单价，元/平方米）</v>
      </c>
      <c r="Q37" s="3166"/>
      <c r="R37" s="3237" t="e">
        <f>IF(F1="售价",ROUND(AVERAGE(R36:V36),0),ROUND(AVERAGE(R36:V36),1))</f>
        <v>#DIV/0!</v>
      </c>
      <c r="S37" s="3237"/>
      <c r="T37" s="3237"/>
      <c r="U37" s="3237"/>
      <c r="V37" s="3237"/>
      <c r="W37" s="323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68" t="s">
        <v>2641</v>
      </c>
      <c r="D4" s="3181"/>
      <c r="E4" s="3182" t="s">
        <v>2642</v>
      </c>
      <c r="F4" s="3183"/>
      <c r="G4" s="3168" t="s">
        <v>2643</v>
      </c>
      <c r="H4" s="3181"/>
      <c r="I4" s="3168" t="s">
        <v>2644</v>
      </c>
      <c r="J4" s="3181"/>
      <c r="K4" s="610" t="s">
        <v>2645</v>
      </c>
      <c r="L4" s="1130"/>
      <c r="M4" s="1131"/>
      <c r="N4" s="1131"/>
      <c r="O4" s="1131"/>
      <c r="P4" s="3184" t="s">
        <v>2646</v>
      </c>
      <c r="Q4" s="3185"/>
      <c r="R4" s="3190" t="s">
        <v>2642</v>
      </c>
      <c r="S4" s="3191"/>
      <c r="T4" s="3190" t="s">
        <v>2643</v>
      </c>
      <c r="U4" s="3191"/>
      <c r="V4" s="3177" t="s">
        <v>2644</v>
      </c>
      <c r="W4" s="3177"/>
      <c r="X4" s="1812"/>
      <c r="Y4" s="3190" t="s">
        <v>2646</v>
      </c>
      <c r="Z4" s="3191"/>
      <c r="AA4" s="3178" t="s">
        <v>2642</v>
      </c>
      <c r="AB4" s="3179" t="s">
        <v>2643</v>
      </c>
      <c r="AC4" s="3178" t="s">
        <v>2644</v>
      </c>
    </row>
    <row r="5" spans="1:29" ht="15">
      <c r="A5" s="404"/>
      <c r="B5" s="405"/>
      <c r="C5" s="3198" t="s">
        <v>2537</v>
      </c>
      <c r="D5" s="3199"/>
      <c r="E5" s="3205" t="s">
        <v>2538</v>
      </c>
      <c r="F5" s="3206"/>
      <c r="G5" s="3198" t="s">
        <v>2539</v>
      </c>
      <c r="H5" s="3199"/>
      <c r="I5" s="3198" t="s">
        <v>2540</v>
      </c>
      <c r="J5" s="3199"/>
      <c r="K5" s="610"/>
      <c r="L5" s="1130"/>
      <c r="M5" s="1131"/>
      <c r="N5" s="1131"/>
      <c r="O5" s="1131"/>
      <c r="P5" s="3186"/>
      <c r="Q5" s="3187"/>
      <c r="R5" s="3192"/>
      <c r="S5" s="3193"/>
      <c r="T5" s="3192"/>
      <c r="U5" s="3193"/>
      <c r="V5" s="3177"/>
      <c r="W5" s="3177"/>
      <c r="X5" s="1812"/>
      <c r="Y5" s="3192"/>
      <c r="Z5" s="3193"/>
      <c r="AA5" s="3179"/>
      <c r="AB5" s="3179"/>
      <c r="AC5" s="3179"/>
    </row>
    <row r="6" spans="1:29" ht="15.75" thickBot="1">
      <c r="A6" s="406"/>
      <c r="B6" s="407"/>
      <c r="C6" s="3260" t="s">
        <v>2792</v>
      </c>
      <c r="D6" s="3261"/>
      <c r="E6" s="3262" t="s">
        <v>2792</v>
      </c>
      <c r="F6" s="3263"/>
      <c r="G6" s="3260" t="s">
        <v>2792</v>
      </c>
      <c r="H6" s="3261"/>
      <c r="I6" s="3260" t="s">
        <v>2792</v>
      </c>
      <c r="J6" s="3261"/>
      <c r="K6" s="610" t="s">
        <v>2542</v>
      </c>
      <c r="L6" s="1130"/>
      <c r="M6" s="1131"/>
      <c r="N6" s="1131"/>
      <c r="O6" s="1131"/>
      <c r="P6" s="3188"/>
      <c r="Q6" s="3189"/>
      <c r="R6" s="3192"/>
      <c r="S6" s="3193"/>
      <c r="T6" s="3194"/>
      <c r="U6" s="3195"/>
      <c r="V6" s="3177"/>
      <c r="W6" s="3177"/>
      <c r="X6" s="1812"/>
      <c r="Y6" s="3194"/>
      <c r="Z6" s="3195"/>
      <c r="AA6" s="3180"/>
      <c r="AB6" s="3180"/>
      <c r="AC6" s="3180"/>
    </row>
    <row r="7" spans="1:29" s="117" customFormat="1" ht="15.75" thickBot="1">
      <c r="A7" s="408" t="s">
        <v>2543</v>
      </c>
      <c r="B7" s="409"/>
      <c r="C7" s="410">
        <f>'数据-取费表'!B2</f>
        <v>43630</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00" t="s">
        <v>2544</v>
      </c>
      <c r="Q7" s="3202"/>
      <c r="R7" s="770" t="s">
        <v>17</v>
      </c>
      <c r="S7" s="771">
        <f t="shared" ref="S7:S15" si="0">F7</f>
        <v>0</v>
      </c>
      <c r="T7" s="770" t="s">
        <v>17</v>
      </c>
      <c r="U7" s="771">
        <f t="shared" ref="U7:U15" si="1">H7</f>
        <v>0</v>
      </c>
      <c r="V7" s="770" t="s">
        <v>17</v>
      </c>
      <c r="W7" s="771">
        <f t="shared" ref="W7:W15" si="2">J7</f>
        <v>0</v>
      </c>
      <c r="X7" s="772"/>
      <c r="Y7" s="3200" t="s">
        <v>2544</v>
      </c>
      <c r="Z7" s="3201"/>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0" t="s">
        <v>2547</v>
      </c>
      <c r="Q8" s="3201"/>
      <c r="R8" s="770" t="s">
        <v>17</v>
      </c>
      <c r="S8" s="771">
        <f t="shared" si="0"/>
        <v>0</v>
      </c>
      <c r="T8" s="770" t="s">
        <v>17</v>
      </c>
      <c r="U8" s="771">
        <f t="shared" si="1"/>
        <v>0</v>
      </c>
      <c r="V8" s="770" t="s">
        <v>17</v>
      </c>
      <c r="W8" s="771">
        <f t="shared" si="2"/>
        <v>0</v>
      </c>
      <c r="X8" s="772"/>
      <c r="Y8" s="3200" t="s">
        <v>2547</v>
      </c>
      <c r="Z8" s="3201"/>
      <c r="AA8" s="773" t="e">
        <f t="shared" ref="AA8:AA40" si="3">D8/F8</f>
        <v>#DIV/0!</v>
      </c>
      <c r="AB8" s="773" t="e">
        <f t="shared" ref="AB8:AB40" si="4">D8/H8</f>
        <v>#DIV/0!</v>
      </c>
      <c r="AC8" s="773"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71" t="s">
        <v>2550</v>
      </c>
      <c r="Q9" s="1794" t="str">
        <f t="shared" ref="Q9:Q15" si="6">B9</f>
        <v>用途</v>
      </c>
      <c r="R9" s="770" t="s">
        <v>17</v>
      </c>
      <c r="S9" s="771">
        <f t="shared" si="0"/>
        <v>100</v>
      </c>
      <c r="T9" s="770" t="s">
        <v>17</v>
      </c>
      <c r="U9" s="771">
        <f t="shared" si="1"/>
        <v>100</v>
      </c>
      <c r="V9" s="770" t="s">
        <v>17</v>
      </c>
      <c r="W9" s="771">
        <f t="shared" si="2"/>
        <v>100</v>
      </c>
      <c r="X9" s="772"/>
      <c r="Y9" s="3022"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71"/>
      <c r="Q10" s="1794" t="str">
        <f t="shared" si="6"/>
        <v>土地使用年限（年）</v>
      </c>
      <c r="R10" s="770" t="s">
        <v>17</v>
      </c>
      <c r="S10" s="771">
        <f t="shared" si="0"/>
        <v>105</v>
      </c>
      <c r="T10" s="770" t="s">
        <v>17</v>
      </c>
      <c r="U10" s="771">
        <f t="shared" si="1"/>
        <v>105</v>
      </c>
      <c r="V10" s="770" t="s">
        <v>17</v>
      </c>
      <c r="W10" s="771">
        <f t="shared" si="2"/>
        <v>105</v>
      </c>
      <c r="X10" s="772"/>
      <c r="Y10" s="3022"/>
      <c r="Z10" s="55" t="str">
        <f t="shared" si="7"/>
        <v>土地使用年限（年）</v>
      </c>
      <c r="AA10" s="773">
        <f t="shared" si="3"/>
        <v>0.95238095238095233</v>
      </c>
      <c r="AB10" s="773">
        <f t="shared" si="4"/>
        <v>0.95238095238095233</v>
      </c>
      <c r="AC10" s="773">
        <f t="shared" si="5"/>
        <v>0.95238095238095233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1"/>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1"/>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1"/>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1"/>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2554</v>
      </c>
      <c r="B15" s="629"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3" t="s">
        <v>2555</v>
      </c>
      <c r="Q15" s="1809" t="str">
        <f t="shared" si="6"/>
        <v>产业集聚程度</v>
      </c>
      <c r="R15" s="774" t="s">
        <v>17</v>
      </c>
      <c r="S15" s="775">
        <f t="shared" si="0"/>
        <v>100</v>
      </c>
      <c r="T15" s="774" t="s">
        <v>17</v>
      </c>
      <c r="U15" s="775">
        <f t="shared" si="1"/>
        <v>100</v>
      </c>
      <c r="V15" s="774" t="s">
        <v>17</v>
      </c>
      <c r="W15" s="775">
        <f t="shared" si="2"/>
        <v>100</v>
      </c>
      <c r="X15" s="1812"/>
      <c r="Y15" s="3173" t="s">
        <v>2555</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174"/>
      <c r="Q16" s="1809"/>
      <c r="R16" s="774"/>
      <c r="S16" s="775"/>
      <c r="T16" s="774"/>
      <c r="U16" s="775"/>
      <c r="V16" s="774"/>
      <c r="W16" s="775"/>
      <c r="X16" s="1812"/>
      <c r="Y16" s="3174"/>
      <c r="Z16" s="1813"/>
      <c r="AA16" s="1810">
        <v>1</v>
      </c>
      <c r="AB16" s="1810">
        <v>1</v>
      </c>
      <c r="AC16" s="1810">
        <v>1</v>
      </c>
    </row>
    <row r="17" spans="1:29" ht="85.5">
      <c r="A17" s="428"/>
      <c r="B17" s="631"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4"/>
      <c r="Q17" s="1809" t="str">
        <f>B17</f>
        <v>交通便捷度</v>
      </c>
      <c r="R17" s="774" t="s">
        <v>17</v>
      </c>
      <c r="S17" s="775">
        <f>F17</f>
        <v>100</v>
      </c>
      <c r="T17" s="774" t="s">
        <v>17</v>
      </c>
      <c r="U17" s="775">
        <f>H17</f>
        <v>100</v>
      </c>
      <c r="V17" s="774" t="s">
        <v>17</v>
      </c>
      <c r="W17" s="775">
        <f>J17</f>
        <v>100</v>
      </c>
      <c r="X17" s="1812"/>
      <c r="Y17" s="3174"/>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174"/>
      <c r="Q18" s="1809"/>
      <c r="R18" s="774"/>
      <c r="S18" s="775"/>
      <c r="T18" s="774"/>
      <c r="U18" s="775"/>
      <c r="V18" s="774"/>
      <c r="W18" s="775"/>
      <c r="X18" s="1812"/>
      <c r="Y18" s="3174"/>
      <c r="Z18" s="1813"/>
      <c r="AA18" s="1810">
        <v>1</v>
      </c>
      <c r="AB18" s="1810">
        <v>1</v>
      </c>
      <c r="AC18" s="1810">
        <v>1</v>
      </c>
    </row>
    <row r="19" spans="1:29" ht="15">
      <c r="A19" s="428"/>
      <c r="B19" s="631"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4"/>
      <c r="Q19" s="1809" t="str">
        <f t="shared" ref="Q19:Q33" si="8">B19</f>
        <v>区域土地利用方向</v>
      </c>
      <c r="R19" s="774" t="s">
        <v>17</v>
      </c>
      <c r="S19" s="775">
        <f>F19</f>
        <v>100</v>
      </c>
      <c r="T19" s="774" t="s">
        <v>17</v>
      </c>
      <c r="U19" s="775">
        <f>H19</f>
        <v>100</v>
      </c>
      <c r="V19" s="774" t="s">
        <v>17</v>
      </c>
      <c r="W19" s="775">
        <f>J19</f>
        <v>100</v>
      </c>
      <c r="X19" s="1812"/>
      <c r="Y19" s="3174"/>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174"/>
      <c r="Q20" s="1809"/>
      <c r="R20" s="774"/>
      <c r="S20" s="775"/>
      <c r="T20" s="774"/>
      <c r="U20" s="775"/>
      <c r="V20" s="774"/>
      <c r="W20" s="775"/>
      <c r="X20" s="1812"/>
      <c r="Y20" s="3174"/>
      <c r="Z20" s="1813"/>
      <c r="AA20" s="1810"/>
      <c r="AB20" s="1810"/>
      <c r="AC20" s="1810"/>
    </row>
    <row r="21" spans="1:29" ht="71.25">
      <c r="A21" s="404"/>
      <c r="B21" s="631"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4"/>
      <c r="Q21" s="1809" t="str">
        <f t="shared" si="8"/>
        <v>环境状况</v>
      </c>
      <c r="R21" s="774" t="s">
        <v>17</v>
      </c>
      <c r="S21" s="775">
        <f>F21</f>
        <v>100</v>
      </c>
      <c r="T21" s="774" t="s">
        <v>17</v>
      </c>
      <c r="U21" s="775">
        <f>H21</f>
        <v>100</v>
      </c>
      <c r="V21" s="774" t="s">
        <v>17</v>
      </c>
      <c r="W21" s="775">
        <f>J21</f>
        <v>100</v>
      </c>
      <c r="X21" s="1812"/>
      <c r="Y21" s="3174"/>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174"/>
      <c r="Q22" s="1809"/>
      <c r="R22" s="774"/>
      <c r="S22" s="775"/>
      <c r="T22" s="774"/>
      <c r="U22" s="775"/>
      <c r="V22" s="774"/>
      <c r="W22" s="775"/>
      <c r="X22" s="1812"/>
      <c r="Y22" s="3174"/>
      <c r="Z22" s="1813"/>
      <c r="AA22" s="1810">
        <v>1</v>
      </c>
      <c r="AB22" s="1810">
        <v>1</v>
      </c>
      <c r="AC22" s="1810">
        <v>1</v>
      </c>
    </row>
    <row r="23" spans="1:29" s="117" customFormat="1" ht="42.75">
      <c r="A23" s="649"/>
      <c r="B23" s="633"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4"/>
      <c r="Q23" s="1794" t="str">
        <f t="shared" si="8"/>
        <v>公共配套设施</v>
      </c>
      <c r="R23" s="770" t="s">
        <v>17</v>
      </c>
      <c r="S23" s="771">
        <f>F23</f>
        <v>100</v>
      </c>
      <c r="T23" s="770" t="s">
        <v>17</v>
      </c>
      <c r="U23" s="771">
        <f>H23</f>
        <v>100</v>
      </c>
      <c r="V23" s="770" t="s">
        <v>17</v>
      </c>
      <c r="W23" s="771">
        <f>J23</f>
        <v>100</v>
      </c>
      <c r="X23" s="772"/>
      <c r="Y23" s="3174"/>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174"/>
      <c r="Q24" s="1794"/>
      <c r="R24" s="770"/>
      <c r="S24" s="771"/>
      <c r="T24" s="770"/>
      <c r="U24" s="771"/>
      <c r="V24" s="770"/>
      <c r="W24" s="771"/>
      <c r="X24" s="772"/>
      <c r="Y24" s="3174"/>
      <c r="Z24" s="55"/>
      <c r="AA24" s="773">
        <v>1</v>
      </c>
      <c r="AB24" s="773">
        <v>1</v>
      </c>
      <c r="AC24" s="773">
        <v>1</v>
      </c>
    </row>
    <row r="25" spans="1:29" s="117" customFormat="1" ht="28.5">
      <c r="A25" s="649"/>
      <c r="B25" s="633"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4"/>
      <c r="Q25" s="1794"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174"/>
      <c r="Q26" s="1794"/>
      <c r="R26" s="770"/>
      <c r="S26" s="771"/>
      <c r="T26" s="770"/>
      <c r="U26" s="771"/>
      <c r="V26" s="770"/>
      <c r="W26" s="771"/>
      <c r="X26" s="772"/>
      <c r="Y26" s="3174"/>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4"/>
      <c r="Z27" s="1813" t="str">
        <f t="shared" ref="Z27:Z40" si="13">Q27</f>
        <v>临街状况</v>
      </c>
      <c r="AA27" s="1810">
        <f t="shared" si="3"/>
        <v>1</v>
      </c>
      <c r="AB27" s="1810">
        <f t="shared" si="4"/>
        <v>1</v>
      </c>
      <c r="AC27" s="1810">
        <f t="shared" si="5"/>
        <v>1</v>
      </c>
    </row>
    <row r="28" spans="1:29" ht="27">
      <c r="A28" s="428"/>
      <c r="B28" s="633"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4"/>
      <c r="Q28" s="1809" t="str">
        <f t="shared" si="8"/>
        <v>毗邻道路的类型与等级</v>
      </c>
      <c r="R28" s="774" t="s">
        <v>17</v>
      </c>
      <c r="S28" s="775">
        <f t="shared" si="10"/>
        <v>100</v>
      </c>
      <c r="T28" s="774" t="s">
        <v>17</v>
      </c>
      <c r="U28" s="775">
        <f t="shared" si="11"/>
        <v>100</v>
      </c>
      <c r="V28" s="774" t="s">
        <v>17</v>
      </c>
      <c r="W28" s="775">
        <f t="shared" si="12"/>
        <v>100</v>
      </c>
      <c r="X28" s="1812"/>
      <c r="Y28" s="3174"/>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174"/>
      <c r="Q29" s="1809"/>
      <c r="R29" s="774"/>
      <c r="S29" s="775"/>
      <c r="T29" s="774"/>
      <c r="U29" s="775"/>
      <c r="V29" s="774"/>
      <c r="W29" s="775"/>
      <c r="X29" s="1812"/>
      <c r="Y29" s="3174"/>
      <c r="Z29" s="1813"/>
      <c r="AA29" s="1810">
        <v>1</v>
      </c>
      <c r="AB29" s="1810">
        <v>1</v>
      </c>
      <c r="AC29" s="1810">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4"/>
      <c r="Q30" s="1809" t="str">
        <f t="shared" si="8"/>
        <v>土地级别</v>
      </c>
      <c r="R30" s="774" t="s">
        <v>17</v>
      </c>
      <c r="S30" s="775">
        <f t="shared" si="10"/>
        <v>100</v>
      </c>
      <c r="T30" s="774" t="s">
        <v>17</v>
      </c>
      <c r="U30" s="775">
        <f t="shared" si="11"/>
        <v>100</v>
      </c>
      <c r="V30" s="774" t="s">
        <v>17</v>
      </c>
      <c r="W30" s="775">
        <f t="shared" si="12"/>
        <v>100</v>
      </c>
      <c r="X30" s="1812"/>
      <c r="Y30" s="3174"/>
      <c r="Z30" s="1813" t="str">
        <f t="shared" si="13"/>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4"/>
      <c r="Q31" s="1809">
        <f t="shared" si="8"/>
        <v>111</v>
      </c>
      <c r="R31" s="774" t="s">
        <v>17</v>
      </c>
      <c r="S31" s="775">
        <f t="shared" si="10"/>
        <v>100</v>
      </c>
      <c r="T31" s="774" t="s">
        <v>17</v>
      </c>
      <c r="U31" s="775">
        <f t="shared" si="11"/>
        <v>100</v>
      </c>
      <c r="V31" s="774" t="s">
        <v>17</v>
      </c>
      <c r="W31" s="775">
        <f t="shared" si="12"/>
        <v>100</v>
      </c>
      <c r="X31" s="1812"/>
      <c r="Y31" s="3174"/>
      <c r="Z31" s="1813">
        <f t="shared" si="13"/>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75" t="s">
        <v>2560</v>
      </c>
      <c r="Q32" s="1809">
        <f t="shared" si="8"/>
        <v>111</v>
      </c>
      <c r="R32" s="774" t="s">
        <v>17</v>
      </c>
      <c r="S32" s="775">
        <f t="shared" si="10"/>
        <v>100</v>
      </c>
      <c r="T32" s="774" t="s">
        <v>17</v>
      </c>
      <c r="U32" s="775">
        <f t="shared" si="11"/>
        <v>100</v>
      </c>
      <c r="V32" s="774" t="s">
        <v>17</v>
      </c>
      <c r="W32" s="775">
        <f t="shared" si="12"/>
        <v>100</v>
      </c>
      <c r="X32" s="1812"/>
      <c r="Y32" s="3176" t="s">
        <v>2560</v>
      </c>
      <c r="Z32" s="1813">
        <f t="shared" si="13"/>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6"/>
      <c r="Q33" s="1809">
        <f t="shared" si="8"/>
        <v>111</v>
      </c>
      <c r="R33" s="777" t="s">
        <v>17</v>
      </c>
      <c r="S33" s="778">
        <f t="shared" si="10"/>
        <v>100</v>
      </c>
      <c r="T33" s="777" t="s">
        <v>17</v>
      </c>
      <c r="U33" s="778">
        <f t="shared" si="11"/>
        <v>100</v>
      </c>
      <c r="V33" s="777" t="s">
        <v>17</v>
      </c>
      <c r="W33" s="778">
        <f t="shared" si="12"/>
        <v>100</v>
      </c>
      <c r="X33" s="779"/>
      <c r="Y33" s="3176"/>
      <c r="Z33" s="780">
        <f t="shared" si="13"/>
        <v>111</v>
      </c>
      <c r="AA33" s="1810">
        <f t="shared" si="3"/>
        <v>1</v>
      </c>
      <c r="AB33" s="1810">
        <f t="shared" si="4"/>
        <v>1</v>
      </c>
      <c r="AC33" s="1810">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6"/>
      <c r="Q34" s="1809" t="str">
        <f>B34</f>
        <v>宗地面积</v>
      </c>
      <c r="R34" s="774" t="s">
        <v>17</v>
      </c>
      <c r="S34" s="775" t="e">
        <f t="shared" si="10"/>
        <v>#N/A</v>
      </c>
      <c r="T34" s="774" t="s">
        <v>17</v>
      </c>
      <c r="U34" s="775" t="e">
        <f t="shared" si="11"/>
        <v>#N/A</v>
      </c>
      <c r="V34" s="774" t="s">
        <v>17</v>
      </c>
      <c r="W34" s="775" t="e">
        <f t="shared" si="12"/>
        <v>#N/A</v>
      </c>
      <c r="X34" s="1812"/>
      <c r="Y34" s="3176"/>
      <c r="Z34" s="1813" t="str">
        <f t="shared" si="13"/>
        <v>宗地面积</v>
      </c>
      <c r="AA34" s="1810" t="e">
        <f t="shared" si="3"/>
        <v>#N/A</v>
      </c>
      <c r="AB34" s="1810" t="e">
        <f t="shared" si="4"/>
        <v>#N/A</v>
      </c>
      <c r="AC34" s="1810"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76"/>
      <c r="Q35" s="1809" t="str">
        <f t="shared" ref="Q35:Q40" si="14">B35</f>
        <v>宗地形状</v>
      </c>
      <c r="R35" s="774" t="s">
        <v>17</v>
      </c>
      <c r="S35" s="775">
        <f t="shared" si="10"/>
        <v>100</v>
      </c>
      <c r="T35" s="774" t="s">
        <v>17</v>
      </c>
      <c r="U35" s="775">
        <f t="shared" si="11"/>
        <v>100</v>
      </c>
      <c r="V35" s="774" t="s">
        <v>17</v>
      </c>
      <c r="W35" s="775">
        <f t="shared" si="12"/>
        <v>100</v>
      </c>
      <c r="X35" s="1812"/>
      <c r="Y35" s="3176"/>
      <c r="Z35" s="1813" t="str">
        <f t="shared" si="13"/>
        <v>宗地形状</v>
      </c>
      <c r="AA35" s="1810">
        <f t="shared" si="3"/>
        <v>1</v>
      </c>
      <c r="AB35" s="1810">
        <f t="shared" si="4"/>
        <v>1</v>
      </c>
      <c r="AC35" s="1810">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76"/>
      <c r="Q36" s="1809"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76" t="s">
        <v>2560</v>
      </c>
      <c r="Q37" s="1809" t="str">
        <f t="shared" si="14"/>
        <v>工程地质条件</v>
      </c>
      <c r="R37" s="774" t="s">
        <v>17</v>
      </c>
      <c r="S37" s="775">
        <f t="shared" si="10"/>
        <v>100</v>
      </c>
      <c r="T37" s="774" t="s">
        <v>17</v>
      </c>
      <c r="U37" s="775">
        <f t="shared" si="11"/>
        <v>100</v>
      </c>
      <c r="V37" s="774" t="s">
        <v>17</v>
      </c>
      <c r="W37" s="775">
        <f t="shared" si="12"/>
        <v>100</v>
      </c>
      <c r="X37" s="1812"/>
      <c r="Y37" s="3176" t="s">
        <v>2560</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6"/>
      <c r="Q38" s="1809">
        <f t="shared" si="14"/>
        <v>111</v>
      </c>
      <c r="R38" s="774" t="s">
        <v>17</v>
      </c>
      <c r="S38" s="775">
        <f t="shared" si="10"/>
        <v>100</v>
      </c>
      <c r="T38" s="774" t="s">
        <v>17</v>
      </c>
      <c r="U38" s="775">
        <f t="shared" si="11"/>
        <v>100</v>
      </c>
      <c r="V38" s="774" t="s">
        <v>17</v>
      </c>
      <c r="W38" s="775">
        <f t="shared" si="12"/>
        <v>100</v>
      </c>
      <c r="X38" s="1812"/>
      <c r="Y38" s="317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6"/>
      <c r="Q39" s="1809">
        <f t="shared" si="14"/>
        <v>111</v>
      </c>
      <c r="R39" s="774" t="s">
        <v>17</v>
      </c>
      <c r="S39" s="775">
        <f t="shared" si="10"/>
        <v>100</v>
      </c>
      <c r="T39" s="774" t="s">
        <v>17</v>
      </c>
      <c r="U39" s="775">
        <f t="shared" si="11"/>
        <v>100</v>
      </c>
      <c r="V39" s="774" t="s">
        <v>17</v>
      </c>
      <c r="W39" s="775">
        <f t="shared" si="12"/>
        <v>100</v>
      </c>
      <c r="X39" s="1812"/>
      <c r="Y39" s="3176"/>
      <c r="Z39" s="1813">
        <f t="shared" si="13"/>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6"/>
      <c r="Q40" s="1809">
        <f t="shared" si="14"/>
        <v>111</v>
      </c>
      <c r="R40" s="777" t="s">
        <v>17</v>
      </c>
      <c r="S40" s="778">
        <f t="shared" si="10"/>
        <v>100</v>
      </c>
      <c r="T40" s="777" t="s">
        <v>17</v>
      </c>
      <c r="U40" s="778">
        <f t="shared" si="11"/>
        <v>100</v>
      </c>
      <c r="V40" s="777" t="s">
        <v>17</v>
      </c>
      <c r="W40" s="778">
        <f t="shared" si="12"/>
        <v>100</v>
      </c>
      <c r="X40" s="779"/>
      <c r="Y40" s="3176"/>
      <c r="Z40" s="780">
        <f t="shared" si="13"/>
        <v>111</v>
      </c>
      <c r="AA40" s="1810">
        <f t="shared" si="3"/>
        <v>1</v>
      </c>
      <c r="AB40" s="1810">
        <f t="shared" si="4"/>
        <v>1</v>
      </c>
      <c r="AC40" s="1810">
        <f t="shared" si="5"/>
        <v>1</v>
      </c>
    </row>
    <row r="41" spans="1:29" ht="15">
      <c r="A41" s="479" t="s">
        <v>2715</v>
      </c>
      <c r="B41" s="2700" t="s">
        <v>2795</v>
      </c>
      <c r="C41" s="682" t="s">
        <v>1</v>
      </c>
      <c r="D41" s="481"/>
      <c r="E41" s="482"/>
      <c r="F41" s="483"/>
      <c r="G41" s="484"/>
      <c r="H41" s="485"/>
      <c r="I41" s="482"/>
      <c r="J41" s="485"/>
      <c r="K41" s="783"/>
      <c r="L41" s="1143"/>
      <c r="M41" s="1131"/>
      <c r="N41" s="1131"/>
      <c r="O41" s="1144"/>
      <c r="P41" s="3171" t="str">
        <f>A41</f>
        <v>成交单价</v>
      </c>
      <c r="Q41" s="3171"/>
      <c r="R41" s="3177">
        <f>E41</f>
        <v>0</v>
      </c>
      <c r="S41" s="3177"/>
      <c r="T41" s="3177">
        <f>G41</f>
        <v>0</v>
      </c>
      <c r="U41" s="3177"/>
      <c r="V41" s="3177">
        <f>I41</f>
        <v>0</v>
      </c>
      <c r="W41" s="3177"/>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71" t="str">
        <f>A42</f>
        <v>比较价值（元/平方米）</v>
      </c>
      <c r="Q42" s="3171"/>
      <c r="R42" s="3164" t="e">
        <f>ROUND(PRODUCT(R41,AA7:AA40),0)</f>
        <v>#DIV/0!</v>
      </c>
      <c r="S42" s="3164"/>
      <c r="T42" s="3164" t="e">
        <f>ROUND(PRODUCT(T41,AB7:AB40),0)</f>
        <v>#DIV/0!</v>
      </c>
      <c r="U42" s="3164"/>
      <c r="V42" s="3164" t="e">
        <f>ROUND(PRODUCT(V41,AC7:AC40),0)</f>
        <v>#DIV/0!</v>
      </c>
      <c r="W42" s="3164"/>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165" t="str">
        <f>A43</f>
        <v>估价对象XX用房的比较价值（楼面单价，元/平方米）</v>
      </c>
      <c r="Q43" s="3166"/>
      <c r="R43" s="3167" t="e">
        <f>ROUND(AVERAGE(R42:V42),0)</f>
        <v>#DIV/0!</v>
      </c>
      <c r="S43" s="3167"/>
      <c r="T43" s="3167"/>
      <c r="U43" s="3167"/>
      <c r="V43" s="3167"/>
      <c r="W43" s="316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1" t="s">
        <v>2755</v>
      </c>
      <c r="D50" s="2702" t="s">
        <v>2756</v>
      </c>
      <c r="E50" s="686" t="s">
        <v>2757</v>
      </c>
      <c r="F50" s="687" t="s">
        <v>2758</v>
      </c>
      <c r="G50" s="3168" t="s">
        <v>2759</v>
      </c>
      <c r="H50" s="3169"/>
      <c r="I50" s="1813" t="s">
        <v>2796</v>
      </c>
      <c r="J50" s="1813" t="str">
        <f>项目基本情况!F35</f>
        <v>安徽省芜湖市</v>
      </c>
      <c r="K50" s="2704" t="s">
        <v>2761</v>
      </c>
      <c r="L50" s="1106"/>
      <c r="M50" s="1144"/>
      <c r="N50" s="1144"/>
      <c r="O50" s="1144"/>
    </row>
    <row r="51" spans="1:17" s="692" customFormat="1">
      <c r="A51" s="688" t="s">
        <v>2762</v>
      </c>
      <c r="B51" s="689" t="e">
        <f>C43</f>
        <v>#DIV/0!</v>
      </c>
      <c r="C51" s="690">
        <v>1</v>
      </c>
      <c r="D51" s="1163">
        <v>1</v>
      </c>
      <c r="E51" s="690">
        <f>'数据-汇总表'!E8+'数据-汇总表'!E9</f>
        <v>106422.48999999999</v>
      </c>
      <c r="F51" s="691" t="e">
        <f t="shared" ref="F51:F60" si="15">ROUND(B51*E51/10000,0)</f>
        <v>#DIV/0!</v>
      </c>
      <c r="G51" s="3170"/>
      <c r="H51" s="3171"/>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172"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172"/>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172"/>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172"/>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5"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2259.71</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5"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6"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1026</v>
      </c>
      <c r="E61" s="696">
        <f>IF(B41="楼面地价",SUM(E51:E60),'数据-汇总表'!D3)</f>
        <v>84185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7" t="s">
        <v>2777</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2"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2799</v>
      </c>
      <c r="B1" s="241"/>
      <c r="C1" s="245" t="s">
        <v>2800</v>
      </c>
      <c r="D1" s="388">
        <f>SUM(D29:D30,D33:D39)</f>
        <v>0</v>
      </c>
      <c r="E1" s="2713"/>
      <c r="F1" s="2713"/>
      <c r="G1" s="2713"/>
      <c r="H1" s="2713"/>
      <c r="I1" s="2713"/>
      <c r="J1" s="2713"/>
      <c r="K1" s="1370"/>
      <c r="L1" s="2714" t="s">
        <v>2801</v>
      </c>
      <c r="M1" s="1080">
        <f>SUMPRODUCT((区片价!B5:B9=I2)*(区片价!C3:F3=E2)*(区片价!C5:F9))</f>
        <v>0</v>
      </c>
      <c r="N1" s="1083">
        <f>SUMPRODUCT((因素修正幅度!B5:B9=I2)*(因素修正幅度!C3:F3=E2)*(因素修正幅度!C5:F9))</f>
        <v>0</v>
      </c>
      <c r="O1" s="2715"/>
      <c r="P1" s="2715"/>
      <c r="Q1" s="1370"/>
      <c r="R1" s="1601" t="s">
        <v>2802</v>
      </c>
      <c r="S1" s="1601" t="s">
        <v>2803</v>
      </c>
      <c r="T1" s="1601" t="s">
        <v>2804</v>
      </c>
      <c r="U1" s="1601" t="s">
        <v>2805</v>
      </c>
      <c r="V1" s="1601" t="s">
        <v>2806</v>
      </c>
      <c r="W1" s="1605"/>
      <c r="X1" s="1605"/>
      <c r="Y1" s="1605"/>
      <c r="Z1" s="1605"/>
      <c r="AA1" s="1605"/>
      <c r="AB1" s="1605"/>
      <c r="AC1" s="1606"/>
      <c r="AD1" s="1607"/>
      <c r="AE1" s="1607"/>
      <c r="AF1" s="1607"/>
      <c r="AG1" s="1607"/>
      <c r="AH1" s="1607"/>
      <c r="AI1" s="1607"/>
      <c r="AJ1" s="1608"/>
    </row>
    <row r="2" spans="1:36" ht="15.75">
      <c r="A2" s="245" t="s">
        <v>2807</v>
      </c>
      <c r="B2" s="248"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70"/>
      <c r="L2" s="2722" t="s">
        <v>2812</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2813</v>
      </c>
      <c r="B3" s="248" t="e">
        <f>ROUND(B2*10000/D1,0)</f>
        <v>#DIV/0!</v>
      </c>
      <c r="C3" s="2717" t="s">
        <v>2814</v>
      </c>
      <c r="D3" s="2718" t="s">
        <v>2815</v>
      </c>
      <c r="E3" s="2723"/>
      <c r="F3" s="2724" t="s">
        <v>2816</v>
      </c>
      <c r="G3" s="916">
        <f>IF(F3="宗地容积率",'数据-汇总表'!I4,IF(F3="估价对象容积率",'数据-汇总表'!I6,'数据-汇总表'!I7))</f>
        <v>1.26</v>
      </c>
      <c r="H3" s="198" t="s">
        <v>2817</v>
      </c>
      <c r="I3" s="944"/>
      <c r="J3" s="2721" t="s">
        <v>2818</v>
      </c>
      <c r="K3" s="1370"/>
      <c r="L3" s="2722"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7"/>
      <c r="B4" s="3268"/>
      <c r="C4" s="3268"/>
      <c r="D4" s="3269"/>
      <c r="E4" s="3269"/>
      <c r="F4" s="3269"/>
      <c r="G4" s="3269"/>
      <c r="H4" s="3269"/>
      <c r="I4" s="3269"/>
      <c r="J4" s="3270"/>
      <c r="K4" s="1370"/>
      <c r="L4" s="2722"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2821</v>
      </c>
      <c r="C5" s="917" t="e">
        <f>ROUND(IF(E2="商业",C6*C7+C16,(IF(E2="住宅",C6*C12+C16,C6+C16))),0)</f>
        <v>#DIV/0!</v>
      </c>
      <c r="D5" s="1786" t="e">
        <f>ROUND(IF(F17="增加",C6+C16,C6-C16),0)</f>
        <v>#DIV/0!</v>
      </c>
      <c r="E5" s="1786"/>
      <c r="F5" s="2727"/>
      <c r="G5" s="2728"/>
      <c r="H5" s="2728"/>
      <c r="I5" s="2728"/>
      <c r="J5" s="2729"/>
      <c r="K5" s="2730"/>
      <c r="L5" s="2722"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2823</v>
      </c>
      <c r="B6" s="2736" t="s">
        <v>2824</v>
      </c>
      <c r="C6" s="918">
        <f>SUMIF(L1:L12,G2,M1:M12)</f>
        <v>0</v>
      </c>
      <c r="D6" s="2737" t="s">
        <v>2825</v>
      </c>
      <c r="E6" s="2738"/>
      <c r="F6" s="2738"/>
      <c r="G6" s="2739"/>
      <c r="H6" s="2739"/>
      <c r="I6" s="2739"/>
      <c r="J6" s="2740"/>
      <c r="K6" s="1841"/>
      <c r="L6" s="2722" t="s">
        <v>2826</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71" t="str">
        <f>IF(E2="商业",IF(C8="不临58条商业街","",2),"")</f>
        <v/>
      </c>
      <c r="B7" s="2741" t="s">
        <v>2827</v>
      </c>
      <c r="C7" s="919" t="e">
        <f>IF(C8="不临58条商业街",1,ROUND(1+(1.6*E8+1.2*E9+0.8*E10+0.4*E11)*C9,4))</f>
        <v>#DIV/0!</v>
      </c>
      <c r="D7" s="2742" t="s">
        <v>2828</v>
      </c>
      <c r="E7" s="945"/>
      <c r="F7" s="2743"/>
      <c r="G7" s="2744"/>
      <c r="H7" s="2744"/>
      <c r="I7" s="2744"/>
      <c r="J7" s="2745"/>
      <c r="K7" s="1841"/>
      <c r="L7" s="2722"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2830</v>
      </c>
      <c r="X7" s="1603">
        <f>G2</f>
        <v>0</v>
      </c>
      <c r="Y7" s="1603" t="s">
        <v>2831</v>
      </c>
      <c r="Z7" s="1604">
        <f>G3</f>
        <v>1.26</v>
      </c>
      <c r="AA7" s="1605"/>
      <c r="AB7" s="1605"/>
      <c r="AC7" s="1606"/>
      <c r="AD7" s="1607"/>
      <c r="AE7" s="1607"/>
      <c r="AF7" s="1607"/>
      <c r="AG7" s="1607"/>
      <c r="AH7" s="1607"/>
      <c r="AI7" s="1607"/>
      <c r="AJ7" s="1608"/>
    </row>
    <row r="8" spans="1:36" ht="15">
      <c r="A8" s="3272"/>
      <c r="B8" s="198" t="s">
        <v>2832</v>
      </c>
      <c r="C8" s="2746"/>
      <c r="D8" s="920" t="s">
        <v>139</v>
      </c>
      <c r="E8" s="921" t="e">
        <f>ROUND(C11/E7,4)</f>
        <v>#DIV/0!</v>
      </c>
      <c r="F8" s="2747" t="s">
        <v>2833</v>
      </c>
      <c r="G8" s="2748"/>
      <c r="H8" s="2748"/>
      <c r="I8" s="2748"/>
      <c r="J8" s="2749"/>
      <c r="K8" s="1370"/>
      <c r="L8" s="2722"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4" t="s">
        <v>2835</v>
      </c>
      <c r="X8" s="3265"/>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272"/>
      <c r="B9" s="198" t="s">
        <v>2848</v>
      </c>
      <c r="C9" s="922">
        <f>SUMIF(修正!C59:C119,C8,修正!E59:E119)</f>
        <v>0</v>
      </c>
      <c r="D9" s="200" t="s">
        <v>140</v>
      </c>
      <c r="E9" s="200" t="e">
        <f>ROUND(C11/E7,4)</f>
        <v>#DIV/0!</v>
      </c>
      <c r="F9" s="2747" t="s">
        <v>2849</v>
      </c>
      <c r="G9" s="2748"/>
      <c r="H9" s="2748"/>
      <c r="I9" s="2748"/>
      <c r="J9" s="2749"/>
      <c r="K9" s="1370"/>
      <c r="L9" s="2722"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6"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2"/>
      <c r="B10" s="198" t="s">
        <v>2853</v>
      </c>
      <c r="C10" s="200">
        <f>SUMIF(修正!C59:C119,C8,修正!F59:F119)</f>
        <v>0</v>
      </c>
      <c r="D10" s="200" t="s">
        <v>141</v>
      </c>
      <c r="E10" s="200" t="e">
        <f>ROUND(C11/E7,4)</f>
        <v>#DIV/0!</v>
      </c>
      <c r="F10" s="2747" t="s">
        <v>2854</v>
      </c>
      <c r="G10" s="2748"/>
      <c r="H10" s="2748"/>
      <c r="I10" s="2748"/>
      <c r="J10" s="2749"/>
      <c r="K10" s="1370"/>
      <c r="L10" s="2722"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2"/>
      <c r="B11" s="2750" t="s">
        <v>2856</v>
      </c>
      <c r="C11" s="923">
        <f>C10/4</f>
        <v>0</v>
      </c>
      <c r="D11" s="923" t="s">
        <v>142</v>
      </c>
      <c r="E11" s="923" t="e">
        <f>ROUND(C11/E7,4)</f>
        <v>#DIV/0!</v>
      </c>
      <c r="F11" s="2751" t="s">
        <v>2857</v>
      </c>
      <c r="G11" s="2752"/>
      <c r="H11" s="2752"/>
      <c r="I11" s="2752"/>
      <c r="J11" s="2753"/>
      <c r="K11" s="1370"/>
      <c r="L11" s="2722"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6" t="s">
        <v>2859</v>
      </c>
      <c r="X11" s="1613" t="s">
        <v>2860</v>
      </c>
      <c r="Y11" s="1614">
        <f>$G$3</f>
        <v>1.26</v>
      </c>
      <c r="Z11" s="1614">
        <f t="shared" ref="Z11:AJ11" si="3">$G$3</f>
        <v>1.26</v>
      </c>
      <c r="AA11" s="1614">
        <f t="shared" si="3"/>
        <v>1.26</v>
      </c>
      <c r="AB11" s="1614">
        <f t="shared" si="3"/>
        <v>1.26</v>
      </c>
      <c r="AC11" s="1614">
        <f t="shared" si="3"/>
        <v>1.26</v>
      </c>
      <c r="AD11" s="1614">
        <f t="shared" si="3"/>
        <v>1.26</v>
      </c>
      <c r="AE11" s="1614">
        <f t="shared" si="3"/>
        <v>1.26</v>
      </c>
      <c r="AF11" s="1614">
        <f t="shared" si="3"/>
        <v>1.26</v>
      </c>
      <c r="AG11" s="1614">
        <f t="shared" si="3"/>
        <v>1.26</v>
      </c>
      <c r="AH11" s="1614">
        <f t="shared" si="3"/>
        <v>1.26</v>
      </c>
      <c r="AI11" s="1614">
        <f t="shared" si="3"/>
        <v>1.26</v>
      </c>
      <c r="AJ11" s="1614">
        <f t="shared" si="3"/>
        <v>1.26</v>
      </c>
    </row>
    <row r="12" spans="1:36" ht="25.5" thickBot="1">
      <c r="A12" s="3271" t="s">
        <v>2861</v>
      </c>
      <c r="B12" s="2754" t="s">
        <v>2862</v>
      </c>
      <c r="C12" s="919">
        <f>ROUND(C15*D15*E15*F15*G15*H15*I15*J15,4)</f>
        <v>1</v>
      </c>
      <c r="D12" s="2755" t="s">
        <v>2863</v>
      </c>
      <c r="E12" s="2756"/>
      <c r="F12" s="2756"/>
      <c r="G12" s="2757"/>
      <c r="H12" s="2757"/>
      <c r="I12" s="2757"/>
      <c r="J12" s="2758"/>
      <c r="K12" s="1370"/>
      <c r="L12" s="2759"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6"/>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3"/>
      <c r="B13" s="2760" t="s">
        <v>2866</v>
      </c>
      <c r="C13" s="2761" t="s">
        <v>2867</v>
      </c>
      <c r="D13" s="1807" t="s">
        <v>2868</v>
      </c>
      <c r="E13" s="1807" t="s">
        <v>2869</v>
      </c>
      <c r="F13" s="30" t="s">
        <v>2870</v>
      </c>
      <c r="G13" s="2762" t="s">
        <v>2871</v>
      </c>
      <c r="H13" s="2762" t="s">
        <v>2871</v>
      </c>
      <c r="I13" s="2762" t="s">
        <v>2871</v>
      </c>
      <c r="J13" s="2763" t="s">
        <v>2871</v>
      </c>
      <c r="K13" s="1370"/>
      <c r="L13" s="1370"/>
      <c r="M13" s="1370"/>
      <c r="N13" s="1370"/>
      <c r="O13" s="1370"/>
      <c r="P13" s="1370"/>
      <c r="Q13" s="1370"/>
      <c r="R13" s="1601">
        <v>12</v>
      </c>
      <c r="S13" s="1602"/>
      <c r="T13" s="1601" t="e">
        <f t="shared" si="0"/>
        <v>#DIV/0!</v>
      </c>
      <c r="U13" s="1602"/>
      <c r="V13" s="1601" t="e">
        <f t="shared" si="1"/>
        <v>#DIV/0!</v>
      </c>
      <c r="W13" s="3266"/>
      <c r="X13" s="1615"/>
      <c r="Y13" s="1612">
        <f>(-0.163*(Y12^2)-0.59*Y12+7617)*(10^(-4))/Y11</f>
        <v>0.60452380952380957</v>
      </c>
      <c r="Z13" s="1612">
        <f t="shared" ref="Z13:AJ13" si="5">(-0.163*(Z12^2)-0.59*Z12+7617)*(10^(-4))/Z11</f>
        <v>0.60452380952380957</v>
      </c>
      <c r="AA13" s="1612">
        <f t="shared" si="5"/>
        <v>0.60452380952380957</v>
      </c>
      <c r="AB13" s="1612">
        <f t="shared" si="5"/>
        <v>0.60452380952380957</v>
      </c>
      <c r="AC13" s="1612">
        <f t="shared" si="5"/>
        <v>0.60452380952380957</v>
      </c>
      <c r="AD13" s="1612">
        <f t="shared" si="5"/>
        <v>0.60452380952380957</v>
      </c>
      <c r="AE13" s="1612">
        <f t="shared" si="5"/>
        <v>0.60452380952380957</v>
      </c>
      <c r="AF13" s="1612">
        <f t="shared" si="5"/>
        <v>0.60452380952380957</v>
      </c>
      <c r="AG13" s="1612">
        <f t="shared" si="5"/>
        <v>0.60452380952380957</v>
      </c>
      <c r="AH13" s="1612">
        <f t="shared" si="5"/>
        <v>0.60452380952380957</v>
      </c>
      <c r="AI13" s="1612">
        <f t="shared" si="5"/>
        <v>0.60452380952380957</v>
      </c>
      <c r="AJ13" s="1612">
        <f t="shared" si="5"/>
        <v>0.60452380952380957</v>
      </c>
    </row>
    <row r="14" spans="1:36" ht="15">
      <c r="A14" s="3273"/>
      <c r="B14" s="2764"/>
      <c r="C14" s="2765"/>
      <c r="D14" s="2766"/>
      <c r="E14" s="2766"/>
      <c r="F14" s="2767"/>
      <c r="G14" s="2768" t="s">
        <v>2872</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4"/>
      <c r="B15" s="2772" t="s">
        <v>2873</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1" t="s">
        <v>2878</v>
      </c>
      <c r="B16" s="2741" t="s">
        <v>2879</v>
      </c>
      <c r="C16" s="2931" t="e">
        <f>ROUND(IF(F17="与级别开发程度一致",0,(G17-E17)/C17),0)</f>
        <v>#DIV/0!</v>
      </c>
      <c r="D16" s="3285" t="s">
        <v>2883</v>
      </c>
      <c r="E16" s="3286"/>
      <c r="F16" s="3285" t="s">
        <v>2880</v>
      </c>
      <c r="G16" s="3286"/>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5"/>
      <c r="B17" s="2942" t="s">
        <v>2882</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2885</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2886</v>
      </c>
      <c r="C19" s="924" t="e">
        <f>ROUND(IF(H19="按公示增长率计算",SUMPRODUCT((地价!A3:A26=YEAR(G19)&amp;"-"&amp;ROUNDUP(MONTH(G19)/3,0))*(地价!X2:AB2=E2)*(地价!X3:AB26)),IF(H19="地价指数",M20/M19,(1+I19)^O19)),4)</f>
        <v>#DIV/0!</v>
      </c>
      <c r="D19" s="2785" t="s">
        <v>2887</v>
      </c>
      <c r="E19" s="925">
        <v>41640</v>
      </c>
      <c r="F19" s="2785" t="s">
        <v>2888</v>
      </c>
      <c r="G19" s="926">
        <f>'数据-取费表'!B2</f>
        <v>43630</v>
      </c>
      <c r="H19" s="2786" t="s">
        <v>2889</v>
      </c>
      <c r="I19" s="927" t="str">
        <f>IF(H19="季度增幅（自定义）",SUMIF(N21:N24,E2,O21:O24),"")</f>
        <v/>
      </c>
      <c r="J19" s="2783"/>
      <c r="K19" s="1377"/>
      <c r="L19" s="2787" t="s">
        <v>2890</v>
      </c>
      <c r="M19" s="1733">
        <f>ROUND(SUMIF(地价!B2:F2,E2,地价!B26:F26),0)</f>
        <v>0</v>
      </c>
      <c r="N19" s="2788"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2892</v>
      </c>
      <c r="C20" s="929" t="e">
        <f>ROUND(POWER(1+G20,J20-I20)*(POWER(1+G20,I20)-1)/(POWER(1+G20,J20)-1),4)</f>
        <v>#DIV/0!</v>
      </c>
      <c r="D20" s="2794" t="s">
        <v>2893</v>
      </c>
      <c r="E20" s="1767">
        <f ca="1">存贷款利率!D4/100</f>
        <v>4.3499999999999997E-2</v>
      </c>
      <c r="F20" s="2794" t="s">
        <v>2884</v>
      </c>
      <c r="G20" s="934">
        <f>SUMIF(M26:P26,E2,M28:P28)</f>
        <v>0</v>
      </c>
      <c r="H20" s="2794" t="s">
        <v>2894</v>
      </c>
      <c r="I20" s="935" t="e">
        <f>SUMIF('数据-取费表'!C6:C15,E2,'数据-取费表'!F6:F15)/COUNTIF('数据-取费表'!C6:C15,E2)</f>
        <v>#DIV/0!</v>
      </c>
      <c r="J20" s="936">
        <f>IF(E2="住宅",70,IF(E2="商业",40,50))</f>
        <v>50</v>
      </c>
      <c r="K20" s="1377"/>
      <c r="L20" s="2795" t="s">
        <v>2895</v>
      </c>
      <c r="M20" s="1734">
        <f>ROUND(SUMPRODUCT((地价!A4:A26=YEAR(G19)&amp;"-"&amp;ROUNDUP(MONTH(G19)/3,0))*(地价!B2:F2=E2)*(地价!B4:F26)),0)</f>
        <v>0</v>
      </c>
      <c r="N20" s="2796" t="s">
        <v>2896</v>
      </c>
      <c r="O20" s="2797" t="s">
        <v>2897</v>
      </c>
      <c r="P20" s="2798" t="s">
        <v>2898</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2899</v>
      </c>
      <c r="C21" s="937">
        <f>IF(B21="容积率修正",IF(G3&lt;=10,D22,J22),C23)</f>
        <v>0</v>
      </c>
      <c r="D21" s="2801"/>
      <c r="E21" s="2801"/>
      <c r="F21" s="2801"/>
      <c r="G21" s="2801"/>
      <c r="H21" s="2801"/>
      <c r="I21" s="2801"/>
      <c r="J21" s="2802"/>
      <c r="K21" s="1377"/>
      <c r="N21" s="2803" t="s">
        <v>2900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2901</v>
      </c>
      <c r="B22" s="2804" t="s">
        <v>2902</v>
      </c>
      <c r="C22" s="1809" t="s">
        <v>2903</v>
      </c>
      <c r="D22" s="1809">
        <f>IF(E22=G22,F22,IF(G3&lt;=10,ROUND(F22+(H22-F22)*(G3-E22)/(G22-E22),4),"——"))</f>
        <v>0</v>
      </c>
      <c r="E22" s="916">
        <f>ROUNDDOWN(G3,1)</f>
        <v>1.2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2904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2905</v>
      </c>
      <c r="B23" s="2805" t="s">
        <v>2906</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2907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2908</v>
      </c>
      <c r="C24" s="924">
        <f>SUMIF(A45:A88,E2,B45:B88)</f>
        <v>0</v>
      </c>
      <c r="D24" s="2782"/>
      <c r="E24" s="2811"/>
      <c r="F24" s="2811"/>
      <c r="G24" s="2811"/>
      <c r="H24" s="2811"/>
      <c r="I24" s="2811"/>
      <c r="J24" s="2812"/>
      <c r="K24" s="1377"/>
      <c r="N24" s="2813" t="s">
        <v>2909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2910</v>
      </c>
      <c r="C25" s="930"/>
      <c r="D25" s="2744"/>
      <c r="E25" s="2744"/>
      <c r="F25" s="2815"/>
      <c r="G25" s="2744"/>
      <c r="H25" s="2744"/>
      <c r="I25" s="2744"/>
      <c r="J25" s="2745"/>
      <c r="K25" s="1370"/>
      <c r="N25" s="2816" t="s">
        <v>2911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2912</v>
      </c>
      <c r="C26" s="206" t="e">
        <f>E29+SUM(E33:E39)</f>
        <v>#DIV/0!</v>
      </c>
      <c r="D26" s="2818"/>
      <c r="E26" s="2769"/>
      <c r="F26" s="2819"/>
      <c r="G26" s="2769"/>
      <c r="H26" s="2769"/>
      <c r="I26" s="2769"/>
      <c r="J26" s="2820"/>
      <c r="K26" s="1370"/>
      <c r="L26" s="2773" t="s">
        <v>2809</v>
      </c>
      <c r="M26" s="920" t="s">
        <v>2874</v>
      </c>
      <c r="N26" s="920" t="s">
        <v>2875</v>
      </c>
      <c r="O26" s="920" t="s">
        <v>2876</v>
      </c>
      <c r="P26" s="2774" t="s">
        <v>2877</v>
      </c>
      <c r="R26" s="1376"/>
      <c r="S26" s="1376"/>
      <c r="T26" s="1371"/>
      <c r="U26" s="1371"/>
      <c r="V26" s="1371"/>
      <c r="W26" s="1370"/>
      <c r="X26" s="1370"/>
      <c r="Y26" s="1370"/>
      <c r="Z26" s="1377"/>
      <c r="AA26" s="1378"/>
      <c r="AB26" s="1378"/>
      <c r="AC26" s="1378"/>
      <c r="AD26" s="1378"/>
    </row>
    <row r="27" spans="1:37" ht="15.75" thickBot="1">
      <c r="A27" s="2817"/>
      <c r="B27" s="2821" t="s">
        <v>2913</v>
      </c>
      <c r="C27" s="931" t="e">
        <f>E30+SUM(I33:I39)</f>
        <v>#DIV/0!</v>
      </c>
      <c r="D27" s="2822"/>
      <c r="E27" s="2823"/>
      <c r="F27" s="2824"/>
      <c r="G27" s="2823"/>
      <c r="H27" s="2823"/>
      <c r="I27" s="2823"/>
      <c r="J27" s="2825"/>
      <c r="K27" s="1370"/>
      <c r="L27" s="2777"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2914</v>
      </c>
      <c r="C28" s="2828" t="s">
        <v>2915</v>
      </c>
      <c r="D28" s="2828" t="s">
        <v>2916</v>
      </c>
      <c r="E28" s="2829" t="s">
        <v>2917</v>
      </c>
      <c r="F28" s="2830"/>
      <c r="G28" s="2757"/>
      <c r="H28" s="2757"/>
      <c r="I28" s="2757"/>
      <c r="J28" s="2758"/>
      <c r="K28" s="1370"/>
      <c r="L28" s="2778"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2918</v>
      </c>
      <c r="C29" s="206" t="e">
        <f>ROUND(C5*C18*C19*C20*C21*C24,0)</f>
        <v>#DIV/0!</v>
      </c>
      <c r="D29" s="2833"/>
      <c r="E29" s="942" t="e">
        <f>ROUND(C29*D29/10000,0)</f>
        <v>#DIV/0!</v>
      </c>
      <c r="F29" s="2834" t="s">
        <v>2919</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2920</v>
      </c>
      <c r="C30" s="229" t="e">
        <f>ROUND(IF(E2="工业",C29*M39,C29*M38),0)</f>
        <v>#DIV/0!</v>
      </c>
      <c r="D30" s="2839"/>
      <c r="E30" s="942" t="e">
        <f>ROUND(C30*D30/10000,0)</f>
        <v>#DIV/0!</v>
      </c>
      <c r="F30" s="2840" t="s">
        <v>2921</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2922</v>
      </c>
      <c r="C31" s="2845" t="s">
        <v>2923</v>
      </c>
      <c r="D31" s="2757"/>
      <c r="E31" s="2845"/>
      <c r="F31" s="2845"/>
      <c r="G31" s="2755" t="s">
        <v>2924</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2915</v>
      </c>
      <c r="D32" s="498" t="s">
        <v>2916</v>
      </c>
      <c r="E32" s="498" t="s">
        <v>2917</v>
      </c>
      <c r="F32" s="388" t="s">
        <v>2925</v>
      </c>
      <c r="G32" s="2848" t="s">
        <v>2915</v>
      </c>
      <c r="H32" s="2848" t="s">
        <v>2916</v>
      </c>
      <c r="I32" s="2848"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282" t="s">
        <v>2926</v>
      </c>
      <c r="B33" s="2849" t="s">
        <v>2927</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61" t="s">
        <v>2928</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61" t="s">
        <v>2929</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70"/>
      <c r="L35" s="1370"/>
      <c r="M35" s="1370"/>
      <c r="N35" s="1370"/>
      <c r="O35" s="1370"/>
      <c r="P35" s="1370"/>
      <c r="Q35" s="1370"/>
      <c r="R35" s="1370"/>
      <c r="S35" s="1370"/>
      <c r="T35" s="1370"/>
      <c r="U35" s="1370"/>
      <c r="V35" s="1370"/>
      <c r="W35" s="1370"/>
      <c r="X35" s="1370"/>
      <c r="Y35" s="1370"/>
      <c r="Z35" s="1371"/>
    </row>
    <row r="36" spans="1:37" ht="13.5" thickBot="1">
      <c r="A36" s="3284"/>
      <c r="B36" s="2761" t="s">
        <v>2930</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2931</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70"/>
      <c r="L37" s="2852" t="s">
        <v>2932</v>
      </c>
      <c r="M37" s="2853"/>
      <c r="N37" s="1370"/>
      <c r="O37" s="1370"/>
      <c r="P37" s="1370"/>
      <c r="Q37" s="1370"/>
      <c r="R37" s="1370"/>
      <c r="S37" s="1370"/>
      <c r="T37" s="1370"/>
      <c r="U37" s="1370"/>
      <c r="V37" s="1370"/>
      <c r="W37" s="1370"/>
      <c r="X37" s="1370"/>
      <c r="Y37" s="1370"/>
      <c r="Z37" s="1371"/>
    </row>
    <row r="38" spans="1:37">
      <c r="A38" s="2851"/>
      <c r="B38" s="2761" t="s">
        <v>2933</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70"/>
      <c r="L38" s="1886" t="s">
        <v>2934</v>
      </c>
      <c r="M38" s="2854">
        <v>0.25</v>
      </c>
      <c r="N38" s="1370"/>
      <c r="O38" s="1370"/>
      <c r="P38" s="1370"/>
      <c r="Q38" s="1370"/>
      <c r="R38" s="1370"/>
      <c r="S38" s="1370"/>
      <c r="T38" s="1370"/>
      <c r="U38" s="1370"/>
      <c r="V38" s="1370"/>
      <c r="W38" s="1370"/>
      <c r="X38" s="1370"/>
      <c r="Y38" s="1370"/>
      <c r="Z38" s="1371"/>
    </row>
    <row r="39" spans="1:37" ht="13.5" thickBot="1">
      <c r="A39" s="2837"/>
      <c r="B39" s="2855" t="s">
        <v>2935</v>
      </c>
      <c r="C39" s="229" t="e">
        <f>ROUND(D5*C19*C41*C24*F39,0)</f>
        <v>#DIV/0!</v>
      </c>
      <c r="D39" s="2839"/>
      <c r="E39" s="229" t="e">
        <f t="shared" si="7"/>
        <v>#DIV/0!</v>
      </c>
      <c r="F39" s="932">
        <f>SUMIF(修正!A45:A56,G2,修正!H45:H56)</f>
        <v>0</v>
      </c>
      <c r="G39" s="229" t="e">
        <f>ROUND(IF(E2="工业",C39*$M$39,C39*$M$38),0)</f>
        <v>#DIV/0!</v>
      </c>
      <c r="H39" s="229">
        <f t="shared" si="8"/>
        <v>0</v>
      </c>
      <c r="I39" s="229" t="e">
        <f t="shared" si="9"/>
        <v>#DIV/0!</v>
      </c>
      <c r="J39" s="2856"/>
      <c r="K39" s="1370"/>
      <c r="L39" s="2857" t="s">
        <v>2877</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3046</v>
      </c>
      <c r="C41" s="388" t="e">
        <f>ROUND(POWER(1+E41,H41-G41)*(POWER(1+E41,G41)-1)/(POWER(1+E41,H41)-1),4)</f>
        <v>#DIV/0!</v>
      </c>
      <c r="D41" s="200" t="s">
        <v>2884</v>
      </c>
      <c r="E41" s="2925">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2936</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2937</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2938</v>
      </c>
      <c r="B47" s="1808" t="s">
        <v>2939</v>
      </c>
      <c r="C47" s="1808" t="s">
        <v>2940</v>
      </c>
      <c r="D47" s="1808" t="s">
        <v>2941</v>
      </c>
      <c r="E47" s="819" t="s">
        <v>2942</v>
      </c>
      <c r="F47" s="2867" t="s">
        <v>2943</v>
      </c>
      <c r="G47" s="1808" t="s">
        <v>754</v>
      </c>
      <c r="H47" s="2868" t="s">
        <v>2944</v>
      </c>
      <c r="I47" s="1808" t="s">
        <v>2945</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866" t="s">
        <v>2946</v>
      </c>
      <c r="B48" s="2869" t="str">
        <f>估价对象房地状况!C4</f>
        <v>一般</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6" t="s">
        <v>2947</v>
      </c>
      <c r="B49" s="2870" t="str">
        <f>估价对象房地状况!C18</f>
        <v>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2948</v>
      </c>
      <c r="B50" s="2870">
        <f>估价对象房地状况!C19</f>
        <v>0</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2949</v>
      </c>
      <c r="B51" s="2871" t="s">
        <v>2950</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2951</v>
      </c>
      <c r="B52" s="2870">
        <f>估价对象房地状况!C24</f>
        <v>0</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2952</v>
      </c>
      <c r="B53" s="2872" t="s">
        <v>2953</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3" t="s">
        <v>2954</v>
      </c>
      <c r="B54" s="1724" t="str">
        <f>估价对象房地状况!C21</f>
        <v>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3" t="s">
        <v>2955</v>
      </c>
      <c r="B55" s="2870" t="str">
        <f>估价对象房地状况!C22</f>
        <v>六通</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4" t="s">
        <v>2956</v>
      </c>
      <c r="B56" s="2875" t="str">
        <f>估价对象房地状况!C20</f>
        <v>一般</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2957</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2938</v>
      </c>
      <c r="B58" s="1808"/>
      <c r="C58" s="1808" t="s">
        <v>2940</v>
      </c>
      <c r="D58" s="1808" t="s">
        <v>2941</v>
      </c>
      <c r="E58" s="819" t="s">
        <v>2942</v>
      </c>
      <c r="F58" s="2867" t="s">
        <v>2958</v>
      </c>
      <c r="G58" s="1808" t="s">
        <v>754</v>
      </c>
      <c r="H58" s="2868" t="s">
        <v>2944</v>
      </c>
      <c r="I58" s="1808" t="s">
        <v>2945</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66" t="s">
        <v>2959</v>
      </c>
      <c r="B59" s="2869" t="str">
        <f>估价对象房地状况!C17</f>
        <v>一般</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6" t="s">
        <v>2947</v>
      </c>
      <c r="B60" s="2870" t="str">
        <f>估价对象房地状况!C18</f>
        <v>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2948</v>
      </c>
      <c r="B61" s="2870">
        <f>估价对象房地状况!C19</f>
        <v>0</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2949</v>
      </c>
      <c r="B62" s="2871" t="s">
        <v>2950</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2951</v>
      </c>
      <c r="B63" s="2870">
        <f>估价对象房地状况!C24</f>
        <v>0</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2952</v>
      </c>
      <c r="B64" s="2872" t="s">
        <v>2953</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6" t="s">
        <v>2954</v>
      </c>
      <c r="B65" s="1724" t="str">
        <f>估价对象房地状况!C21</f>
        <v>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6" t="s">
        <v>2955</v>
      </c>
      <c r="B66" s="1724" t="str">
        <f>估价对象房地状况!C22</f>
        <v>六通</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4" t="s">
        <v>2956</v>
      </c>
      <c r="B67" s="2876" t="str">
        <f>估价对象房地状况!C20</f>
        <v>一般</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2960</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2938</v>
      </c>
      <c r="B69" s="1808"/>
      <c r="C69" s="1808" t="s">
        <v>2940</v>
      </c>
      <c r="D69" s="1808" t="s">
        <v>2941</v>
      </c>
      <c r="E69" s="819" t="s">
        <v>2942</v>
      </c>
      <c r="F69" s="2867" t="s">
        <v>2958</v>
      </c>
      <c r="G69" s="1808" t="s">
        <v>754</v>
      </c>
      <c r="H69" s="2868" t="s">
        <v>2944</v>
      </c>
      <c r="I69" s="1808" t="s">
        <v>2945</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66" t="s">
        <v>2961</v>
      </c>
      <c r="B70" s="2869" t="str">
        <f>估价对象房地状况!C15</f>
        <v>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6" t="s">
        <v>2947</v>
      </c>
      <c r="B71" s="2870" t="str">
        <f>估价对象房地状况!C18</f>
        <v>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2948</v>
      </c>
      <c r="B72" s="2870">
        <f>估价对象房地状况!C19</f>
        <v>0</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2962</v>
      </c>
      <c r="B73" s="2870">
        <f>估价对象房地状况!C24</f>
        <v>0</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6" t="s">
        <v>2954</v>
      </c>
      <c r="B74" s="1724" t="str">
        <f>估价对象房地状况!C21</f>
        <v>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6" t="s">
        <v>2955</v>
      </c>
      <c r="B75" s="1724" t="str">
        <f>估价对象房地状况!C22</f>
        <v>六通</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2952</v>
      </c>
      <c r="B76" s="2872" t="s">
        <v>2953</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24">
      <c r="A77" s="2866" t="s">
        <v>2956</v>
      </c>
      <c r="B77" s="2869" t="str">
        <f>估价对象房地状况!C20</f>
        <v>一般</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2963</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2964</v>
      </c>
      <c r="B79" s="2863">
        <f>1+E81</f>
        <v>1</v>
      </c>
      <c r="C79" s="814"/>
      <c r="D79" s="814"/>
      <c r="E79" s="815"/>
      <c r="F79" s="2865"/>
      <c r="G79" s="6"/>
      <c r="H79" s="6"/>
      <c r="I79" s="6"/>
      <c r="J79" s="7"/>
      <c r="K79" s="7"/>
      <c r="L79" s="7"/>
      <c r="M79" s="7"/>
      <c r="N79" s="7"/>
      <c r="Z79" s="2716"/>
      <c r="AA79" s="2784"/>
      <c r="AG79" s="1372"/>
      <c r="AK79" s="2784"/>
    </row>
    <row r="80" spans="1:37" ht="24.75">
      <c r="A80" s="2866" t="s">
        <v>2938</v>
      </c>
      <c r="B80" s="1808"/>
      <c r="C80" s="1808" t="s">
        <v>2940</v>
      </c>
      <c r="D80" s="1808" t="s">
        <v>2941</v>
      </c>
      <c r="E80" s="819" t="s">
        <v>2942</v>
      </c>
      <c r="F80" s="2867" t="s">
        <v>2958</v>
      </c>
      <c r="G80" s="1808" t="s">
        <v>754</v>
      </c>
      <c r="H80" s="2868" t="s">
        <v>2944</v>
      </c>
      <c r="I80" s="1808" t="s">
        <v>2945</v>
      </c>
      <c r="J80" s="603" t="s">
        <v>2592</v>
      </c>
      <c r="K80" s="603" t="s">
        <v>2593</v>
      </c>
      <c r="L80" s="603" t="s">
        <v>2594</v>
      </c>
      <c r="M80" s="603" t="s">
        <v>2595</v>
      </c>
      <c r="N80" s="603" t="s">
        <v>2596</v>
      </c>
      <c r="Z80" s="2716"/>
      <c r="AA80" s="2784"/>
      <c r="AG80" s="1372"/>
      <c r="AK80" s="2784"/>
    </row>
    <row r="81" spans="1:37" ht="38.25">
      <c r="A81" s="2866" t="s">
        <v>2965</v>
      </c>
      <c r="B81" s="2870" t="str">
        <f>估价对象房地状况!G15</f>
        <v>估价对象位于XX开发区，园区建设成熟度XX，产业集聚程度XX</v>
      </c>
      <c r="C81" s="2766"/>
      <c r="D81" s="1286">
        <f t="shared" ref="D81:D88" si="25">SUMIF($J$80:$N$80,C81,J81:N81)</f>
        <v>0</v>
      </c>
      <c r="E81" s="821">
        <f>ROUND(SUM(D81:D88),4)</f>
        <v>0</v>
      </c>
      <c r="F81" s="2497"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6"/>
      <c r="AA81" s="2784"/>
      <c r="AG81" s="1372"/>
      <c r="AK81" s="2784"/>
    </row>
    <row r="82" spans="1:37" ht="51">
      <c r="A82" s="2866" t="s">
        <v>2947</v>
      </c>
      <c r="B82" s="2870" t="str">
        <f>估价对象房地状况!G16</f>
        <v>估价对象周边道路状况、公共交通通达情况、停车便捷程度，综合评价交通便捷度较好</v>
      </c>
      <c r="C82" s="2766"/>
      <c r="D82" s="1286">
        <f t="shared" si="25"/>
        <v>0</v>
      </c>
      <c r="E82" s="826"/>
      <c r="F82" s="2497"/>
      <c r="G82" s="1284"/>
      <c r="H82" s="1288" t="str">
        <f t="shared" si="26"/>
        <v>——</v>
      </c>
      <c r="I82" s="820">
        <v>0.33</v>
      </c>
      <c r="J82" s="1285">
        <f t="shared" si="27"/>
        <v>0</v>
      </c>
      <c r="K82" s="1285">
        <f t="shared" si="28"/>
        <v>0</v>
      </c>
      <c r="L82" s="1285">
        <v>0</v>
      </c>
      <c r="M82" s="1285">
        <f t="shared" si="29"/>
        <v>0</v>
      </c>
      <c r="N82" s="1285">
        <f t="shared" si="29"/>
        <v>0</v>
      </c>
      <c r="Z82" s="2716"/>
      <c r="AA82" s="2784"/>
      <c r="AG82" s="1372"/>
      <c r="AK82" s="2784"/>
    </row>
    <row r="83" spans="1:37" ht="24">
      <c r="A83" s="2866" t="s">
        <v>2948</v>
      </c>
      <c r="B83" s="2870">
        <f>估价对象房地状况!G17</f>
        <v>0</v>
      </c>
      <c r="C83" s="2766"/>
      <c r="D83" s="1286">
        <f t="shared" si="25"/>
        <v>0</v>
      </c>
      <c r="E83" s="826"/>
      <c r="F83" s="2497"/>
      <c r="G83" s="1284"/>
      <c r="H83" s="1288" t="str">
        <f t="shared" si="26"/>
        <v>——</v>
      </c>
      <c r="I83" s="820">
        <v>0.05</v>
      </c>
      <c r="J83" s="1285">
        <f t="shared" si="27"/>
        <v>0</v>
      </c>
      <c r="K83" s="1285">
        <f t="shared" si="28"/>
        <v>0</v>
      </c>
      <c r="L83" s="1285">
        <v>0</v>
      </c>
      <c r="M83" s="1285">
        <f t="shared" si="29"/>
        <v>0</v>
      </c>
      <c r="N83" s="1285">
        <f t="shared" si="29"/>
        <v>0</v>
      </c>
      <c r="Z83" s="2716"/>
      <c r="AA83" s="2784"/>
      <c r="AG83" s="1372"/>
      <c r="AK83" s="2784"/>
    </row>
    <row r="84" spans="1:37" ht="14.25">
      <c r="A84" s="2866" t="s">
        <v>2962</v>
      </c>
      <c r="B84" s="2870">
        <f>估价对象房地状况!G22</f>
        <v>0</v>
      </c>
      <c r="C84" s="2766"/>
      <c r="D84" s="1286">
        <f t="shared" si="25"/>
        <v>0</v>
      </c>
      <c r="E84" s="826"/>
      <c r="F84" s="2497"/>
      <c r="G84" s="1284"/>
      <c r="H84" s="1288" t="str">
        <f t="shared" si="26"/>
        <v>——</v>
      </c>
      <c r="I84" s="820">
        <v>0.04</v>
      </c>
      <c r="J84" s="1285">
        <f t="shared" si="27"/>
        <v>0</v>
      </c>
      <c r="K84" s="1285">
        <f t="shared" si="28"/>
        <v>0</v>
      </c>
      <c r="L84" s="1285">
        <v>0</v>
      </c>
      <c r="M84" s="1285">
        <f t="shared" si="29"/>
        <v>0</v>
      </c>
      <c r="N84" s="1285">
        <f t="shared" si="29"/>
        <v>0</v>
      </c>
      <c r="Z84" s="2716"/>
      <c r="AA84" s="2784"/>
      <c r="AG84" s="1372"/>
      <c r="AK84" s="2784"/>
    </row>
    <row r="85" spans="1:37" ht="25.5">
      <c r="A85" s="2866" t="s">
        <v>2954</v>
      </c>
      <c r="B85" s="1724" t="str">
        <f>估价对象房地状况!G19</f>
        <v>估价对象所在区域公共配套设施齐备情况</v>
      </c>
      <c r="C85" s="2766"/>
      <c r="D85" s="1286">
        <f t="shared" si="25"/>
        <v>0</v>
      </c>
      <c r="E85" s="826"/>
      <c r="F85" s="2497"/>
      <c r="G85" s="1284"/>
      <c r="H85" s="1288" t="str">
        <f t="shared" si="26"/>
        <v>——</v>
      </c>
      <c r="I85" s="820">
        <v>0.06</v>
      </c>
      <c r="J85" s="1285">
        <f t="shared" si="27"/>
        <v>0</v>
      </c>
      <c r="K85" s="1285">
        <f t="shared" si="28"/>
        <v>0</v>
      </c>
      <c r="L85" s="1285">
        <v>0</v>
      </c>
      <c r="M85" s="1285">
        <f t="shared" si="29"/>
        <v>0</v>
      </c>
      <c r="N85" s="1285">
        <f t="shared" si="29"/>
        <v>0</v>
      </c>
      <c r="Z85" s="2716"/>
      <c r="AA85" s="2784"/>
      <c r="AG85" s="1372"/>
      <c r="AK85" s="2784"/>
    </row>
    <row r="86" spans="1:37" ht="25.5">
      <c r="A86" s="2866" t="s">
        <v>2955</v>
      </c>
      <c r="B86" s="1724" t="str">
        <f>估价对象房地状况!G20</f>
        <v>估价对象所在区域基础设施水平</v>
      </c>
      <c r="C86" s="2766"/>
      <c r="D86" s="1286">
        <f t="shared" si="25"/>
        <v>0</v>
      </c>
      <c r="E86" s="826"/>
      <c r="F86" s="2497"/>
      <c r="G86" s="1284"/>
      <c r="H86" s="1288" t="str">
        <f t="shared" si="26"/>
        <v>——</v>
      </c>
      <c r="I86" s="820">
        <v>0.15</v>
      </c>
      <c r="J86" s="1285">
        <f t="shared" si="27"/>
        <v>0</v>
      </c>
      <c r="K86" s="1285">
        <f t="shared" si="28"/>
        <v>0</v>
      </c>
      <c r="L86" s="1285">
        <v>0</v>
      </c>
      <c r="M86" s="1285">
        <f t="shared" si="29"/>
        <v>0</v>
      </c>
      <c r="N86" s="1285">
        <f t="shared" si="29"/>
        <v>0</v>
      </c>
      <c r="Z86" s="2716"/>
      <c r="AA86" s="2784"/>
      <c r="AG86" s="1372"/>
      <c r="AK86" s="2784"/>
    </row>
    <row r="87" spans="1:37" ht="24">
      <c r="A87" s="2866" t="s">
        <v>2952</v>
      </c>
      <c r="B87" s="2872" t="s">
        <v>2966</v>
      </c>
      <c r="C87" s="2766"/>
      <c r="D87" s="1286">
        <f t="shared" si="25"/>
        <v>0</v>
      </c>
      <c r="E87" s="826"/>
      <c r="F87" s="2497"/>
      <c r="G87" s="1284"/>
      <c r="H87" s="1288" t="str">
        <f t="shared" si="26"/>
        <v>——</v>
      </c>
      <c r="I87" s="820">
        <v>0.05</v>
      </c>
      <c r="J87" s="1285">
        <f t="shared" si="27"/>
        <v>0</v>
      </c>
      <c r="K87" s="1285">
        <f t="shared" si="28"/>
        <v>0</v>
      </c>
      <c r="L87" s="1285">
        <v>0</v>
      </c>
      <c r="M87" s="1285">
        <f t="shared" si="29"/>
        <v>0</v>
      </c>
      <c r="N87" s="1285">
        <f t="shared" si="29"/>
        <v>0</v>
      </c>
      <c r="Z87" s="2716"/>
      <c r="AA87" s="2784"/>
      <c r="AG87" s="1372"/>
      <c r="AK87" s="2784"/>
    </row>
    <row r="88" spans="1:37" ht="39" thickBot="1">
      <c r="A88" s="2874" t="s">
        <v>2967</v>
      </c>
      <c r="B88" s="2879" t="str">
        <f>估价对象房地状况!G18</f>
        <v>该园区内是否有污染型企业，绿化情况，卫生条件，整体环境状况判断</v>
      </c>
      <c r="C88" s="2766"/>
      <c r="D88" s="1286">
        <f t="shared" si="25"/>
        <v>0</v>
      </c>
      <c r="E88" s="827"/>
      <c r="F88" s="2497"/>
      <c r="G88" s="1284"/>
      <c r="H88" s="1288" t="str">
        <f t="shared" si="26"/>
        <v>——</v>
      </c>
      <c r="I88" s="824">
        <v>0.06</v>
      </c>
      <c r="J88" s="1285">
        <f t="shared" si="27"/>
        <v>0</v>
      </c>
      <c r="K88" s="1285">
        <f t="shared" si="28"/>
        <v>0</v>
      </c>
      <c r="L88" s="1285">
        <v>0</v>
      </c>
      <c r="M88" s="1285">
        <f t="shared" si="29"/>
        <v>0</v>
      </c>
      <c r="N88" s="1285">
        <f t="shared" si="29"/>
        <v>0</v>
      </c>
      <c r="Z88" s="2716"/>
      <c r="AA88" s="2784"/>
      <c r="AG88" s="1372"/>
      <c r="AK88" s="2784"/>
    </row>
    <row r="90" spans="1:37">
      <c r="A90" s="3276" t="s">
        <v>2968</v>
      </c>
      <c r="B90" s="3276"/>
      <c r="C90" s="3276"/>
      <c r="D90" s="3276"/>
      <c r="E90" s="3276"/>
      <c r="F90" s="3276"/>
      <c r="G90" s="3276"/>
      <c r="H90" s="3276"/>
      <c r="I90" s="3276"/>
      <c r="J90" s="3276"/>
      <c r="K90" s="2880"/>
      <c r="L90" s="2880"/>
      <c r="M90" s="2880"/>
      <c r="N90" s="2880"/>
    </row>
    <row r="91" spans="1:37">
      <c r="A91" s="3278" t="s">
        <v>2969</v>
      </c>
      <c r="B91" s="3278" t="s">
        <v>2970</v>
      </c>
      <c r="C91" s="2834" t="s">
        <v>2971</v>
      </c>
      <c r="D91" s="2835"/>
      <c r="E91" s="2835"/>
      <c r="F91" s="2835"/>
      <c r="G91" s="2835"/>
      <c r="H91" s="2835"/>
      <c r="I91" s="2835"/>
      <c r="J91" s="2881"/>
      <c r="K91" s="2882"/>
      <c r="L91" s="2882"/>
      <c r="M91" s="2882"/>
      <c r="N91" s="2882"/>
    </row>
    <row r="92" spans="1:37">
      <c r="A92" s="3278"/>
      <c r="B92" s="3278"/>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79"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8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8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8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8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8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80"/>
      <c r="B99" s="2883" t="s">
        <v>2852</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81"/>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79" t="s">
        <v>2973</v>
      </c>
      <c r="B101" s="2887" t="s">
        <v>2974</v>
      </c>
      <c r="C101" s="2888">
        <f>$G$3</f>
        <v>1.26</v>
      </c>
      <c r="D101" s="2888">
        <f t="shared" ref="D101:N101" si="31">$G$3</f>
        <v>1.26</v>
      </c>
      <c r="E101" s="2888">
        <f t="shared" si="31"/>
        <v>1.26</v>
      </c>
      <c r="F101" s="2888">
        <f t="shared" si="31"/>
        <v>1.26</v>
      </c>
      <c r="G101" s="2888">
        <f t="shared" si="31"/>
        <v>1.26</v>
      </c>
      <c r="H101" s="2888">
        <f t="shared" si="31"/>
        <v>1.26</v>
      </c>
      <c r="I101" s="2888">
        <f t="shared" si="31"/>
        <v>1.26</v>
      </c>
      <c r="J101" s="2888">
        <f t="shared" si="31"/>
        <v>1.26</v>
      </c>
      <c r="K101" s="2888">
        <f t="shared" si="31"/>
        <v>1.26</v>
      </c>
      <c r="L101" s="2888">
        <f t="shared" si="31"/>
        <v>1.26</v>
      </c>
      <c r="M101" s="2888">
        <f t="shared" si="31"/>
        <v>1.26</v>
      </c>
      <c r="N101" s="2888">
        <f t="shared" si="31"/>
        <v>1.26</v>
      </c>
    </row>
    <row r="102" spans="1:14">
      <c r="A102" s="3280"/>
      <c r="B102" s="2883">
        <v>1</v>
      </c>
      <c r="C102" s="2884">
        <f>1.9362/C101</f>
        <v>1.5366666666666666</v>
      </c>
      <c r="D102" s="2884">
        <f>1.9362/D101</f>
        <v>1.5366666666666666</v>
      </c>
      <c r="E102" s="2884">
        <f>1.8629/E101</f>
        <v>1.4784920634920635</v>
      </c>
      <c r="F102" s="2884">
        <f>1.8629/F101</f>
        <v>1.4784920634920635</v>
      </c>
      <c r="G102" s="2884">
        <f>1.8629/G101</f>
        <v>1.4784920634920635</v>
      </c>
      <c r="H102" s="2884">
        <f>1.8629/H101</f>
        <v>1.4784920634920635</v>
      </c>
      <c r="I102" s="2884">
        <f>1.8629/I101</f>
        <v>1.4784920634920635</v>
      </c>
      <c r="J102" s="2884">
        <f>1.942/J101</f>
        <v>1.5412698412698411</v>
      </c>
      <c r="K102" s="2884">
        <f>1.942/K101</f>
        <v>1.5412698412698411</v>
      </c>
      <c r="L102" s="2884">
        <f>1.942/L101</f>
        <v>1.5412698412698411</v>
      </c>
      <c r="M102" s="2884">
        <f>1.942/M101</f>
        <v>1.5412698412698411</v>
      </c>
      <c r="N102" s="2884">
        <f>1.942/N101</f>
        <v>1.5412698412698411</v>
      </c>
    </row>
    <row r="103" spans="1:14">
      <c r="A103" s="3280"/>
      <c r="B103" s="2883">
        <v>2</v>
      </c>
      <c r="C103" s="2884">
        <f>1.4198/C101</f>
        <v>1.1268253968253967</v>
      </c>
      <c r="D103" s="2884">
        <f>1.4198/D101</f>
        <v>1.1268253968253967</v>
      </c>
      <c r="E103" s="2884">
        <f>1.3372/E101</f>
        <v>1.0612698412698411</v>
      </c>
      <c r="F103" s="2884">
        <f>1.3372/F101</f>
        <v>1.0612698412698411</v>
      </c>
      <c r="G103" s="2884">
        <f>1.3372/G101</f>
        <v>1.0612698412698411</v>
      </c>
      <c r="H103" s="2884">
        <f>1.3372/H101</f>
        <v>1.0612698412698411</v>
      </c>
      <c r="I103" s="2884">
        <f>1.3372/I101</f>
        <v>1.0612698412698411</v>
      </c>
      <c r="J103" s="2884">
        <f>1.2799/J101</f>
        <v>1.0157936507936509</v>
      </c>
      <c r="K103" s="2884">
        <f>1.2799/K101</f>
        <v>1.0157936507936509</v>
      </c>
      <c r="L103" s="2884">
        <f>1.2799/L101</f>
        <v>1.0157936507936509</v>
      </c>
      <c r="M103" s="2884">
        <f>1.2799/M101</f>
        <v>1.0157936507936509</v>
      </c>
      <c r="N103" s="2884">
        <f>1.2799/N101</f>
        <v>1.0157936507936509</v>
      </c>
    </row>
    <row r="104" spans="1:14">
      <c r="A104" s="3280"/>
      <c r="B104" s="2883">
        <v>3</v>
      </c>
      <c r="C104" s="2884">
        <f>1.1594/C101</f>
        <v>0.92015873015873018</v>
      </c>
      <c r="D104" s="2884">
        <f>1.1594/D101</f>
        <v>0.92015873015873018</v>
      </c>
      <c r="E104" s="2884">
        <f>1.0788/E101</f>
        <v>0.85619047619047617</v>
      </c>
      <c r="F104" s="2884">
        <f>1.0788/F101</f>
        <v>0.85619047619047617</v>
      </c>
      <c r="G104" s="2884">
        <f>1.0788/G101</f>
        <v>0.85619047619047617</v>
      </c>
      <c r="H104" s="2884">
        <f>1.0788/H101</f>
        <v>0.85619047619047617</v>
      </c>
      <c r="I104" s="2884">
        <f>1.0788/I101</f>
        <v>0.85619047619047617</v>
      </c>
      <c r="J104" s="2884">
        <f>1.0072/J101</f>
        <v>0.79936507936507939</v>
      </c>
      <c r="K104" s="2884">
        <f>1.0072/K101</f>
        <v>0.79936507936507939</v>
      </c>
      <c r="L104" s="2884">
        <f>1.0072/L101</f>
        <v>0.79936507936507939</v>
      </c>
      <c r="M104" s="2884">
        <f>1.0072/M101</f>
        <v>0.79936507936507939</v>
      </c>
      <c r="N104" s="2884">
        <f>1.0072/N101</f>
        <v>0.79936507936507939</v>
      </c>
    </row>
    <row r="105" spans="1:14">
      <c r="A105" s="3280"/>
      <c r="B105" s="2883">
        <v>4</v>
      </c>
      <c r="C105" s="2884">
        <f>0.9622/C101</f>
        <v>0.76365079365079369</v>
      </c>
      <c r="D105" s="2884">
        <f>0.9622/D101</f>
        <v>0.76365079365079369</v>
      </c>
      <c r="E105" s="2884">
        <f>0.8656/E101</f>
        <v>0.68698412698412703</v>
      </c>
      <c r="F105" s="2884">
        <f>0.8656/F101</f>
        <v>0.68698412698412703</v>
      </c>
      <c r="G105" s="2884">
        <f>0.8656/G101</f>
        <v>0.68698412698412703</v>
      </c>
      <c r="H105" s="2884">
        <f>0.8656/H101</f>
        <v>0.68698412698412703</v>
      </c>
      <c r="I105" s="2884">
        <f>0.8656/I101</f>
        <v>0.68698412698412703</v>
      </c>
      <c r="J105" s="2884">
        <f>0.7525/J101</f>
        <v>0.59722222222222221</v>
      </c>
      <c r="K105" s="2884">
        <f>0.7525/K101</f>
        <v>0.59722222222222221</v>
      </c>
      <c r="L105" s="2884">
        <f>0.7525/L101</f>
        <v>0.59722222222222221</v>
      </c>
      <c r="M105" s="2884">
        <f>0.7525/M101</f>
        <v>0.59722222222222221</v>
      </c>
      <c r="N105" s="2884">
        <f>0.7525/N101</f>
        <v>0.59722222222222221</v>
      </c>
    </row>
    <row r="106" spans="1:14">
      <c r="A106" s="3280"/>
      <c r="B106" s="2883">
        <v>5</v>
      </c>
      <c r="C106" s="2884">
        <f>0.8417/C101</f>
        <v>0.66801587301587306</v>
      </c>
      <c r="D106" s="2884">
        <f>0.8417/D101</f>
        <v>0.66801587301587306</v>
      </c>
      <c r="E106" s="2884">
        <f>0.7371/E101</f>
        <v>0.58499999999999996</v>
      </c>
      <c r="F106" s="2884">
        <f>0.7371/F101</f>
        <v>0.58499999999999996</v>
      </c>
      <c r="G106" s="2884">
        <f>0.7371/G101</f>
        <v>0.58499999999999996</v>
      </c>
      <c r="H106" s="2884">
        <f>0.7371/H101</f>
        <v>0.58499999999999996</v>
      </c>
      <c r="I106" s="2884">
        <f>0.7371/I101</f>
        <v>0.58499999999999996</v>
      </c>
      <c r="J106" s="2884">
        <f>0.5659/J101</f>
        <v>0.4491269841269841</v>
      </c>
      <c r="K106" s="2884">
        <f>0.5659/K101</f>
        <v>0.4491269841269841</v>
      </c>
      <c r="L106" s="2884">
        <f>0.5659/L101</f>
        <v>0.4491269841269841</v>
      </c>
      <c r="M106" s="2884">
        <f>0.5659/M101</f>
        <v>0.4491269841269841</v>
      </c>
      <c r="N106" s="2884">
        <f>0.5659/N101</f>
        <v>0.4491269841269841</v>
      </c>
    </row>
    <row r="107" spans="1:14">
      <c r="A107" s="3280"/>
      <c r="B107" s="2883">
        <v>6</v>
      </c>
      <c r="C107" s="2884">
        <f>0.7608/C101</f>
        <v>0.6038095238095238</v>
      </c>
      <c r="D107" s="2884">
        <f>0.7608/D101</f>
        <v>0.6038095238095238</v>
      </c>
      <c r="E107" s="2884">
        <f>0.6482/E101</f>
        <v>0.51444444444444448</v>
      </c>
      <c r="F107" s="2884">
        <f>0.6482/F101</f>
        <v>0.51444444444444448</v>
      </c>
      <c r="G107" s="2884">
        <f>0.6482/G101</f>
        <v>0.51444444444444448</v>
      </c>
      <c r="H107" s="2884">
        <f>0.6482/H101</f>
        <v>0.51444444444444448</v>
      </c>
      <c r="I107" s="2884">
        <f>0.6482/I101</f>
        <v>0.51444444444444448</v>
      </c>
      <c r="J107" s="2884">
        <f>0.4525/J101</f>
        <v>0.35912698412698413</v>
      </c>
      <c r="K107" s="2884">
        <f>0.4525/K101</f>
        <v>0.35912698412698413</v>
      </c>
      <c r="L107" s="2884">
        <f>0.4525/L101</f>
        <v>0.35912698412698413</v>
      </c>
      <c r="M107" s="2884">
        <f>0.4525/M101</f>
        <v>0.35912698412698413</v>
      </c>
      <c r="N107" s="2884">
        <f>0.4525/N101</f>
        <v>0.35912698412698413</v>
      </c>
    </row>
    <row r="108" spans="1:14">
      <c r="A108" s="3280"/>
      <c r="B108" s="3137" t="s">
        <v>2975</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81"/>
      <c r="B109" s="3138"/>
      <c r="C109" s="2886">
        <f>(-0.163*(C108^2)-0.59*C108+7617)*(10^(-4))/C101</f>
        <v>0.60452380952380957</v>
      </c>
      <c r="D109" s="2886">
        <f>(-0.163*(D108^2)-0.59*D108+7617)*(10^(-4))/D101</f>
        <v>0.60452380952380957</v>
      </c>
      <c r="E109" s="2886">
        <f>(-0.161*(E108^2)-7.509*E108+6533)*(10^(-4))/E101</f>
        <v>0.51849206349206345</v>
      </c>
      <c r="F109" s="2886">
        <f>(-0.161*(F108^2)-7.509*F108+6533)*(10^(-4))/F101</f>
        <v>0.51849206349206345</v>
      </c>
      <c r="G109" s="2886">
        <f>(-0.161*(G108^2)-7.509*G108+6533)*(10^(-4))/G101</f>
        <v>0.51849206349206345</v>
      </c>
      <c r="H109" s="2886">
        <f>(-0.161*(H108^2)-7.509*H108+6533)*(10^(-4))/H101</f>
        <v>0.51849206349206345</v>
      </c>
      <c r="I109" s="2886">
        <f>(-0.161*(I108^2)-7.509*I108+6533)*(10^(-4))/I101</f>
        <v>0.51849206349206345</v>
      </c>
      <c r="J109" s="2886">
        <f>(-0.214*(J108^2)-21.991*J108+4665)*(10^(-4))/J101</f>
        <v>0.37023809523809526</v>
      </c>
      <c r="K109" s="2886">
        <f>(-0.214*(K108^2)-21.991*K108+4665)*(10^(-4))/K101</f>
        <v>0.37023809523809526</v>
      </c>
      <c r="L109" s="2886">
        <f>(-0.214*(L108^2)-21.991*L108+4665)*(10^(-4))/L101</f>
        <v>0.37023809523809526</v>
      </c>
      <c r="M109" s="2886">
        <f>(-0.214*(M108^2)-21.991*M108+4665)*(10^(-4))/M101</f>
        <v>0.37023809523809526</v>
      </c>
      <c r="N109" s="2886">
        <f>(-0.214*(N108^2)-21.991*N108+4665)*(10^(-4))/N101</f>
        <v>0.37023809523809526</v>
      </c>
    </row>
    <row r="110" spans="1:14">
      <c r="A110" s="3277" t="s">
        <v>2976</v>
      </c>
      <c r="B110" s="3277"/>
      <c r="C110" s="3277"/>
      <c r="D110" s="3277"/>
      <c r="E110" s="3277"/>
      <c r="F110" s="3277"/>
      <c r="G110" s="3277"/>
      <c r="H110" s="3277"/>
      <c r="I110" s="3277"/>
      <c r="J110" s="3277"/>
      <c r="K110" s="2889"/>
      <c r="L110" s="2889"/>
      <c r="M110" s="2889"/>
      <c r="N110" s="2889"/>
    </row>
    <row r="112" spans="1:14" ht="13.5" thickBot="1"/>
    <row r="113" spans="1:13" ht="25.5" thickBot="1">
      <c r="A113" s="903" t="s">
        <v>2977</v>
      </c>
      <c r="B113" s="1287">
        <f>G3</f>
        <v>1.26</v>
      </c>
      <c r="C113" s="904" t="s">
        <v>2978</v>
      </c>
      <c r="D113" s="905">
        <f>SUMPRODUCT((A115:A118=F113)*(B114:M114=H113)*B115:M118)</f>
        <v>0</v>
      </c>
      <c r="E113" s="2720" t="s">
        <v>2809</v>
      </c>
      <c r="F113" s="2891">
        <f>E2</f>
        <v>0</v>
      </c>
      <c r="G113" s="2720" t="s">
        <v>2810</v>
      </c>
      <c r="H113" s="2891">
        <f>G2</f>
        <v>0</v>
      </c>
      <c r="I113" s="2720"/>
      <c r="J113" s="2892"/>
      <c r="K113" s="2892"/>
      <c r="L113" s="2892"/>
      <c r="M113" s="2892"/>
    </row>
    <row r="114" spans="1:13">
      <c r="A114" s="908"/>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909" t="s">
        <v>2874</v>
      </c>
      <c r="B115" s="910">
        <f>ROUND(0.9335-0.0094*B113,4)</f>
        <v>0.92169999999999996</v>
      </c>
      <c r="C115" s="910">
        <f>B115</f>
        <v>0.92169999999999996</v>
      </c>
      <c r="D115" s="910">
        <f>ROUND(0.8331-0.0109*B113,4)</f>
        <v>0.81940000000000002</v>
      </c>
      <c r="E115" s="910">
        <f>D115</f>
        <v>0.81940000000000002</v>
      </c>
      <c r="F115" s="910">
        <f>E115</f>
        <v>0.81940000000000002</v>
      </c>
      <c r="G115" s="910">
        <f>F115</f>
        <v>0.81940000000000002</v>
      </c>
      <c r="H115" s="910">
        <f>G115</f>
        <v>0.81940000000000002</v>
      </c>
      <c r="I115" s="910">
        <f>ROUND(0.689-0.0155*B113,4)</f>
        <v>0.66949999999999998</v>
      </c>
      <c r="J115" s="910">
        <f t="shared" ref="J115:M118" si="33">I115</f>
        <v>0.66949999999999998</v>
      </c>
      <c r="K115" s="910">
        <f t="shared" si="33"/>
        <v>0.66949999999999998</v>
      </c>
      <c r="L115" s="910">
        <f t="shared" si="33"/>
        <v>0.66949999999999998</v>
      </c>
      <c r="M115" s="911">
        <f t="shared" si="33"/>
        <v>0.66949999999999998</v>
      </c>
    </row>
    <row r="116" spans="1:13">
      <c r="A116" s="909" t="s">
        <v>2875</v>
      </c>
      <c r="B116" s="910">
        <f>ROUND(0.949-0.012*B113,4)</f>
        <v>0.93389999999999995</v>
      </c>
      <c r="C116" s="910">
        <f>B116</f>
        <v>0.93389999999999995</v>
      </c>
      <c r="D116" s="910">
        <f>ROUND(0.8567-0.013*B113,4)</f>
        <v>0.84030000000000005</v>
      </c>
      <c r="E116" s="910">
        <f t="shared" ref="E116:H117" si="34">D116</f>
        <v>0.84030000000000005</v>
      </c>
      <c r="F116" s="910">
        <f t="shared" si="34"/>
        <v>0.84030000000000005</v>
      </c>
      <c r="G116" s="910">
        <f t="shared" si="34"/>
        <v>0.84030000000000005</v>
      </c>
      <c r="H116" s="910">
        <f t="shared" si="34"/>
        <v>0.84030000000000005</v>
      </c>
      <c r="I116" s="910">
        <f>ROUND(0.7694-0.014*B113,4)</f>
        <v>0.75180000000000002</v>
      </c>
      <c r="J116" s="910">
        <f t="shared" si="33"/>
        <v>0.75180000000000002</v>
      </c>
      <c r="K116" s="910">
        <f t="shared" si="33"/>
        <v>0.75180000000000002</v>
      </c>
      <c r="L116" s="910">
        <f t="shared" si="33"/>
        <v>0.75180000000000002</v>
      </c>
      <c r="M116" s="911">
        <f t="shared" si="33"/>
        <v>0.75180000000000002</v>
      </c>
    </row>
    <row r="117" spans="1:13">
      <c r="A117" s="909" t="s">
        <v>2876</v>
      </c>
      <c r="B117" s="910">
        <f>ROUND(0.8808-0.006*B113,4)</f>
        <v>0.87319999999999998</v>
      </c>
      <c r="C117" s="910">
        <f>B117</f>
        <v>0.87319999999999998</v>
      </c>
      <c r="D117" s="910">
        <f>ROUND(0.8748-0.008*B113,4)</f>
        <v>0.86470000000000002</v>
      </c>
      <c r="E117" s="910">
        <f t="shared" si="34"/>
        <v>0.86470000000000002</v>
      </c>
      <c r="F117" s="910">
        <f t="shared" si="34"/>
        <v>0.86470000000000002</v>
      </c>
      <c r="G117" s="910">
        <f t="shared" si="34"/>
        <v>0.86470000000000002</v>
      </c>
      <c r="H117" s="910">
        <f t="shared" si="34"/>
        <v>0.86470000000000002</v>
      </c>
      <c r="I117" s="910">
        <f>ROUND(0.7412-0.0095*B113,4)</f>
        <v>0.72919999999999996</v>
      </c>
      <c r="J117" s="910">
        <f t="shared" si="33"/>
        <v>0.72919999999999996</v>
      </c>
      <c r="K117" s="910">
        <f t="shared" si="33"/>
        <v>0.72919999999999996</v>
      </c>
      <c r="L117" s="910">
        <f t="shared" si="33"/>
        <v>0.72919999999999996</v>
      </c>
      <c r="M117" s="911">
        <f t="shared" si="33"/>
        <v>0.72919999999999996</v>
      </c>
    </row>
    <row r="118" spans="1:13" ht="13.5" thickBot="1">
      <c r="A118" s="714" t="s">
        <v>2877</v>
      </c>
      <c r="B118" s="912">
        <f>ROUND(0.7275-0.01*B113,4)</f>
        <v>0.71489999999999998</v>
      </c>
      <c r="C118" s="912">
        <f>B118</f>
        <v>0.71489999999999998</v>
      </c>
      <c r="D118" s="912">
        <f>ROUND(0.7043-0.012*B113,4)</f>
        <v>0.68920000000000003</v>
      </c>
      <c r="E118" s="912">
        <f>D118</f>
        <v>0.68920000000000003</v>
      </c>
      <c r="F118" s="912">
        <f>E118</f>
        <v>0.68920000000000003</v>
      </c>
      <c r="G118" s="912">
        <f>ROUND(0.6299-0.0122*B113,4)</f>
        <v>0.61450000000000005</v>
      </c>
      <c r="H118" s="912">
        <f>G118</f>
        <v>0.61450000000000005</v>
      </c>
      <c r="I118" s="912">
        <f>ROUND(0.5667-0.0136*B113,4)</f>
        <v>0.54959999999999998</v>
      </c>
      <c r="J118" s="912">
        <f t="shared" si="33"/>
        <v>0.54959999999999998</v>
      </c>
      <c r="K118" s="912">
        <f t="shared" si="33"/>
        <v>0.54959999999999998</v>
      </c>
      <c r="L118" s="912">
        <f t="shared" si="33"/>
        <v>0.54959999999999998</v>
      </c>
      <c r="M118" s="913">
        <f t="shared" si="33"/>
        <v>0.54959999999999998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2999</v>
      </c>
    </row>
    <row r="2" spans="1:5" ht="15.75">
      <c r="A2" s="2898" t="s">
        <v>2991</v>
      </c>
      <c r="B2" s="2899" t="e">
        <f ca="1">SUMIF(B6:B13,"&lt;&gt;#ref!",B6:B13)</f>
        <v>#DIV/0!</v>
      </c>
      <c r="C2" s="2898" t="s">
        <v>2992</v>
      </c>
      <c r="D2" s="2898" t="s">
        <v>2993</v>
      </c>
      <c r="E2" s="2899">
        <f ca="1">SUMIF(E6:E13,"&lt;&gt;#ref!",E6:E13)</f>
        <v>0</v>
      </c>
    </row>
    <row r="3" spans="1:5" ht="15.75">
      <c r="A3" s="2898" t="s">
        <v>2994</v>
      </c>
      <c r="B3" s="2899" t="e">
        <f ca="1">ROUND(B2*10000/E2,0)</f>
        <v>#DIV/0!</v>
      </c>
      <c r="C3" s="2898" t="s">
        <v>3000</v>
      </c>
      <c r="D3" s="2900"/>
      <c r="E3" s="2900"/>
    </row>
    <row r="4" spans="1:5" ht="15.75">
      <c r="A4" s="2901"/>
      <c r="B4" s="2900"/>
      <c r="C4" s="2900"/>
      <c r="D4" s="2900"/>
      <c r="E4" s="2900"/>
    </row>
    <row r="5" spans="1:5" ht="28.5">
      <c r="A5" s="2902" t="s">
        <v>2995</v>
      </c>
      <c r="B5" s="2898" t="s">
        <v>2996</v>
      </c>
      <c r="C5" s="2899"/>
      <c r="D5" s="2900"/>
      <c r="E5" s="2898" t="s">
        <v>2997</v>
      </c>
    </row>
    <row r="6" spans="1:5" ht="15.75">
      <c r="A6" s="2903" t="s">
        <v>2998</v>
      </c>
      <c r="B6" s="2899" t="e">
        <f ca="1">SUMIF(INDIRECT("'"&amp;A6&amp;"'"&amp;"!A:A"),"总价",INDIRECT("'"&amp;A6&amp;"'"&amp;"!B:B"))</f>
        <v>#DIV/0!</v>
      </c>
      <c r="C6" s="2898" t="s">
        <v>2992</v>
      </c>
      <c r="D6" s="2900"/>
      <c r="E6" s="2571">
        <f ca="1">SUMIF(INDIRECT("'"&amp;A6&amp;"'"&amp;"!C:C"),"建筑面积",INDIRECT("'"&amp;A6&amp;"'"&amp;"!D:D"))</f>
        <v>0</v>
      </c>
    </row>
    <row r="7" spans="1:5" ht="15.75">
      <c r="A7" s="2903"/>
      <c r="B7" s="2899" t="e">
        <f ca="1">SUMIF(INDIRECT("'"&amp;A7&amp;"'"&amp;"!A:A"),"总价",INDIRECT("'"&amp;A7&amp;"'"&amp;"!B:B"))</f>
        <v>#REF!</v>
      </c>
      <c r="C7" s="2898" t="s">
        <v>2992</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2992</v>
      </c>
      <c r="D8" s="2900"/>
      <c r="E8" s="2571" t="e">
        <f t="shared" ca="1" si="0"/>
        <v>#REF!</v>
      </c>
    </row>
    <row r="9" spans="1:5" ht="15.75">
      <c r="A9" s="2903"/>
      <c r="B9" s="2899" t="e">
        <f t="shared" ca="1" si="1"/>
        <v>#REF!</v>
      </c>
      <c r="C9" s="2898" t="s">
        <v>2992</v>
      </c>
      <c r="D9" s="2900"/>
      <c r="E9" s="2571" t="e">
        <f t="shared" ca="1" si="0"/>
        <v>#REF!</v>
      </c>
    </row>
    <row r="10" spans="1:5" ht="15.75">
      <c r="A10" s="2903"/>
      <c r="B10" s="2899" t="e">
        <f t="shared" ca="1" si="1"/>
        <v>#REF!</v>
      </c>
      <c r="C10" s="2898" t="s">
        <v>2992</v>
      </c>
      <c r="D10" s="2900"/>
      <c r="E10" s="2571" t="e">
        <f t="shared" ca="1" si="0"/>
        <v>#REF!</v>
      </c>
    </row>
    <row r="11" spans="1:5" ht="15.75">
      <c r="A11" s="2903"/>
      <c r="B11" s="2899" t="e">
        <f t="shared" ca="1" si="1"/>
        <v>#REF!</v>
      </c>
      <c r="C11" s="2898" t="s">
        <v>2992</v>
      </c>
      <c r="D11" s="2900"/>
      <c r="E11" s="2571" t="e">
        <f t="shared" ca="1" si="0"/>
        <v>#REF!</v>
      </c>
    </row>
    <row r="12" spans="1:5" ht="15.75">
      <c r="A12" s="2903"/>
      <c r="B12" s="2899" t="e">
        <f t="shared" ca="1" si="1"/>
        <v>#REF!</v>
      </c>
      <c r="C12" s="2898" t="s">
        <v>2992</v>
      </c>
      <c r="D12" s="2900"/>
      <c r="E12" s="2571" t="e">
        <f t="shared" ca="1" si="0"/>
        <v>#REF!</v>
      </c>
    </row>
    <row r="13" spans="1:5" ht="15.75">
      <c r="A13" s="2903"/>
      <c r="B13" s="2899" t="e">
        <f t="shared" ca="1" si="1"/>
        <v>#REF!</v>
      </c>
      <c r="C13" s="2898" t="s">
        <v>2992</v>
      </c>
      <c r="D13" s="2900"/>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3" t="s">
        <v>1146</v>
      </c>
      <c r="C1" s="3293"/>
      <c r="D1" s="3293"/>
      <c r="E1" s="3293"/>
      <c r="F1" s="3293"/>
      <c r="G1" s="3292" t="s">
        <v>1147</v>
      </c>
      <c r="H1" s="3292"/>
      <c r="I1" s="3292"/>
      <c r="J1" s="3292"/>
      <c r="K1" s="3292"/>
      <c r="L1" s="3292"/>
      <c r="N1" s="3292" t="s">
        <v>1148</v>
      </c>
      <c r="O1" s="3292"/>
      <c r="P1" s="3292"/>
      <c r="Q1" s="3292"/>
      <c r="R1" s="1446"/>
      <c r="S1" s="3292" t="s">
        <v>1149</v>
      </c>
      <c r="T1" s="3292"/>
      <c r="U1" s="3292"/>
      <c r="V1" s="3292"/>
      <c r="X1" s="3291" t="s">
        <v>1150</v>
      </c>
      <c r="Y1" s="3292"/>
      <c r="Z1" s="3292"/>
      <c r="AA1" s="3292"/>
      <c r="AB1" s="3292"/>
      <c r="AD1" s="3291" t="s">
        <v>1151</v>
      </c>
      <c r="AE1" s="3292"/>
      <c r="AF1" s="3292"/>
      <c r="AG1" s="3292"/>
      <c r="AH1" s="3292"/>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3034</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3048</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8">
        <v>2019</v>
      </c>
      <c r="H5" s="1729">
        <v>2</v>
      </c>
      <c r="I5" s="2910">
        <v>0</v>
      </c>
      <c r="J5" s="2910">
        <v>0</v>
      </c>
      <c r="K5" s="2910">
        <v>0</v>
      </c>
      <c r="L5" s="2910">
        <v>0</v>
      </c>
      <c r="N5" s="1467">
        <f>I5/100</f>
        <v>0</v>
      </c>
      <c r="O5" s="1467">
        <f t="shared" ref="O5" si="7">J5/100</f>
        <v>0</v>
      </c>
      <c r="P5" s="1467">
        <f t="shared" ref="P5" si="8">K5/100</f>
        <v>0</v>
      </c>
      <c r="Q5" s="1467">
        <f t="shared" ref="Q5" si="9">L5/100</f>
        <v>0</v>
      </c>
      <c r="R5" s="1731"/>
      <c r="S5" s="1732"/>
      <c r="T5" s="1731"/>
      <c r="U5" s="1731"/>
      <c r="V5" s="1731"/>
      <c r="W5" s="2913" t="s">
        <v>3035</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9">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3041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3040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3030</v>
      </c>
      <c r="B11" s="1469">
        <v>439</v>
      </c>
      <c r="C11" s="1469">
        <v>327</v>
      </c>
      <c r="D11" s="1469">
        <f>C11</f>
        <v>327</v>
      </c>
      <c r="E11" s="1469">
        <v>627</v>
      </c>
      <c r="F11" s="1470">
        <v>283</v>
      </c>
      <c r="G11" s="329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29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29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00" t="s">
        <v>3002</v>
      </c>
      <c r="D1" s="3301"/>
      <c r="E1" s="3301"/>
      <c r="F1" s="3301"/>
      <c r="G1" s="3301"/>
      <c r="H1" s="3301"/>
      <c r="I1" s="3301"/>
      <c r="J1" s="3301"/>
      <c r="K1" s="3301"/>
      <c r="L1" s="3301"/>
      <c r="M1" s="3301"/>
      <c r="N1" s="3301"/>
      <c r="O1" s="3301"/>
      <c r="P1" s="3301"/>
      <c r="Q1" s="3301"/>
      <c r="R1" s="3301"/>
      <c r="S1" s="3302"/>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3011</v>
      </c>
      <c r="B17" s="2905"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3013</v>
      </c>
      <c r="E19" s="1791"/>
      <c r="F19" s="1791"/>
      <c r="G19" s="1791"/>
      <c r="H19" s="1280"/>
      <c r="I19" s="168"/>
      <c r="J19" s="168"/>
      <c r="K19" s="168"/>
      <c r="L19" s="168"/>
      <c r="M19" s="168"/>
      <c r="N19" s="168"/>
      <c r="O19" s="168"/>
      <c r="P19" s="168"/>
      <c r="Q19" s="168"/>
      <c r="R19" s="788"/>
      <c r="S19" s="138"/>
    </row>
    <row r="20" spans="1:45" ht="16.5" thickBot="1">
      <c r="A20" s="715" t="s">
        <v>3014</v>
      </c>
      <c r="B20" s="338" t="e">
        <f ca="1">IF(D20="——",S22,S22-F20)</f>
        <v>#REF!</v>
      </c>
      <c r="C20" s="168"/>
      <c r="D20" s="2907" t="s">
        <v>3015</v>
      </c>
      <c r="E20" s="1792"/>
      <c r="F20" s="1204" t="e">
        <f ca="1">SUMIF(INDIRECT("'"&amp;H20&amp;"'"&amp;"!A:A"),"承租人权益价值",INDIRECT("'"&amp;H20&amp;"'"&amp;"!c:c"))</f>
        <v>#REF!</v>
      </c>
      <c r="G20" s="1204" t="s">
        <v>3016</v>
      </c>
      <c r="H20" s="2908"/>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9" t="s">
        <v>33</v>
      </c>
      <c r="D22" s="3160"/>
      <c r="E22" s="3160"/>
      <c r="F22" s="3160"/>
      <c r="G22" s="3160"/>
      <c r="H22" s="3160"/>
      <c r="I22" s="3160"/>
      <c r="J22" s="3160"/>
      <c r="K22" s="3160"/>
      <c r="L22" s="3160"/>
      <c r="M22" s="3160"/>
      <c r="N22" s="3160"/>
      <c r="O22" s="3160"/>
      <c r="P22" s="3160"/>
      <c r="Q22" s="3299"/>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0"/>
      <c r="B4" s="2982" t="s">
        <v>1626</v>
      </c>
      <c r="C4" s="2982"/>
      <c r="D4" s="2982"/>
      <c r="E4" s="1960"/>
    </row>
    <row r="5" spans="1:5" ht="16.5" thickTop="1">
      <c r="A5" s="1958"/>
      <c r="B5" s="2980" t="s">
        <v>1618</v>
      </c>
      <c r="C5" s="1961" t="s">
        <v>1619</v>
      </c>
      <c r="D5" s="1040">
        <f ca="1">结果表!H101</f>
        <v>31414</v>
      </c>
      <c r="E5" s="1958"/>
    </row>
    <row r="6" spans="1:5" ht="15.75">
      <c r="A6" s="1958"/>
      <c r="B6" s="2980"/>
      <c r="C6" s="1961" t="s">
        <v>1620</v>
      </c>
      <c r="D6" s="1040" t="str">
        <f ca="1">NUMBERSTRING(INT(D5*10000),2)&amp;"元整"</f>
        <v>叁亿壹仟肆佰壹拾肆万元整</v>
      </c>
      <c r="E6" s="1958"/>
    </row>
    <row r="7" spans="1:5" ht="15.75">
      <c r="A7" s="1958"/>
      <c r="B7" s="2985"/>
      <c r="C7" s="1962" t="s">
        <v>1621</v>
      </c>
      <c r="D7" s="1041">
        <f ca="1">结果表!H102</f>
        <v>2859</v>
      </c>
      <c r="E7" s="1958"/>
    </row>
    <row r="8" spans="1:5" ht="15.75">
      <c r="A8" s="1958"/>
      <c r="B8" s="2986" t="str">
        <f>结果表!E103</f>
        <v>2.估价师知悉的法定优先受偿款</v>
      </c>
      <c r="C8" s="1963" t="s">
        <v>1622</v>
      </c>
      <c r="D8" s="1041">
        <f>结果表!H103</f>
        <v>0</v>
      </c>
      <c r="E8" s="1958"/>
    </row>
    <row r="9" spans="1:5" ht="15.75">
      <c r="A9" s="1958"/>
      <c r="B9" s="2988"/>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2979" t="str">
        <f>结果表!E107</f>
        <v>3.房地产抵押价值</v>
      </c>
      <c r="C13" s="1966" t="s">
        <v>1619</v>
      </c>
      <c r="D13" s="1043">
        <f ca="1">结果表!H107</f>
        <v>31414</v>
      </c>
      <c r="E13" s="1958"/>
    </row>
    <row r="14" spans="1:5" ht="15.75">
      <c r="A14" s="1958"/>
      <c r="B14" s="2980"/>
      <c r="C14" s="1961" t="s">
        <v>1620</v>
      </c>
      <c r="D14" s="1040" t="str">
        <f ca="1">NUMBERSTRING(INT(D13*10000),2)&amp;"元整"</f>
        <v>叁亿壹仟肆佰壹拾肆万元整</v>
      </c>
      <c r="E14" s="1958"/>
    </row>
    <row r="15" spans="1:5" ht="15">
      <c r="A15" s="1958"/>
      <c r="B15" s="2985"/>
      <c r="C15" s="1962" t="s">
        <v>1630</v>
      </c>
      <c r="D15" s="1052">
        <f ca="1">结果表!H108</f>
        <v>2859</v>
      </c>
      <c r="E15" s="1958"/>
    </row>
    <row r="16" spans="1:5" ht="15">
      <c r="A16" s="1958"/>
      <c r="B16" s="2986" t="str">
        <f>结果表!E109</f>
        <v>——</v>
      </c>
      <c r="C16" s="1966" t="s">
        <v>1631</v>
      </c>
      <c r="D16" s="1967" t="str">
        <f>结果表!H109</f>
        <v>——</v>
      </c>
      <c r="E16" s="1958"/>
    </row>
    <row r="17" spans="1:5" ht="15.75">
      <c r="A17" s="1958"/>
      <c r="B17" s="2987"/>
      <c r="C17" s="1961" t="s">
        <v>1632</v>
      </c>
      <c r="D17" s="1040" t="e">
        <f>NUMBERSTRING(INT(D16*10000),2)&amp;"元整"</f>
        <v>#VALUE!</v>
      </c>
      <c r="E17" s="1958"/>
    </row>
    <row r="18" spans="1:5" ht="15">
      <c r="A18" s="1958"/>
      <c r="B18" s="2988"/>
      <c r="C18" s="1962" t="s">
        <v>1621</v>
      </c>
      <c r="D18" s="1052" t="str">
        <f>结果表!H110</f>
        <v>——</v>
      </c>
      <c r="E18" s="1958"/>
    </row>
    <row r="19" spans="1:5" ht="15.75">
      <c r="A19" s="1958"/>
      <c r="B19" s="2979" t="str">
        <f>结果表!E111</f>
        <v>——</v>
      </c>
      <c r="C19" s="1966" t="s">
        <v>1619</v>
      </c>
      <c r="D19" s="1041" t="str">
        <f>结果表!H111</f>
        <v>——</v>
      </c>
      <c r="E19" s="1958"/>
    </row>
    <row r="20" spans="1:5" ht="15.75">
      <c r="A20" s="1958"/>
      <c r="B20" s="2980"/>
      <c r="C20" s="1961" t="s">
        <v>1632</v>
      </c>
      <c r="D20" s="1040" t="e">
        <f>NUMBERSTRING(INT(D19*10000),2)&amp;"元整"</f>
        <v>#VALUE!</v>
      </c>
      <c r="E20" s="1958"/>
    </row>
    <row r="21" spans="1:5" ht="15.75" thickBot="1">
      <c r="A21" s="1958"/>
      <c r="B21" s="2981"/>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36982</v>
      </c>
      <c r="C2" s="2" t="s">
        <v>133</v>
      </c>
      <c r="D2" s="243"/>
      <c r="E2" s="243"/>
      <c r="F2" s="243"/>
      <c r="G2" s="243"/>
    </row>
    <row r="3" spans="1:7" s="244" customFormat="1" ht="18" customHeight="1" thickBot="1">
      <c r="A3" s="247" t="s">
        <v>85</v>
      </c>
      <c r="B3" s="248">
        <f ca="1">ROUND(B2*10000/'数据-汇总表'!E3,0)</f>
        <v>3366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2197</v>
      </c>
      <c r="D10" s="1032">
        <f>'数据-汇总表'!E6</f>
        <v>109861.36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549</v>
      </c>
      <c r="D19" s="1036">
        <f>'数据-汇总表'!E3</f>
        <v>109861.36</v>
      </c>
      <c r="E19" s="255">
        <f>'数据-取费表'!B31</f>
        <v>50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809</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780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21</v>
      </c>
      <c r="D24" s="282"/>
      <c r="E24" s="282"/>
      <c r="F24" s="283"/>
      <c r="G24" s="284" t="s">
        <v>109</v>
      </c>
    </row>
    <row r="25" spans="1:7" s="258" customFormat="1" ht="24">
      <c r="A25" s="951" t="s">
        <v>793</v>
      </c>
      <c r="B25" s="259" t="s">
        <v>1055</v>
      </c>
      <c r="C25" s="1355">
        <f ca="1">ROUND(IF('数据-取费表'!B22&lt;=1,C20*F22*'数据-取费表'!B23/2,C20*(POWER((1+F22),'数据-取费表'!B23/2)-1)),0)</f>
        <v>8</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863</v>
      </c>
      <c r="D27" s="279">
        <f>C29</f>
        <v>8.0000000000000004E-4</v>
      </c>
      <c r="E27" s="280" t="s">
        <v>126</v>
      </c>
      <c r="F27" s="290">
        <f>'数据-取费表'!Q16</f>
        <v>0.1</v>
      </c>
      <c r="G27" s="291" t="s">
        <v>1066</v>
      </c>
    </row>
    <row r="28" spans="1:7" s="258" customFormat="1" ht="13.5" customHeight="1">
      <c r="A28" s="951" t="s">
        <v>794</v>
      </c>
      <c r="B28" s="292" t="s">
        <v>1059</v>
      </c>
      <c r="C28" s="293">
        <f>ROUND((C5+C19+C20)*F27*'数据-取费表'!B21/'数据-取费表'!B20,0)</f>
        <v>863</v>
      </c>
      <c r="D28" s="279"/>
      <c r="E28" s="280"/>
      <c r="F28" s="290"/>
      <c r="G28" s="291"/>
    </row>
    <row r="29" spans="1:7" s="258" customFormat="1" ht="13.5" customHeight="1">
      <c r="A29" s="951" t="s">
        <v>792</v>
      </c>
      <c r="B29" s="292" t="s">
        <v>1060</v>
      </c>
      <c r="C29" s="282">
        <f>ROUND(C21*F27*'数据-取费表'!B21/'数据-取费表'!B20,4)</f>
        <v>8.0000000000000004E-4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25127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9602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8723</v>
      </c>
      <c r="D34" s="261"/>
      <c r="E34" s="264"/>
      <c r="F34" s="301">
        <f>IF('数据-取费表'!B24=0,1,'数据-取费表'!N16)</f>
        <v>0.29499999999999998</v>
      </c>
      <c r="G34" s="263" t="s">
        <v>116</v>
      </c>
    </row>
    <row r="35" spans="1:7" ht="13.5" customHeight="1">
      <c r="A35" s="951" t="s">
        <v>796</v>
      </c>
      <c r="B35" s="259" t="s">
        <v>60</v>
      </c>
      <c r="C35" s="264">
        <f>ROUND(C34*F35,0)</f>
        <v>262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486</v>
      </c>
      <c r="D37" s="261">
        <f>'数据-汇总表'!E3</f>
        <v>109861.36</v>
      </c>
      <c r="E37" s="293">
        <f>'数据-取费表'!B35</f>
        <v>150</v>
      </c>
      <c r="F37" s="303"/>
      <c r="G37" s="305" t="s">
        <v>119</v>
      </c>
    </row>
    <row r="38" spans="1:7" ht="13.5" customHeight="1">
      <c r="A38" s="951" t="s">
        <v>799</v>
      </c>
      <c r="B38" s="259" t="s">
        <v>63</v>
      </c>
      <c r="C38" s="264">
        <f>ROUND(C34*F38,0)</f>
        <v>131</v>
      </c>
      <c r="D38" s="264"/>
      <c r="E38" s="264"/>
      <c r="F38" s="303">
        <f>'数据-取费表'!B36</f>
        <v>1.4999999999999999E-2</v>
      </c>
      <c r="G38" s="263" t="s">
        <v>117</v>
      </c>
    </row>
    <row r="39" spans="1:7" s="258" customFormat="1" ht="13.5" customHeight="1">
      <c r="A39" s="948" t="s">
        <v>783</v>
      </c>
      <c r="B39" s="254" t="s">
        <v>104</v>
      </c>
      <c r="C39" s="276">
        <f>ROUND(C33*F20,0)</f>
        <v>192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184</v>
      </c>
      <c r="D41" s="279">
        <f ca="1">C44</f>
        <v>4.0000000000000002E-4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180</v>
      </c>
      <c r="D42" s="282"/>
      <c r="E42" s="282"/>
      <c r="F42" s="283"/>
      <c r="G42" s="3207" t="s">
        <v>121</v>
      </c>
    </row>
    <row r="43" spans="1:7" ht="13.5" customHeight="1">
      <c r="A43" s="951" t="s">
        <v>792</v>
      </c>
      <c r="B43" s="259" t="s">
        <v>1061</v>
      </c>
      <c r="C43" s="282">
        <f ca="1">ROUND(IF('数据-取费表'!B22&lt;=1,C39*F22*'数据-取费表'!B21/2,C39*(POWER((1+F22),'数据-取费表'!B21/2)-1)),0)</f>
        <v>4</v>
      </c>
      <c r="D43" s="282"/>
      <c r="E43" s="282"/>
      <c r="F43" s="283"/>
      <c r="G43" s="3208"/>
    </row>
    <row r="44" spans="1:7" ht="13.5" customHeight="1">
      <c r="A44" s="951" t="s">
        <v>793</v>
      </c>
      <c r="B44" s="259" t="s">
        <v>1063</v>
      </c>
      <c r="C44" s="282">
        <f ca="1">ROUND(IF('数据-取费表'!B22&lt;=1,C40*F22*'数据-取费表'!B21/2,C40*(POWER((1+F22),'数据-取费表'!B21/2)-1)),4)</f>
        <v>4.0000000000000002E-4</v>
      </c>
      <c r="D44" s="282"/>
      <c r="E44" s="282"/>
      <c r="F44" s="283"/>
      <c r="G44" s="3209"/>
    </row>
    <row r="45" spans="1:7" s="258" customFormat="1" ht="13.5" customHeight="1">
      <c r="A45" s="948" t="s">
        <v>786</v>
      </c>
      <c r="B45" s="288" t="s">
        <v>112</v>
      </c>
      <c r="C45" s="289">
        <f>C46</f>
        <v>979</v>
      </c>
      <c r="D45" s="279">
        <f>C47</f>
        <v>2E-3</v>
      </c>
      <c r="E45" s="280" t="s">
        <v>129</v>
      </c>
      <c r="F45" s="290"/>
      <c r="G45" s="291" t="s">
        <v>1069</v>
      </c>
    </row>
    <row r="46" spans="1:7" s="258" customFormat="1" ht="13.5" customHeight="1">
      <c r="A46" s="951" t="s">
        <v>794</v>
      </c>
      <c r="B46" s="292" t="s">
        <v>1062</v>
      </c>
      <c r="C46" s="293">
        <f>ROUND((C33+C39)*F27,0)</f>
        <v>979</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11855</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11855</v>
      </c>
      <c r="D51" s="276"/>
      <c r="E51" s="276"/>
      <c r="F51" s="308"/>
      <c r="G51" s="278" t="s">
        <v>64</v>
      </c>
    </row>
    <row r="52" spans="1:7" s="252" customFormat="1" ht="16.5" thickBot="1">
      <c r="A52" s="309" t="s">
        <v>65</v>
      </c>
      <c r="B52" s="310"/>
      <c r="C52" s="311">
        <f ca="1">C31+C51</f>
        <v>36982</v>
      </c>
      <c r="D52" s="310"/>
      <c r="E52" s="310"/>
      <c r="F52" s="310"/>
      <c r="G52" s="312"/>
    </row>
    <row r="55" spans="1:7" ht="15">
      <c r="B55" s="314" t="s">
        <v>66</v>
      </c>
      <c r="C55" s="315"/>
    </row>
    <row r="56" spans="1:7">
      <c r="B56" s="317" t="s">
        <v>67</v>
      </c>
      <c r="C56" s="318">
        <f ca="1">ROUND(C51/C52,3)</f>
        <v>0.32100000000000001</v>
      </c>
    </row>
    <row r="57" spans="1:7">
      <c r="B57" s="317" t="s">
        <v>68</v>
      </c>
      <c r="C57" s="319">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868</v>
      </c>
      <c r="B1" s="330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43630</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
  <sheetViews>
    <sheetView workbookViewId="0">
      <selection activeCell="AW24" sqref="AW24"/>
    </sheetView>
  </sheetViews>
  <sheetFormatPr defaultRowHeight="13.5"/>
  <cols>
    <col min="5" max="6" width="0" hidden="1" customWidth="1"/>
    <col min="8" max="8" width="0" hidden="1" customWidth="1"/>
    <col min="15" max="22" width="0" hidden="1" customWidth="1"/>
    <col min="24" max="24" width="10" hidden="1" customWidth="1"/>
    <col min="25" max="26" width="0" hidden="1" customWidth="1"/>
    <col min="28" max="28" width="0" hidden="1" customWidth="1"/>
    <col min="31" max="32" width="0" hidden="1" customWidth="1"/>
    <col min="34" max="34" width="0" hidden="1" customWidth="1"/>
    <col min="36" max="36" width="0" hidden="1" customWidth="1"/>
    <col min="38" max="40" width="0" hidden="1" customWidth="1"/>
    <col min="42" max="44" width="0" hidden="1" customWidth="1"/>
  </cols>
  <sheetData>
    <row r="1" spans="1:45" s="1634" customFormat="1">
      <c r="A1" s="1634" t="s">
        <v>3186</v>
      </c>
      <c r="B1" s="1634" t="s">
        <v>3187</v>
      </c>
      <c r="C1" s="1634" t="s">
        <v>3188</v>
      </c>
      <c r="D1" s="1634" t="s">
        <v>3189</v>
      </c>
      <c r="E1" s="1634" t="s">
        <v>3190</v>
      </c>
      <c r="F1" s="1634" t="s">
        <v>3191</v>
      </c>
      <c r="G1" s="1634" t="s">
        <v>3192</v>
      </c>
      <c r="H1" s="1634" t="s">
        <v>3193</v>
      </c>
      <c r="I1" s="1634" t="s">
        <v>3194</v>
      </c>
      <c r="J1" s="1634" t="s">
        <v>3195</v>
      </c>
      <c r="K1" s="1634" t="s">
        <v>3196</v>
      </c>
      <c r="L1" s="1634" t="s">
        <v>3197</v>
      </c>
      <c r="M1" s="1634" t="s">
        <v>3198</v>
      </c>
      <c r="N1" s="1634" t="s">
        <v>3199</v>
      </c>
      <c r="O1" s="1634" t="s">
        <v>3200</v>
      </c>
      <c r="P1" s="1634" t="s">
        <v>3201</v>
      </c>
      <c r="Q1" s="1634" t="s">
        <v>3202</v>
      </c>
      <c r="R1" s="1634" t="s">
        <v>3203</v>
      </c>
      <c r="S1" s="1634" t="s">
        <v>3204</v>
      </c>
      <c r="T1" s="1634" t="s">
        <v>3205</v>
      </c>
      <c r="U1" s="1634" t="s">
        <v>3206</v>
      </c>
      <c r="V1" s="1634" t="s">
        <v>3207</v>
      </c>
      <c r="W1" s="1634" t="s">
        <v>3208</v>
      </c>
      <c r="X1" s="1634" t="s">
        <v>3209</v>
      </c>
      <c r="Y1" s="1634" t="s">
        <v>3210</v>
      </c>
      <c r="Z1" s="1634" t="s">
        <v>3211</v>
      </c>
      <c r="AA1" s="1634" t="s">
        <v>3212</v>
      </c>
      <c r="AB1" s="1634" t="s">
        <v>3213</v>
      </c>
      <c r="AC1" s="1634" t="s">
        <v>3214</v>
      </c>
      <c r="AD1" s="1634" t="s">
        <v>3215</v>
      </c>
      <c r="AE1" s="1634" t="s">
        <v>3216</v>
      </c>
      <c r="AF1" s="1634" t="s">
        <v>3217</v>
      </c>
      <c r="AG1" s="1634" t="s">
        <v>3218</v>
      </c>
      <c r="AH1" s="1634" t="s">
        <v>3219</v>
      </c>
      <c r="AI1" s="1634" t="s">
        <v>3220</v>
      </c>
      <c r="AJ1" s="1634" t="s">
        <v>3221</v>
      </c>
      <c r="AK1" s="1634" t="s">
        <v>3222</v>
      </c>
      <c r="AL1" s="1634" t="s">
        <v>3223</v>
      </c>
      <c r="AM1" s="1634" t="s">
        <v>3224</v>
      </c>
      <c r="AN1" s="1634" t="s">
        <v>3225</v>
      </c>
      <c r="AO1" s="1634" t="s">
        <v>3226</v>
      </c>
      <c r="AP1" s="1634" t="s">
        <v>3227</v>
      </c>
      <c r="AQ1" s="1634" t="s">
        <v>3228</v>
      </c>
      <c r="AR1" s="1634" t="s">
        <v>3229</v>
      </c>
      <c r="AS1" s="1634" t="s">
        <v>3230</v>
      </c>
    </row>
    <row r="2" spans="1:45" s="1634" customFormat="1">
      <c r="A2" s="1634" t="s">
        <v>3246</v>
      </c>
      <c r="B2" s="1634" t="s">
        <v>3232</v>
      </c>
      <c r="C2" s="1634" t="s">
        <v>3233</v>
      </c>
      <c r="D2" s="1634" t="s">
        <v>3247</v>
      </c>
      <c r="E2" s="1634" t="s">
        <v>1327</v>
      </c>
      <c r="F2" s="1634" t="s">
        <v>3246</v>
      </c>
      <c r="G2" s="1634" t="s">
        <v>3235</v>
      </c>
      <c r="H2" s="1634" t="s">
        <v>3248</v>
      </c>
      <c r="I2" s="1634" t="s">
        <v>3237</v>
      </c>
      <c r="J2" s="1634">
        <v>66721.41</v>
      </c>
      <c r="K2" s="1634">
        <v>133442.82</v>
      </c>
      <c r="L2" s="1634">
        <v>2</v>
      </c>
      <c r="M2" s="1634" t="s">
        <v>1327</v>
      </c>
      <c r="N2" s="1634" t="s">
        <v>3250</v>
      </c>
      <c r="O2" s="1634" t="s">
        <v>1327</v>
      </c>
      <c r="P2" s="1634" t="s">
        <v>1327</v>
      </c>
      <c r="Q2" s="1634" t="s">
        <v>1327</v>
      </c>
      <c r="R2" s="1634" t="s">
        <v>1327</v>
      </c>
      <c r="S2" s="1634" t="s">
        <v>1327</v>
      </c>
      <c r="T2" s="1634" t="s">
        <v>1327</v>
      </c>
      <c r="U2" s="1634" t="s">
        <v>1327</v>
      </c>
      <c r="V2" s="1634" t="s">
        <v>1327</v>
      </c>
      <c r="W2" s="1634" t="s">
        <v>3251</v>
      </c>
      <c r="X2" s="1634" t="s">
        <v>3252</v>
      </c>
      <c r="Y2" s="1634" t="s">
        <v>3253</v>
      </c>
      <c r="Z2" s="1634" t="s">
        <v>3254</v>
      </c>
      <c r="AA2" s="1634" t="s">
        <v>3254</v>
      </c>
      <c r="AB2" s="1634" t="s">
        <v>3255</v>
      </c>
      <c r="AC2" s="1634" t="s">
        <v>3256</v>
      </c>
      <c r="AD2" s="1634" t="s">
        <v>3257</v>
      </c>
      <c r="AE2" s="1634">
        <v>3443</v>
      </c>
      <c r="AF2" s="1634" t="s">
        <v>1327</v>
      </c>
      <c r="AG2" s="1634">
        <v>19620</v>
      </c>
      <c r="AH2" s="1634" t="s">
        <v>1327</v>
      </c>
      <c r="AI2" s="1634">
        <v>196.04</v>
      </c>
      <c r="AJ2" s="1634" t="s">
        <v>1327</v>
      </c>
      <c r="AK2" s="1634">
        <v>1470.28</v>
      </c>
      <c r="AL2" s="1634" t="s">
        <v>1327</v>
      </c>
      <c r="AM2" s="1634" t="s">
        <v>1327</v>
      </c>
      <c r="AN2" s="1634" t="s">
        <v>1327</v>
      </c>
      <c r="AO2" s="1634" t="s">
        <v>3244</v>
      </c>
      <c r="AP2" s="1634" t="s">
        <v>1327</v>
      </c>
      <c r="AQ2" s="1634" t="s">
        <v>1327</v>
      </c>
      <c r="AR2" s="1634" t="s">
        <v>1327</v>
      </c>
      <c r="AS2" s="1634" t="s">
        <v>3245</v>
      </c>
    </row>
    <row r="3" spans="1:45" s="2971" customFormat="1">
      <c r="A3" s="2971" t="s">
        <v>3261</v>
      </c>
      <c r="B3" s="2971" t="s">
        <v>3232</v>
      </c>
      <c r="C3" s="2971" t="s">
        <v>3233</v>
      </c>
      <c r="D3" s="2971" t="s">
        <v>3247</v>
      </c>
      <c r="E3" s="2971" t="s">
        <v>1327</v>
      </c>
      <c r="F3" s="2971" t="s">
        <v>3261</v>
      </c>
      <c r="G3" s="2971" t="s">
        <v>3235</v>
      </c>
      <c r="H3" s="2971" t="s">
        <v>3262</v>
      </c>
      <c r="I3" s="2971" t="s">
        <v>3237</v>
      </c>
      <c r="J3" s="2971">
        <v>61399.67</v>
      </c>
      <c r="K3" s="2971">
        <v>122799.34</v>
      </c>
      <c r="L3" s="2971">
        <v>2</v>
      </c>
      <c r="M3" s="2971" t="s">
        <v>1327</v>
      </c>
      <c r="N3" s="2971" t="s">
        <v>3250</v>
      </c>
      <c r="O3" s="2971" t="s">
        <v>1327</v>
      </c>
      <c r="P3" s="2971" t="s">
        <v>1327</v>
      </c>
      <c r="Q3" s="2971" t="s">
        <v>1327</v>
      </c>
      <c r="R3" s="2971" t="s">
        <v>1327</v>
      </c>
      <c r="S3" s="2971" t="s">
        <v>1327</v>
      </c>
      <c r="T3" s="2971" t="s">
        <v>1327</v>
      </c>
      <c r="U3" s="2971" t="s">
        <v>1327</v>
      </c>
      <c r="V3" s="2971" t="s">
        <v>1327</v>
      </c>
      <c r="W3" s="2971" t="s">
        <v>3251</v>
      </c>
      <c r="X3" s="2971" t="s">
        <v>3252</v>
      </c>
      <c r="Y3" s="2971" t="s">
        <v>3253</v>
      </c>
      <c r="Z3" s="2971" t="s">
        <v>3254</v>
      </c>
      <c r="AA3" s="2971" t="s">
        <v>3254</v>
      </c>
      <c r="AB3" s="2971" t="s">
        <v>3255</v>
      </c>
      <c r="AC3" s="2971" t="s">
        <v>3256</v>
      </c>
      <c r="AD3" s="2971" t="s">
        <v>3257</v>
      </c>
      <c r="AE3" s="2971">
        <v>3132</v>
      </c>
      <c r="AF3" s="2971" t="s">
        <v>1327</v>
      </c>
      <c r="AG3" s="2971">
        <v>18880</v>
      </c>
      <c r="AH3" s="2971" t="s">
        <v>1327</v>
      </c>
      <c r="AI3" s="2971">
        <v>205</v>
      </c>
      <c r="AJ3" s="2971" t="s">
        <v>1327</v>
      </c>
      <c r="AK3" s="2971">
        <v>1537.47</v>
      </c>
      <c r="AL3" s="2971" t="s">
        <v>1327</v>
      </c>
      <c r="AM3" s="2971" t="s">
        <v>1327</v>
      </c>
      <c r="AN3" s="2971" t="s">
        <v>1327</v>
      </c>
      <c r="AO3" s="2971" t="s">
        <v>3244</v>
      </c>
      <c r="AP3" s="2971" t="s">
        <v>1327</v>
      </c>
      <c r="AQ3" s="2971" t="s">
        <v>1327</v>
      </c>
      <c r="AR3" s="2971" t="s">
        <v>1327</v>
      </c>
      <c r="AS3" s="2971" t="s">
        <v>3245</v>
      </c>
    </row>
    <row r="4" spans="1:45" s="2971" customFormat="1">
      <c r="A4" s="2971" t="s">
        <v>3278</v>
      </c>
      <c r="B4" s="2971" t="s">
        <v>3232</v>
      </c>
      <c r="C4" s="2971" t="s">
        <v>3233</v>
      </c>
      <c r="D4" s="2971" t="s">
        <v>3279</v>
      </c>
      <c r="E4" s="2971" t="s">
        <v>1327</v>
      </c>
      <c r="F4" s="2971" t="s">
        <v>3278</v>
      </c>
      <c r="G4" s="2971" t="s">
        <v>3235</v>
      </c>
      <c r="H4" s="2971">
        <v>1818</v>
      </c>
      <c r="I4" s="2971" t="s">
        <v>3237</v>
      </c>
      <c r="J4" s="2971">
        <v>23317</v>
      </c>
      <c r="K4" s="2971">
        <v>37307.199999999997</v>
      </c>
      <c r="L4" s="2971">
        <v>1.6</v>
      </c>
      <c r="M4" s="2971" t="s">
        <v>1327</v>
      </c>
      <c r="N4" s="2971" t="s">
        <v>3281</v>
      </c>
      <c r="O4" s="2971" t="s">
        <v>1327</v>
      </c>
      <c r="P4" s="2971" t="s">
        <v>1327</v>
      </c>
      <c r="Q4" s="2971" t="s">
        <v>1327</v>
      </c>
      <c r="R4" s="2971" t="s">
        <v>1327</v>
      </c>
      <c r="S4" s="2971" t="s">
        <v>1327</v>
      </c>
      <c r="T4" s="2971" t="s">
        <v>1327</v>
      </c>
      <c r="U4" s="2971" t="s">
        <v>1327</v>
      </c>
      <c r="V4" s="2971" t="s">
        <v>1327</v>
      </c>
      <c r="W4" s="2971" t="s">
        <v>3251</v>
      </c>
      <c r="X4" s="2971" t="s">
        <v>3282</v>
      </c>
      <c r="Y4" s="2971" t="s">
        <v>3283</v>
      </c>
      <c r="Z4" s="2971" t="s">
        <v>3284</v>
      </c>
      <c r="AA4" s="2971" t="s">
        <v>3284</v>
      </c>
      <c r="AB4" s="2971" t="s">
        <v>3285</v>
      </c>
      <c r="AC4" s="2971" t="s">
        <v>3256</v>
      </c>
      <c r="AD4" s="2971" t="s">
        <v>3286</v>
      </c>
      <c r="AE4" s="2971">
        <v>600</v>
      </c>
      <c r="AF4" s="2971">
        <v>3000</v>
      </c>
      <c r="AG4" s="2971">
        <v>4410</v>
      </c>
      <c r="AH4" s="2971">
        <v>85.77</v>
      </c>
      <c r="AI4" s="2971">
        <v>126.09</v>
      </c>
      <c r="AJ4" s="2971">
        <v>804.13</v>
      </c>
      <c r="AK4" s="2971">
        <v>1182.07</v>
      </c>
      <c r="AL4" s="2971" t="s">
        <v>1327</v>
      </c>
      <c r="AM4" s="2971" t="s">
        <v>1327</v>
      </c>
      <c r="AN4" s="2971">
        <v>47</v>
      </c>
      <c r="AO4" s="2971" t="s">
        <v>3244</v>
      </c>
      <c r="AP4" s="2971" t="s">
        <v>1327</v>
      </c>
      <c r="AQ4" s="2971" t="s">
        <v>1327</v>
      </c>
      <c r="AR4" s="2971" t="s">
        <v>1327</v>
      </c>
      <c r="AS4" s="2971" t="s">
        <v>3287</v>
      </c>
    </row>
    <row r="5" spans="1:45" s="1634" customFormat="1">
      <c r="A5" s="1634" t="s">
        <v>3186</v>
      </c>
      <c r="B5" s="1634" t="s">
        <v>3187</v>
      </c>
      <c r="C5" s="1634" t="s">
        <v>3188</v>
      </c>
      <c r="D5" s="1634" t="s">
        <v>3189</v>
      </c>
      <c r="E5" s="1634" t="s">
        <v>3190</v>
      </c>
      <c r="F5" s="1634" t="s">
        <v>3191</v>
      </c>
      <c r="G5" s="1634" t="s">
        <v>3192</v>
      </c>
      <c r="H5" s="1634" t="s">
        <v>3193</v>
      </c>
      <c r="I5" s="1634" t="s">
        <v>3194</v>
      </c>
      <c r="J5" s="1634" t="s">
        <v>3195</v>
      </c>
      <c r="K5" s="1634" t="s">
        <v>3196</v>
      </c>
      <c r="L5" s="1634" t="s">
        <v>3197</v>
      </c>
      <c r="M5" s="1634" t="s">
        <v>3198</v>
      </c>
      <c r="N5" s="1634" t="s">
        <v>3199</v>
      </c>
      <c r="O5" s="1634" t="s">
        <v>3200</v>
      </c>
      <c r="P5" s="1634" t="s">
        <v>3201</v>
      </c>
      <c r="Q5" s="1634" t="s">
        <v>3202</v>
      </c>
      <c r="R5" s="1634" t="s">
        <v>3203</v>
      </c>
      <c r="S5" s="1634" t="s">
        <v>3204</v>
      </c>
      <c r="T5" s="1634" t="s">
        <v>3205</v>
      </c>
      <c r="U5" s="1634" t="s">
        <v>3206</v>
      </c>
      <c r="V5" s="1634" t="s">
        <v>3207</v>
      </c>
      <c r="W5" s="1634" t="s">
        <v>3208</v>
      </c>
      <c r="X5" s="1634" t="s">
        <v>3209</v>
      </c>
      <c r="Y5" s="1634" t="s">
        <v>3210</v>
      </c>
      <c r="Z5" s="1634" t="s">
        <v>3211</v>
      </c>
      <c r="AA5" s="1634" t="s">
        <v>3212</v>
      </c>
      <c r="AB5" s="1634" t="s">
        <v>3213</v>
      </c>
      <c r="AC5" s="1634" t="s">
        <v>3214</v>
      </c>
      <c r="AD5" s="1634" t="s">
        <v>3215</v>
      </c>
      <c r="AE5" s="1634" t="s">
        <v>3216</v>
      </c>
      <c r="AF5" s="1634" t="s">
        <v>3217</v>
      </c>
      <c r="AG5" s="1634" t="s">
        <v>3218</v>
      </c>
      <c r="AH5" s="1634" t="s">
        <v>3219</v>
      </c>
      <c r="AI5" s="1634" t="s">
        <v>3220</v>
      </c>
      <c r="AJ5" s="1634" t="s">
        <v>3221</v>
      </c>
      <c r="AK5" s="1634" t="s">
        <v>3222</v>
      </c>
      <c r="AL5" s="1634" t="s">
        <v>3223</v>
      </c>
      <c r="AM5" s="1634" t="s">
        <v>3224</v>
      </c>
      <c r="AN5" s="1634" t="s">
        <v>3225</v>
      </c>
      <c r="AO5" s="1634" t="s">
        <v>3226</v>
      </c>
      <c r="AP5" s="1634" t="s">
        <v>3227</v>
      </c>
      <c r="AQ5" s="1634" t="s">
        <v>3228</v>
      </c>
      <c r="AR5" s="1634" t="s">
        <v>3229</v>
      </c>
      <c r="AS5" s="1634" t="s">
        <v>3230</v>
      </c>
    </row>
    <row r="6" spans="1:45" s="1634" customFormat="1">
      <c r="A6" s="1634" t="s">
        <v>3231</v>
      </c>
      <c r="B6" s="1634" t="s">
        <v>3232</v>
      </c>
      <c r="C6" s="1634" t="s">
        <v>3233</v>
      </c>
      <c r="D6" s="1634" t="s">
        <v>3234</v>
      </c>
      <c r="E6" s="1634" t="s">
        <v>1327</v>
      </c>
      <c r="F6" s="1634" t="s">
        <v>3231</v>
      </c>
      <c r="G6" s="1634" t="s">
        <v>3235</v>
      </c>
      <c r="H6" s="1634" t="s">
        <v>3236</v>
      </c>
      <c r="I6" s="1634" t="s">
        <v>3237</v>
      </c>
      <c r="J6" s="1634">
        <v>35823</v>
      </c>
      <c r="K6" s="1634">
        <v>28658.400000000001</v>
      </c>
      <c r="L6" s="1634" t="s">
        <v>3238</v>
      </c>
      <c r="M6" s="1634" t="s">
        <v>1327</v>
      </c>
      <c r="N6" s="1634" t="s">
        <v>1327</v>
      </c>
      <c r="O6" s="1634" t="s">
        <v>1327</v>
      </c>
      <c r="P6" s="1634" t="s">
        <v>1327</v>
      </c>
      <c r="Q6" s="1634" t="s">
        <v>1327</v>
      </c>
      <c r="R6" s="1634" t="s">
        <v>1327</v>
      </c>
      <c r="S6" s="1634" t="s">
        <v>1327</v>
      </c>
      <c r="T6" s="1634" t="s">
        <v>1327</v>
      </c>
      <c r="U6" s="1634" t="s">
        <v>1327</v>
      </c>
      <c r="V6" s="1634" t="s">
        <v>1327</v>
      </c>
      <c r="W6" s="1634" t="s">
        <v>1327</v>
      </c>
      <c r="X6" s="1634" t="s">
        <v>3239</v>
      </c>
      <c r="Y6" s="1634" t="s">
        <v>3239</v>
      </c>
      <c r="Z6" s="1634" t="s">
        <v>3240</v>
      </c>
      <c r="AA6" s="1634" t="s">
        <v>3241</v>
      </c>
      <c r="AB6" s="1634" t="s">
        <v>3242</v>
      </c>
      <c r="AC6" s="1634" t="s">
        <v>3243</v>
      </c>
      <c r="AD6" s="1634" t="s">
        <v>1327</v>
      </c>
      <c r="AE6" s="1634">
        <v>180</v>
      </c>
      <c r="AF6" s="1634">
        <v>899.74</v>
      </c>
      <c r="AG6" s="1634" t="s">
        <v>1327</v>
      </c>
      <c r="AH6" s="1634">
        <v>16.739999999999998</v>
      </c>
      <c r="AI6" s="1634" t="s">
        <v>1327</v>
      </c>
      <c r="AJ6" s="1634">
        <v>313.95</v>
      </c>
      <c r="AK6" s="1634" t="s">
        <v>1327</v>
      </c>
      <c r="AL6" s="1634" t="s">
        <v>1327</v>
      </c>
      <c r="AM6" s="1634" t="s">
        <v>1327</v>
      </c>
      <c r="AN6" s="1634" t="s">
        <v>1327</v>
      </c>
      <c r="AO6" s="1634" t="s">
        <v>3244</v>
      </c>
      <c r="AP6" s="1634" t="s">
        <v>1327</v>
      </c>
      <c r="AQ6" s="1634" t="s">
        <v>1327</v>
      </c>
      <c r="AR6" s="1634" t="s">
        <v>1327</v>
      </c>
      <c r="AS6" s="1634" t="s">
        <v>3245</v>
      </c>
    </row>
    <row r="7" spans="1:45" s="1634" customFormat="1">
      <c r="A7" s="1634" t="s">
        <v>3246</v>
      </c>
      <c r="B7" s="1634" t="s">
        <v>3232</v>
      </c>
      <c r="C7" s="1634" t="s">
        <v>3233</v>
      </c>
      <c r="D7" s="1634" t="s">
        <v>3247</v>
      </c>
      <c r="E7" s="1634" t="s">
        <v>1327</v>
      </c>
      <c r="F7" s="1634" t="s">
        <v>3246</v>
      </c>
      <c r="G7" s="1634" t="s">
        <v>3235</v>
      </c>
      <c r="H7" s="1634" t="s">
        <v>3248</v>
      </c>
      <c r="I7" s="1634" t="s">
        <v>3237</v>
      </c>
      <c r="J7" s="1634">
        <v>66721.41</v>
      </c>
      <c r="K7" s="1634">
        <v>133442.82</v>
      </c>
      <c r="L7" s="1634" t="s">
        <v>3249</v>
      </c>
      <c r="M7" s="1634" t="s">
        <v>1327</v>
      </c>
      <c r="N7" s="1634" t="s">
        <v>3250</v>
      </c>
      <c r="O7" s="1634" t="s">
        <v>1327</v>
      </c>
      <c r="P7" s="1634" t="s">
        <v>1327</v>
      </c>
      <c r="Q7" s="1634" t="s">
        <v>1327</v>
      </c>
      <c r="R7" s="1634" t="s">
        <v>1327</v>
      </c>
      <c r="S7" s="1634" t="s">
        <v>1327</v>
      </c>
      <c r="T7" s="1634" t="s">
        <v>1327</v>
      </c>
      <c r="U7" s="1634" t="s">
        <v>1327</v>
      </c>
      <c r="V7" s="1634" t="s">
        <v>1327</v>
      </c>
      <c r="W7" s="1634" t="s">
        <v>3251</v>
      </c>
      <c r="X7" s="1634" t="s">
        <v>3252</v>
      </c>
      <c r="Y7" s="1634" t="s">
        <v>3253</v>
      </c>
      <c r="Z7" s="1634" t="s">
        <v>3254</v>
      </c>
      <c r="AA7" s="1634" t="s">
        <v>3254</v>
      </c>
      <c r="AB7" s="1634" t="s">
        <v>3255</v>
      </c>
      <c r="AC7" s="1634" t="s">
        <v>3256</v>
      </c>
      <c r="AD7" s="1634" t="s">
        <v>3257</v>
      </c>
      <c r="AE7" s="1634">
        <v>3443</v>
      </c>
      <c r="AF7" s="1634" t="s">
        <v>1327</v>
      </c>
      <c r="AG7" s="1634">
        <v>19620</v>
      </c>
      <c r="AH7" s="1634" t="s">
        <v>1327</v>
      </c>
      <c r="AI7" s="1634">
        <v>196.04</v>
      </c>
      <c r="AJ7" s="1634" t="s">
        <v>1327</v>
      </c>
      <c r="AK7" s="1634">
        <v>1470.28</v>
      </c>
      <c r="AL7" s="1634" t="s">
        <v>1327</v>
      </c>
      <c r="AM7" s="1634" t="s">
        <v>1327</v>
      </c>
      <c r="AN7" s="1634" t="s">
        <v>1327</v>
      </c>
      <c r="AO7" s="1634" t="s">
        <v>3244</v>
      </c>
      <c r="AP7" s="1634" t="s">
        <v>1327</v>
      </c>
      <c r="AQ7" s="1634" t="s">
        <v>1327</v>
      </c>
      <c r="AR7" s="1634" t="s">
        <v>1327</v>
      </c>
      <c r="AS7" s="1634" t="s">
        <v>3245</v>
      </c>
    </row>
    <row r="8" spans="1:45" s="2971" customFormat="1">
      <c r="A8" s="2971" t="s">
        <v>3258</v>
      </c>
      <c r="B8" s="2971" t="s">
        <v>3232</v>
      </c>
      <c r="C8" s="2971" t="s">
        <v>3233</v>
      </c>
      <c r="D8" s="2971" t="s">
        <v>3247</v>
      </c>
      <c r="E8" s="2971" t="s">
        <v>1327</v>
      </c>
      <c r="F8" s="2971" t="s">
        <v>3258</v>
      </c>
      <c r="G8" s="2971" t="s">
        <v>3235</v>
      </c>
      <c r="H8" s="2971" t="s">
        <v>3259</v>
      </c>
      <c r="I8" s="2971" t="s">
        <v>3237</v>
      </c>
      <c r="J8" s="2971">
        <v>59993.34</v>
      </c>
      <c r="K8" s="2971">
        <v>179980.02</v>
      </c>
      <c r="L8" s="2971" t="s">
        <v>3260</v>
      </c>
      <c r="M8" s="2971" t="s">
        <v>1327</v>
      </c>
      <c r="N8" s="2971" t="s">
        <v>3250</v>
      </c>
      <c r="O8" s="2971" t="s">
        <v>1327</v>
      </c>
      <c r="P8" s="2971" t="s">
        <v>1327</v>
      </c>
      <c r="Q8" s="2971" t="s">
        <v>1327</v>
      </c>
      <c r="R8" s="2971" t="s">
        <v>1327</v>
      </c>
      <c r="S8" s="2971" t="s">
        <v>1327</v>
      </c>
      <c r="T8" s="2971" t="s">
        <v>1327</v>
      </c>
      <c r="U8" s="2971" t="s">
        <v>1327</v>
      </c>
      <c r="V8" s="2971" t="s">
        <v>1327</v>
      </c>
      <c r="W8" s="2971" t="s">
        <v>3251</v>
      </c>
      <c r="X8" s="2971" t="s">
        <v>3252</v>
      </c>
      <c r="Y8" s="2971" t="s">
        <v>3253</v>
      </c>
      <c r="Z8" s="2971" t="s">
        <v>3254</v>
      </c>
      <c r="AA8" s="2971" t="s">
        <v>3254</v>
      </c>
      <c r="AB8" s="2971" t="s">
        <v>3255</v>
      </c>
      <c r="AC8" s="2971" t="s">
        <v>3256</v>
      </c>
      <c r="AD8" s="2971" t="s">
        <v>3257</v>
      </c>
      <c r="AE8" s="2971">
        <v>2880</v>
      </c>
      <c r="AF8" s="2971" t="s">
        <v>1327</v>
      </c>
      <c r="AG8" s="2971">
        <v>17640</v>
      </c>
      <c r="AH8" s="2971" t="s">
        <v>1327</v>
      </c>
      <c r="AI8" s="2971">
        <v>196.02</v>
      </c>
      <c r="AJ8" s="2971" t="s">
        <v>1327</v>
      </c>
      <c r="AK8" s="2971">
        <v>980.11</v>
      </c>
      <c r="AL8" s="2971" t="s">
        <v>1327</v>
      </c>
      <c r="AM8" s="2971" t="s">
        <v>1327</v>
      </c>
      <c r="AN8" s="2971" t="s">
        <v>1327</v>
      </c>
      <c r="AO8" s="2971" t="s">
        <v>3244</v>
      </c>
      <c r="AP8" s="2971" t="s">
        <v>1327</v>
      </c>
      <c r="AQ8" s="2971" t="s">
        <v>1327</v>
      </c>
      <c r="AR8" s="2971" t="s">
        <v>1327</v>
      </c>
      <c r="AS8" s="2971" t="s">
        <v>3245</v>
      </c>
    </row>
    <row r="9" spans="1:45" s="2971" customFormat="1">
      <c r="A9" s="2971" t="s">
        <v>3261</v>
      </c>
      <c r="B9" s="2971" t="s">
        <v>3232</v>
      </c>
      <c r="C9" s="2971" t="s">
        <v>3233</v>
      </c>
      <c r="D9" s="2971" t="s">
        <v>3247</v>
      </c>
      <c r="E9" s="2971" t="s">
        <v>1327</v>
      </c>
      <c r="F9" s="2971" t="s">
        <v>3261</v>
      </c>
      <c r="G9" s="2971" t="s">
        <v>3235</v>
      </c>
      <c r="H9" s="2971" t="s">
        <v>3262</v>
      </c>
      <c r="I9" s="2971" t="s">
        <v>3237</v>
      </c>
      <c r="J9" s="2971">
        <v>61399.67</v>
      </c>
      <c r="K9" s="2971">
        <v>122799.34</v>
      </c>
      <c r="L9" s="2971" t="s">
        <v>3249</v>
      </c>
      <c r="M9" s="2971" t="s">
        <v>1327</v>
      </c>
      <c r="N9" s="2971" t="s">
        <v>3250</v>
      </c>
      <c r="O9" s="2971" t="s">
        <v>1327</v>
      </c>
      <c r="P9" s="2971" t="s">
        <v>1327</v>
      </c>
      <c r="Q9" s="2971" t="s">
        <v>1327</v>
      </c>
      <c r="R9" s="2971" t="s">
        <v>1327</v>
      </c>
      <c r="S9" s="2971" t="s">
        <v>1327</v>
      </c>
      <c r="T9" s="2971" t="s">
        <v>1327</v>
      </c>
      <c r="U9" s="2971" t="s">
        <v>1327</v>
      </c>
      <c r="V9" s="2971" t="s">
        <v>1327</v>
      </c>
      <c r="W9" s="2971" t="s">
        <v>3251</v>
      </c>
      <c r="X9" s="2971" t="s">
        <v>3252</v>
      </c>
      <c r="Y9" s="2971" t="s">
        <v>3253</v>
      </c>
      <c r="Z9" s="2971" t="s">
        <v>3254</v>
      </c>
      <c r="AA9" s="2971" t="s">
        <v>3254</v>
      </c>
      <c r="AB9" s="2971" t="s">
        <v>3255</v>
      </c>
      <c r="AC9" s="2971" t="s">
        <v>3256</v>
      </c>
      <c r="AD9" s="2971" t="s">
        <v>3257</v>
      </c>
      <c r="AE9" s="2971">
        <v>3132</v>
      </c>
      <c r="AF9" s="2971" t="s">
        <v>1327</v>
      </c>
      <c r="AG9" s="2971">
        <v>18880</v>
      </c>
      <c r="AH9" s="2971" t="s">
        <v>1327</v>
      </c>
      <c r="AI9" s="2971">
        <v>205</v>
      </c>
      <c r="AJ9" s="2971" t="s">
        <v>1327</v>
      </c>
      <c r="AK9" s="2971">
        <v>1537.47</v>
      </c>
      <c r="AL9" s="2971" t="s">
        <v>1327</v>
      </c>
      <c r="AM9" s="2971" t="s">
        <v>1327</v>
      </c>
      <c r="AN9" s="2971" t="s">
        <v>1327</v>
      </c>
      <c r="AO9" s="2971" t="s">
        <v>3244</v>
      </c>
      <c r="AP9" s="2971" t="s">
        <v>1327</v>
      </c>
      <c r="AQ9" s="2971" t="s">
        <v>1327</v>
      </c>
      <c r="AR9" s="2971" t="s">
        <v>1327</v>
      </c>
      <c r="AS9" s="2971" t="s">
        <v>3245</v>
      </c>
    </row>
    <row r="10" spans="1:45" s="1634" customFormat="1">
      <c r="A10" s="1634" t="s">
        <v>3263</v>
      </c>
      <c r="B10" s="1634" t="s">
        <v>3232</v>
      </c>
      <c r="C10" s="1634" t="s">
        <v>3233</v>
      </c>
      <c r="D10" s="1634" t="s">
        <v>3247</v>
      </c>
      <c r="E10" s="1634" t="s">
        <v>1327</v>
      </c>
      <c r="F10" s="1634" t="s">
        <v>3263</v>
      </c>
      <c r="G10" s="1634" t="s">
        <v>3235</v>
      </c>
      <c r="H10" s="1634" t="s">
        <v>3264</v>
      </c>
      <c r="I10" s="1634" t="s">
        <v>3237</v>
      </c>
      <c r="J10" s="1634">
        <v>5386</v>
      </c>
      <c r="K10" s="1634">
        <v>5386</v>
      </c>
      <c r="L10" s="1634" t="s">
        <v>3265</v>
      </c>
      <c r="M10" s="1634" t="s">
        <v>1327</v>
      </c>
      <c r="N10" s="1634" t="s">
        <v>3266</v>
      </c>
      <c r="O10" s="1634" t="s">
        <v>1327</v>
      </c>
      <c r="P10" s="1634" t="s">
        <v>1327</v>
      </c>
      <c r="Q10" s="1634" t="s">
        <v>1327</v>
      </c>
      <c r="R10" s="1634" t="s">
        <v>1327</v>
      </c>
      <c r="S10" s="1634" t="s">
        <v>1327</v>
      </c>
      <c r="T10" s="1634" t="s">
        <v>1327</v>
      </c>
      <c r="U10" s="1634" t="s">
        <v>1327</v>
      </c>
      <c r="V10" s="1634" t="s">
        <v>1327</v>
      </c>
      <c r="W10" s="1634" t="s">
        <v>3251</v>
      </c>
      <c r="X10" s="1634" t="s">
        <v>3267</v>
      </c>
      <c r="Y10" s="1634" t="s">
        <v>3268</v>
      </c>
      <c r="Z10" s="1634" t="s">
        <v>3269</v>
      </c>
      <c r="AA10" s="1634" t="s">
        <v>3269</v>
      </c>
      <c r="AB10" s="1634" t="s">
        <v>3270</v>
      </c>
      <c r="AC10" s="1634" t="s">
        <v>3256</v>
      </c>
      <c r="AD10" s="1634" t="s">
        <v>3271</v>
      </c>
      <c r="AE10" s="1634">
        <v>28</v>
      </c>
      <c r="AF10" s="1634" t="s">
        <v>1327</v>
      </c>
      <c r="AG10" s="1634">
        <v>140</v>
      </c>
      <c r="AH10" s="1634" t="s">
        <v>1327</v>
      </c>
      <c r="AI10" s="1634">
        <v>17.329999999999998</v>
      </c>
      <c r="AJ10" s="1634" t="s">
        <v>1327</v>
      </c>
      <c r="AK10" s="1634">
        <v>259.93</v>
      </c>
      <c r="AL10" s="1634" t="s">
        <v>1327</v>
      </c>
      <c r="AM10" s="1634" t="s">
        <v>1327</v>
      </c>
      <c r="AN10" s="1634" t="s">
        <v>1327</v>
      </c>
      <c r="AO10" s="1634" t="s">
        <v>3244</v>
      </c>
      <c r="AP10" s="1634" t="s">
        <v>1327</v>
      </c>
      <c r="AQ10" s="1634" t="s">
        <v>1327</v>
      </c>
      <c r="AR10" s="1634" t="s">
        <v>1327</v>
      </c>
      <c r="AS10" s="1634" t="s">
        <v>3245</v>
      </c>
    </row>
    <row r="11" spans="1:45" s="1634" customFormat="1">
      <c r="A11" s="1634" t="s">
        <v>3263</v>
      </c>
      <c r="B11" s="1634" t="s">
        <v>3232</v>
      </c>
      <c r="C11" s="1634" t="s">
        <v>3233</v>
      </c>
      <c r="D11" s="1634" t="s">
        <v>3247</v>
      </c>
      <c r="E11" s="1634" t="s">
        <v>1327</v>
      </c>
      <c r="F11" s="1634" t="s">
        <v>3263</v>
      </c>
      <c r="G11" s="1634" t="s">
        <v>3235</v>
      </c>
      <c r="H11" s="1634" t="s">
        <v>3272</v>
      </c>
      <c r="I11" s="1634" t="s">
        <v>3237</v>
      </c>
      <c r="J11" s="1634">
        <v>3334</v>
      </c>
      <c r="K11" s="1634">
        <v>3334</v>
      </c>
      <c r="L11" s="1634" t="s">
        <v>3265</v>
      </c>
      <c r="M11" s="1634" t="s">
        <v>1327</v>
      </c>
      <c r="N11" s="1634" t="s">
        <v>3266</v>
      </c>
      <c r="O11" s="1634" t="s">
        <v>1327</v>
      </c>
      <c r="P11" s="1634" t="s">
        <v>1327</v>
      </c>
      <c r="Q11" s="1634" t="s">
        <v>1327</v>
      </c>
      <c r="R11" s="1634" t="s">
        <v>1327</v>
      </c>
      <c r="S11" s="1634" t="s">
        <v>1327</v>
      </c>
      <c r="T11" s="1634" t="s">
        <v>1327</v>
      </c>
      <c r="U11" s="1634" t="s">
        <v>1327</v>
      </c>
      <c r="V11" s="1634" t="s">
        <v>1327</v>
      </c>
      <c r="W11" s="1634" t="s">
        <v>3251</v>
      </c>
      <c r="X11" s="1634" t="s">
        <v>3267</v>
      </c>
      <c r="Y11" s="1634" t="s">
        <v>3268</v>
      </c>
      <c r="Z11" s="1634" t="s">
        <v>3269</v>
      </c>
      <c r="AA11" s="1634" t="s">
        <v>3269</v>
      </c>
      <c r="AB11" s="1634" t="s">
        <v>3270</v>
      </c>
      <c r="AC11" s="1634" t="s">
        <v>3256</v>
      </c>
      <c r="AD11" s="1634" t="s">
        <v>3271</v>
      </c>
      <c r="AE11" s="1634">
        <v>17</v>
      </c>
      <c r="AF11" s="1634" t="s">
        <v>1327</v>
      </c>
      <c r="AG11" s="1634">
        <v>88</v>
      </c>
      <c r="AH11" s="1634" t="s">
        <v>1327</v>
      </c>
      <c r="AI11" s="1634">
        <v>17.600000000000001</v>
      </c>
      <c r="AJ11" s="1634" t="s">
        <v>1327</v>
      </c>
      <c r="AK11" s="1634">
        <v>263.94</v>
      </c>
      <c r="AL11" s="1634" t="s">
        <v>1327</v>
      </c>
      <c r="AM11" s="1634" t="s">
        <v>1327</v>
      </c>
      <c r="AN11" s="1634" t="s">
        <v>1327</v>
      </c>
      <c r="AO11" s="1634" t="s">
        <v>3244</v>
      </c>
      <c r="AP11" s="1634" t="s">
        <v>1327</v>
      </c>
      <c r="AQ11" s="1634" t="s">
        <v>1327</v>
      </c>
      <c r="AR11" s="1634" t="s">
        <v>1327</v>
      </c>
      <c r="AS11" s="1634" t="s">
        <v>3245</v>
      </c>
    </row>
    <row r="12" spans="1:45" s="1634" customFormat="1">
      <c r="A12" s="1634" t="s">
        <v>3273</v>
      </c>
      <c r="B12" s="1634" t="s">
        <v>3232</v>
      </c>
      <c r="C12" s="1634" t="s">
        <v>3233</v>
      </c>
      <c r="D12" s="1634" t="s">
        <v>3247</v>
      </c>
      <c r="E12" s="1634" t="s">
        <v>1327</v>
      </c>
      <c r="F12" s="1634" t="s">
        <v>3273</v>
      </c>
      <c r="G12" s="1634" t="s">
        <v>3235</v>
      </c>
      <c r="H12" s="1634" t="s">
        <v>3274</v>
      </c>
      <c r="I12" s="1634" t="s">
        <v>3237</v>
      </c>
      <c r="J12" s="1634">
        <v>9266.2000000000007</v>
      </c>
      <c r="K12" s="1634">
        <v>11119.44</v>
      </c>
      <c r="L12" s="1634" t="s">
        <v>3275</v>
      </c>
      <c r="M12" s="1634" t="s">
        <v>1327</v>
      </c>
      <c r="N12" s="1634" t="s">
        <v>3276</v>
      </c>
      <c r="O12" s="1634" t="s">
        <v>1327</v>
      </c>
      <c r="P12" s="1634" t="s">
        <v>1327</v>
      </c>
      <c r="Q12" s="1634" t="s">
        <v>1327</v>
      </c>
      <c r="R12" s="1634" t="s">
        <v>1327</v>
      </c>
      <c r="S12" s="1634" t="s">
        <v>1327</v>
      </c>
      <c r="T12" s="1634" t="s">
        <v>1327</v>
      </c>
      <c r="U12" s="1634" t="s">
        <v>1327</v>
      </c>
      <c r="V12" s="1634" t="s">
        <v>1327</v>
      </c>
      <c r="W12" s="1634" t="s">
        <v>3251</v>
      </c>
      <c r="X12" s="1634" t="s">
        <v>3267</v>
      </c>
      <c r="Y12" s="1634" t="s">
        <v>3268</v>
      </c>
      <c r="Z12" s="1634" t="s">
        <v>3269</v>
      </c>
      <c r="AA12" s="1634" t="s">
        <v>3269</v>
      </c>
      <c r="AB12" s="1634" t="s">
        <v>3270</v>
      </c>
      <c r="AC12" s="1634" t="s">
        <v>3256</v>
      </c>
      <c r="AD12" s="1634" t="s">
        <v>3277</v>
      </c>
      <c r="AE12" s="1634">
        <v>100</v>
      </c>
      <c r="AF12" s="1634" t="s">
        <v>1327</v>
      </c>
      <c r="AG12" s="1634">
        <v>260</v>
      </c>
      <c r="AH12" s="1634" t="s">
        <v>1327</v>
      </c>
      <c r="AI12" s="1634">
        <v>18.71</v>
      </c>
      <c r="AJ12" s="1634" t="s">
        <v>1327</v>
      </c>
      <c r="AK12" s="1634">
        <v>233.81</v>
      </c>
      <c r="AL12" s="1634" t="s">
        <v>1327</v>
      </c>
      <c r="AM12" s="1634" t="s">
        <v>1327</v>
      </c>
      <c r="AN12" s="1634" t="s">
        <v>1327</v>
      </c>
      <c r="AO12" s="1634" t="s">
        <v>3244</v>
      </c>
      <c r="AP12" s="1634" t="s">
        <v>1327</v>
      </c>
      <c r="AQ12" s="1634" t="s">
        <v>1327</v>
      </c>
      <c r="AR12" s="1634" t="s">
        <v>1327</v>
      </c>
      <c r="AS12" s="1634" t="s">
        <v>3245</v>
      </c>
    </row>
    <row r="13" spans="1:45" s="2971" customFormat="1">
      <c r="A13" s="2971" t="s">
        <v>3278</v>
      </c>
      <c r="B13" s="2971" t="s">
        <v>3232</v>
      </c>
      <c r="C13" s="2971" t="s">
        <v>3233</v>
      </c>
      <c r="D13" s="2971" t="s">
        <v>3279</v>
      </c>
      <c r="E13" s="2971" t="s">
        <v>1327</v>
      </c>
      <c r="F13" s="2971" t="s">
        <v>3278</v>
      </c>
      <c r="G13" s="2971" t="s">
        <v>3235</v>
      </c>
      <c r="H13" s="2971">
        <v>1818</v>
      </c>
      <c r="I13" s="2971" t="s">
        <v>3237</v>
      </c>
      <c r="J13" s="2971">
        <v>23317</v>
      </c>
      <c r="K13" s="2971">
        <v>37307.199999999997</v>
      </c>
      <c r="L13" s="2971" t="s">
        <v>3280</v>
      </c>
      <c r="M13" s="2971" t="s">
        <v>1327</v>
      </c>
      <c r="N13" s="2971" t="s">
        <v>3281</v>
      </c>
      <c r="O13" s="2971" t="s">
        <v>1327</v>
      </c>
      <c r="P13" s="2971" t="s">
        <v>1327</v>
      </c>
      <c r="Q13" s="2971" t="s">
        <v>1327</v>
      </c>
      <c r="R13" s="2971" t="s">
        <v>1327</v>
      </c>
      <c r="S13" s="2971" t="s">
        <v>1327</v>
      </c>
      <c r="T13" s="2971" t="s">
        <v>1327</v>
      </c>
      <c r="U13" s="2971" t="s">
        <v>1327</v>
      </c>
      <c r="V13" s="2971" t="s">
        <v>1327</v>
      </c>
      <c r="W13" s="2971" t="s">
        <v>3251</v>
      </c>
      <c r="X13" s="2971" t="s">
        <v>3282</v>
      </c>
      <c r="Y13" s="2971" t="s">
        <v>3283</v>
      </c>
      <c r="Z13" s="2971" t="s">
        <v>3284</v>
      </c>
      <c r="AA13" s="2971" t="s">
        <v>3284</v>
      </c>
      <c r="AB13" s="2971" t="s">
        <v>3285</v>
      </c>
      <c r="AC13" s="2971" t="s">
        <v>3256</v>
      </c>
      <c r="AD13" s="2971" t="s">
        <v>3286</v>
      </c>
      <c r="AE13" s="2971">
        <v>600</v>
      </c>
      <c r="AF13" s="2971">
        <v>3000</v>
      </c>
      <c r="AG13" s="2971">
        <v>4410</v>
      </c>
      <c r="AH13" s="2971">
        <v>85.77</v>
      </c>
      <c r="AI13" s="2971">
        <v>126.09</v>
      </c>
      <c r="AJ13" s="2971">
        <v>804.13</v>
      </c>
      <c r="AK13" s="2971">
        <v>1182.07</v>
      </c>
      <c r="AL13" s="2971" t="s">
        <v>1327</v>
      </c>
      <c r="AM13" s="2971" t="s">
        <v>1327</v>
      </c>
      <c r="AN13" s="2971">
        <v>47</v>
      </c>
      <c r="AO13" s="2971" t="s">
        <v>3244</v>
      </c>
      <c r="AP13" s="2971" t="s">
        <v>1327</v>
      </c>
      <c r="AQ13" s="2971" t="s">
        <v>1327</v>
      </c>
      <c r="AR13" s="2971" t="s">
        <v>1327</v>
      </c>
      <c r="AS13" s="2971" t="s">
        <v>3287</v>
      </c>
    </row>
  </sheetData>
  <phoneticPr fontId="14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M33"/>
  <sheetViews>
    <sheetView workbookViewId="0">
      <selection activeCell="L21" sqref="L21"/>
    </sheetView>
  </sheetViews>
  <sheetFormatPr defaultRowHeight="13.5"/>
  <cols>
    <col min="3" max="3" width="13.25" customWidth="1"/>
    <col min="4" max="4" width="16.875" customWidth="1"/>
    <col min="8" max="8" width="10.375" customWidth="1"/>
  </cols>
  <sheetData>
    <row r="1" spans="2:13">
      <c r="B1" s="2946" t="s">
        <v>3063</v>
      </c>
      <c r="E1" s="2946" t="s">
        <v>3072</v>
      </c>
      <c r="F1" s="2946" t="s">
        <v>3070</v>
      </c>
      <c r="G1" s="2946" t="s">
        <v>3071</v>
      </c>
    </row>
    <row r="2" spans="2:13">
      <c r="B2" s="2946" t="s">
        <v>3064</v>
      </c>
      <c r="C2" s="2946" t="s">
        <v>3065</v>
      </c>
      <c r="D2" s="2946" t="s">
        <v>3066</v>
      </c>
      <c r="E2" s="2946">
        <f>F2</f>
        <v>1788.48</v>
      </c>
      <c r="F2">
        <v>1788.48</v>
      </c>
      <c r="H2">
        <f>ROUND(F2/2,2)</f>
        <v>894.24</v>
      </c>
      <c r="I2" s="2946" t="s">
        <v>3100</v>
      </c>
      <c r="K2" s="2948">
        <v>0.55000000000000004</v>
      </c>
      <c r="L2">
        <f>K2*E2</f>
        <v>983.6640000000001</v>
      </c>
      <c r="M2" s="3309">
        <v>0.65</v>
      </c>
    </row>
    <row r="3" spans="2:13">
      <c r="B3" s="2946" t="s">
        <v>3067</v>
      </c>
      <c r="C3" s="2946" t="s">
        <v>3068</v>
      </c>
      <c r="D3" s="2946" t="s">
        <v>3069</v>
      </c>
      <c r="E3" s="2946">
        <f>F3</f>
        <v>4989.32</v>
      </c>
      <c r="F3">
        <v>4989.32</v>
      </c>
      <c r="H3">
        <f>ROUND(F3/3,2)</f>
        <v>1663.11</v>
      </c>
      <c r="I3" s="2946" t="s">
        <v>3101</v>
      </c>
      <c r="K3" s="2948">
        <v>0.5</v>
      </c>
      <c r="L3">
        <f t="shared" ref="L3:L19" si="0">K3*E3</f>
        <v>2494.66</v>
      </c>
      <c r="M3" s="3309">
        <v>0.6</v>
      </c>
    </row>
    <row r="4" spans="2:13">
      <c r="B4" s="2946" t="s">
        <v>3073</v>
      </c>
      <c r="C4" s="2946" t="s">
        <v>3074</v>
      </c>
      <c r="D4" s="2946" t="s">
        <v>3075</v>
      </c>
      <c r="E4">
        <f>F4+G4</f>
        <v>19651.82</v>
      </c>
      <c r="F4">
        <f>9533.52+8939.14</f>
        <v>18472.66</v>
      </c>
      <c r="G4">
        <v>1179.1600000000001</v>
      </c>
      <c r="H4">
        <f>ROUND(F4/8,2)</f>
        <v>2309.08</v>
      </c>
      <c r="I4" s="2946" t="s">
        <v>3102</v>
      </c>
      <c r="K4" s="2948">
        <v>0.1</v>
      </c>
      <c r="L4">
        <f t="shared" si="0"/>
        <v>1965.182</v>
      </c>
      <c r="M4" s="3309">
        <v>0.1</v>
      </c>
    </row>
    <row r="5" spans="2:13">
      <c r="B5" s="2946" t="s">
        <v>3076</v>
      </c>
      <c r="C5" s="2946" t="s">
        <v>3082</v>
      </c>
      <c r="D5" s="2946" t="s">
        <v>3066</v>
      </c>
      <c r="E5">
        <f t="shared" ref="E5:E19" si="1">F5</f>
        <v>1406.82</v>
      </c>
      <c r="F5">
        <v>1406.82</v>
      </c>
      <c r="H5">
        <f>ROUND(F5/2,2)</f>
        <v>703.41</v>
      </c>
      <c r="I5" s="2946" t="s">
        <v>3100</v>
      </c>
      <c r="K5" s="2948">
        <v>0.55000000000000004</v>
      </c>
      <c r="L5">
        <f t="shared" si="0"/>
        <v>773.75099999999998</v>
      </c>
      <c r="M5" s="3309">
        <v>0.65</v>
      </c>
    </row>
    <row r="6" spans="2:13">
      <c r="B6" s="2946" t="s">
        <v>3077</v>
      </c>
      <c r="C6" s="2946" t="s">
        <v>3068</v>
      </c>
      <c r="D6" s="2946" t="s">
        <v>3066</v>
      </c>
      <c r="E6">
        <f t="shared" si="1"/>
        <v>1957.06</v>
      </c>
      <c r="F6">
        <v>1957.06</v>
      </c>
      <c r="H6">
        <f>ROUND(F6/2,2)</f>
        <v>978.53</v>
      </c>
      <c r="I6" s="2946" t="s">
        <v>3100</v>
      </c>
      <c r="K6" s="2948">
        <v>0.55000000000000004</v>
      </c>
      <c r="L6">
        <f t="shared" si="0"/>
        <v>1076.383</v>
      </c>
      <c r="M6" s="3309">
        <v>0.65</v>
      </c>
    </row>
    <row r="7" spans="2:13">
      <c r="B7" s="2946" t="s">
        <v>3078</v>
      </c>
      <c r="C7" s="2946" t="s">
        <v>3068</v>
      </c>
      <c r="D7" s="2946" t="s">
        <v>3069</v>
      </c>
      <c r="E7">
        <f t="shared" si="1"/>
        <v>1843.81</v>
      </c>
      <c r="F7">
        <v>1843.81</v>
      </c>
      <c r="H7">
        <f>ROUND(F7/3,2)</f>
        <v>614.6</v>
      </c>
      <c r="I7" s="2946" t="s">
        <v>3100</v>
      </c>
      <c r="K7" s="2948">
        <v>0.55000000000000004</v>
      </c>
      <c r="L7">
        <f t="shared" si="0"/>
        <v>1014.0955</v>
      </c>
      <c r="M7" s="3309">
        <v>0.65</v>
      </c>
    </row>
    <row r="8" spans="2:13">
      <c r="B8" s="2946" t="s">
        <v>3079</v>
      </c>
      <c r="C8" s="2946" t="s">
        <v>3068</v>
      </c>
      <c r="D8" s="2946" t="s">
        <v>3069</v>
      </c>
      <c r="E8">
        <f t="shared" si="1"/>
        <v>4067.3</v>
      </c>
      <c r="F8">
        <v>4067.3</v>
      </c>
      <c r="H8">
        <f>ROUND(F8/3,2)</f>
        <v>1355.77</v>
      </c>
      <c r="I8" t="s">
        <v>3103</v>
      </c>
      <c r="K8" s="2948">
        <v>0.5</v>
      </c>
      <c r="L8">
        <f t="shared" si="0"/>
        <v>2033.65</v>
      </c>
      <c r="M8" s="3309">
        <v>0.6</v>
      </c>
    </row>
    <row r="9" spans="2:13">
      <c r="B9" s="2946" t="s">
        <v>3080</v>
      </c>
      <c r="C9" s="2946" t="s">
        <v>3082</v>
      </c>
      <c r="D9" s="2946" t="s">
        <v>3066</v>
      </c>
      <c r="E9">
        <f t="shared" si="1"/>
        <v>1549.74</v>
      </c>
      <c r="F9">
        <v>1549.74</v>
      </c>
      <c r="H9">
        <f>ROUND(F9/2,2)</f>
        <v>774.87</v>
      </c>
      <c r="I9" s="2946" t="s">
        <v>3104</v>
      </c>
      <c r="K9" s="2948">
        <v>0.05</v>
      </c>
      <c r="L9">
        <f t="shared" si="0"/>
        <v>77.487000000000009</v>
      </c>
      <c r="M9" s="3309">
        <v>0.05</v>
      </c>
    </row>
    <row r="10" spans="2:13">
      <c r="B10" s="2946" t="s">
        <v>3081</v>
      </c>
      <c r="C10" s="2946" t="s">
        <v>3068</v>
      </c>
      <c r="D10" s="2946" t="s">
        <v>3066</v>
      </c>
      <c r="E10">
        <f t="shared" si="1"/>
        <v>1944.82</v>
      </c>
      <c r="F10">
        <v>1944.82</v>
      </c>
      <c r="H10">
        <f>ROUND(F10/2,2)</f>
        <v>972.41</v>
      </c>
      <c r="I10" s="2946" t="s">
        <v>3100</v>
      </c>
      <c r="K10" s="2948">
        <v>0.55000000000000004</v>
      </c>
      <c r="L10">
        <f t="shared" si="0"/>
        <v>1069.6510000000001</v>
      </c>
      <c r="M10" s="3309">
        <v>0.65</v>
      </c>
    </row>
    <row r="11" spans="2:13">
      <c r="B11" s="2946" t="s">
        <v>3083</v>
      </c>
      <c r="C11" s="2946" t="s">
        <v>3068</v>
      </c>
      <c r="D11" s="2946" t="s">
        <v>3069</v>
      </c>
      <c r="E11">
        <f t="shared" si="1"/>
        <v>2464.89</v>
      </c>
      <c r="F11">
        <v>2464.89</v>
      </c>
      <c r="H11">
        <f>ROUND(F11/3,2)</f>
        <v>821.63</v>
      </c>
      <c r="I11" s="2946" t="s">
        <v>3111</v>
      </c>
      <c r="K11" s="2948">
        <v>0.05</v>
      </c>
      <c r="L11">
        <f t="shared" si="0"/>
        <v>123.2445</v>
      </c>
      <c r="M11" s="3309">
        <v>0.05</v>
      </c>
    </row>
    <row r="12" spans="2:13">
      <c r="B12" s="2946" t="s">
        <v>3084</v>
      </c>
      <c r="C12" s="2946" t="s">
        <v>3068</v>
      </c>
      <c r="D12" s="2946" t="s">
        <v>3069</v>
      </c>
      <c r="E12">
        <f t="shared" si="1"/>
        <v>7559.95</v>
      </c>
      <c r="F12">
        <v>7559.95</v>
      </c>
      <c r="H12">
        <f>ROUND(F12/3,2)</f>
        <v>2519.98</v>
      </c>
      <c r="I12" s="2946" t="s">
        <v>3105</v>
      </c>
      <c r="K12" s="2948">
        <v>0.2</v>
      </c>
      <c r="L12">
        <f t="shared" si="0"/>
        <v>1511.99</v>
      </c>
      <c r="M12" s="3309">
        <v>0.3</v>
      </c>
    </row>
    <row r="13" spans="2:13">
      <c r="B13" s="2946" t="s">
        <v>3085</v>
      </c>
      <c r="C13" s="2946" t="s">
        <v>3082</v>
      </c>
      <c r="D13" s="2946" t="s">
        <v>3066</v>
      </c>
      <c r="E13">
        <f t="shared" si="1"/>
        <v>3228.75</v>
      </c>
      <c r="F13">
        <v>3228.75</v>
      </c>
      <c r="H13">
        <f>ROUND(F13/2,2)</f>
        <v>1614.38</v>
      </c>
      <c r="I13" s="2946" t="s">
        <v>3106</v>
      </c>
      <c r="K13" s="2948">
        <v>0.5</v>
      </c>
      <c r="L13">
        <f t="shared" si="0"/>
        <v>1614.375</v>
      </c>
      <c r="M13" s="3309">
        <v>0.6</v>
      </c>
    </row>
    <row r="14" spans="2:13">
      <c r="B14" s="2946" t="s">
        <v>3086</v>
      </c>
      <c r="C14" s="2946" t="s">
        <v>3068</v>
      </c>
      <c r="D14" s="2946" t="s">
        <v>3069</v>
      </c>
      <c r="E14">
        <f t="shared" si="1"/>
        <v>8436.64</v>
      </c>
      <c r="F14">
        <v>8436.64</v>
      </c>
      <c r="H14">
        <f>ROUND(F14/3,2)</f>
        <v>2812.21</v>
      </c>
      <c r="I14" s="2946" t="s">
        <v>3107</v>
      </c>
      <c r="K14" s="2948">
        <v>0.1</v>
      </c>
      <c r="L14">
        <f t="shared" si="0"/>
        <v>843.66399999999999</v>
      </c>
      <c r="M14" s="3309">
        <v>0.1</v>
      </c>
    </row>
    <row r="15" spans="2:13">
      <c r="B15" s="2946" t="s">
        <v>3087</v>
      </c>
      <c r="C15" s="2946" t="s">
        <v>3068</v>
      </c>
      <c r="D15" s="2946" t="s">
        <v>3069</v>
      </c>
      <c r="E15">
        <f t="shared" si="1"/>
        <v>4510.3900000000003</v>
      </c>
      <c r="F15">
        <v>4510.3900000000003</v>
      </c>
      <c r="H15">
        <f>ROUND(F15/3,2)</f>
        <v>1503.46</v>
      </c>
      <c r="I15" s="2946" t="s">
        <v>3108</v>
      </c>
      <c r="K15" s="2948">
        <f>20%+2/3*35%</f>
        <v>0.43333333333333335</v>
      </c>
      <c r="L15">
        <f t="shared" si="0"/>
        <v>1954.5023333333336</v>
      </c>
      <c r="M15" s="3309">
        <v>0.55000000000000004</v>
      </c>
    </row>
    <row r="16" spans="2:13">
      <c r="B16" s="2946" t="s">
        <v>3088</v>
      </c>
      <c r="C16" s="2946" t="s">
        <v>3065</v>
      </c>
      <c r="D16" s="2946" t="s">
        <v>3066</v>
      </c>
      <c r="E16">
        <f t="shared" si="1"/>
        <v>2628.13</v>
      </c>
      <c r="F16">
        <v>2628.13</v>
      </c>
      <c r="H16">
        <f>ROUND(F16/2,2)</f>
        <v>1314.07</v>
      </c>
      <c r="I16" s="2946" t="s">
        <v>3100</v>
      </c>
      <c r="K16" s="2948">
        <v>0.55000000000000004</v>
      </c>
      <c r="L16">
        <f t="shared" si="0"/>
        <v>1445.4715000000001</v>
      </c>
      <c r="M16" s="3309">
        <v>0.65</v>
      </c>
    </row>
    <row r="17" spans="2:13">
      <c r="B17" s="2946" t="s">
        <v>3089</v>
      </c>
      <c r="C17" s="2946" t="s">
        <v>3068</v>
      </c>
      <c r="D17" s="2946" t="s">
        <v>3069</v>
      </c>
      <c r="E17">
        <f t="shared" si="1"/>
        <v>6130.65</v>
      </c>
      <c r="F17">
        <v>6130.65</v>
      </c>
      <c r="H17">
        <f>ROUND(F17/3,2)</f>
        <v>2043.55</v>
      </c>
      <c r="I17" s="2949" t="s">
        <v>3110</v>
      </c>
      <c r="K17" s="2948">
        <v>0.55000000000000004</v>
      </c>
      <c r="L17">
        <f t="shared" si="0"/>
        <v>3371.8575000000001</v>
      </c>
      <c r="M17" s="3309">
        <v>0.65</v>
      </c>
    </row>
    <row r="18" spans="2:13">
      <c r="B18" s="2946" t="s">
        <v>3090</v>
      </c>
      <c r="C18" s="2946" t="s">
        <v>3068</v>
      </c>
      <c r="D18" s="2946" t="s">
        <v>3069</v>
      </c>
      <c r="E18">
        <f t="shared" si="1"/>
        <v>1558.04</v>
      </c>
      <c r="F18">
        <v>1558.04</v>
      </c>
      <c r="H18">
        <f>ROUND(F18/3,2)</f>
        <v>519.35</v>
      </c>
      <c r="I18" s="2946" t="s">
        <v>3100</v>
      </c>
      <c r="K18" s="2948">
        <v>0.55000000000000004</v>
      </c>
      <c r="L18">
        <f t="shared" si="0"/>
        <v>856.92200000000003</v>
      </c>
      <c r="M18" s="3309">
        <v>0.65</v>
      </c>
    </row>
    <row r="19" spans="2:13">
      <c r="B19" s="2946" t="s">
        <v>3094</v>
      </c>
      <c r="C19" s="2946" t="s">
        <v>3068</v>
      </c>
      <c r="D19" s="2946" t="s">
        <v>3095</v>
      </c>
      <c r="E19">
        <f t="shared" si="1"/>
        <v>31885.040000000001</v>
      </c>
      <c r="F19">
        <v>31885.040000000001</v>
      </c>
      <c r="H19">
        <f>ROUND(F19/5,2)</f>
        <v>6377.01</v>
      </c>
      <c r="I19" s="2946" t="s">
        <v>3109</v>
      </c>
      <c r="K19" s="2948">
        <f>20%+1/5*35%</f>
        <v>0.27</v>
      </c>
      <c r="L19">
        <f t="shared" si="0"/>
        <v>8608.9608000000007</v>
      </c>
      <c r="M19" s="3309">
        <v>0.35</v>
      </c>
    </row>
    <row r="20" spans="2:13">
      <c r="B20" s="2946" t="s">
        <v>3096</v>
      </c>
      <c r="C20" s="2946" t="s">
        <v>3096</v>
      </c>
      <c r="D20" s="2946" t="s">
        <v>3097</v>
      </c>
      <c r="E20">
        <f>G20</f>
        <v>2259.71</v>
      </c>
      <c r="G20">
        <v>2259.71</v>
      </c>
      <c r="K20" s="2948">
        <v>0.6</v>
      </c>
      <c r="M20" s="3309">
        <v>0.7</v>
      </c>
    </row>
    <row r="21" spans="2:13">
      <c r="E21">
        <f>SUM(E2:E20)</f>
        <v>109861.36</v>
      </c>
      <c r="F21">
        <f>SUM(F2:F20)</f>
        <v>106422.48999999999</v>
      </c>
      <c r="G21">
        <f>SUM(G2:G20)</f>
        <v>3438.87</v>
      </c>
      <c r="L21">
        <f>SUM(L2:L20)</f>
        <v>31819.511133333333</v>
      </c>
    </row>
    <row r="22" spans="2:13">
      <c r="L22" s="2950">
        <f>ROUND(L21/E21,2)</f>
        <v>0.28999999999999998</v>
      </c>
    </row>
    <row r="24" spans="2:13">
      <c r="D24" s="2946" t="s">
        <v>3121</v>
      </c>
      <c r="E24">
        <f>G4</f>
        <v>1179.1600000000001</v>
      </c>
      <c r="F24">
        <v>0.4</v>
      </c>
      <c r="G24">
        <f>G25*F24</f>
        <v>4000</v>
      </c>
      <c r="H24">
        <f>G24*E24</f>
        <v>4716640</v>
      </c>
    </row>
    <row r="25" spans="2:13">
      <c r="D25" s="2946" t="s">
        <v>3113</v>
      </c>
      <c r="E25">
        <f>SUM(H2:H19,2)</f>
        <v>29793.659999999996</v>
      </c>
      <c r="F25">
        <v>1</v>
      </c>
      <c r="G25" s="2952">
        <v>10000</v>
      </c>
      <c r="H25">
        <f t="shared" ref="H25:H32" si="2">G25*E25</f>
        <v>297936599.99999994</v>
      </c>
    </row>
    <row r="26" spans="2:13">
      <c r="D26" s="2946" t="s">
        <v>3114</v>
      </c>
      <c r="E26">
        <f>E25</f>
        <v>29793.659999999996</v>
      </c>
      <c r="F26">
        <v>0.65</v>
      </c>
      <c r="G26">
        <f>G25*F26</f>
        <v>6500</v>
      </c>
      <c r="H26">
        <f t="shared" si="2"/>
        <v>193658789.99999997</v>
      </c>
    </row>
    <row r="27" spans="2:13">
      <c r="D27" s="2946" t="s">
        <v>3115</v>
      </c>
      <c r="E27">
        <f>H3+H4+H7+H8+H11+H12+H14+H15+H17+H18+H19</f>
        <v>22539.75</v>
      </c>
      <c r="F27">
        <v>0.55000000000000004</v>
      </c>
      <c r="G27">
        <f>G25*F27</f>
        <v>5500</v>
      </c>
      <c r="H27">
        <f t="shared" si="2"/>
        <v>123968625</v>
      </c>
    </row>
    <row r="28" spans="2:13">
      <c r="D28" s="2946" t="s">
        <v>3116</v>
      </c>
      <c r="E28">
        <f>H4+H19</f>
        <v>8686.09</v>
      </c>
      <c r="F28">
        <v>0.5</v>
      </c>
      <c r="G28">
        <f>G25*F28</f>
        <v>5000</v>
      </c>
      <c r="H28">
        <f t="shared" si="2"/>
        <v>43430450</v>
      </c>
    </row>
    <row r="29" spans="2:13">
      <c r="D29" s="2946" t="s">
        <v>3117</v>
      </c>
      <c r="E29">
        <f>H4+H19</f>
        <v>8686.09</v>
      </c>
      <c r="F29">
        <v>0.35</v>
      </c>
      <c r="G29">
        <f>G25*F29</f>
        <v>3500</v>
      </c>
      <c r="H29">
        <f t="shared" si="2"/>
        <v>30401315</v>
      </c>
    </row>
    <row r="30" spans="2:13">
      <c r="D30" s="2946" t="s">
        <v>3118</v>
      </c>
      <c r="E30">
        <f>H4</f>
        <v>2309.08</v>
      </c>
      <c r="F30">
        <v>0.35</v>
      </c>
      <c r="G30">
        <f>G25*F30</f>
        <v>3500</v>
      </c>
      <c r="H30">
        <f t="shared" si="2"/>
        <v>8081780</v>
      </c>
    </row>
    <row r="31" spans="2:13">
      <c r="D31" s="2946" t="s">
        <v>3119</v>
      </c>
      <c r="E31">
        <f>E30</f>
        <v>2309.08</v>
      </c>
      <c r="F31">
        <v>0.35</v>
      </c>
      <c r="G31">
        <f>G25*F31</f>
        <v>3500</v>
      </c>
      <c r="H31">
        <f t="shared" si="2"/>
        <v>8081780</v>
      </c>
    </row>
    <row r="32" spans="2:13">
      <c r="D32" s="2946" t="s">
        <v>3120</v>
      </c>
      <c r="E32">
        <f>E30</f>
        <v>2309.08</v>
      </c>
      <c r="F32">
        <v>0.35</v>
      </c>
      <c r="G32">
        <f>G25*F32</f>
        <v>3500</v>
      </c>
      <c r="H32">
        <f t="shared" si="2"/>
        <v>8081780</v>
      </c>
    </row>
    <row r="33" spans="5:8">
      <c r="E33">
        <f>SUM(E25:E32)</f>
        <v>106426.48999999999</v>
      </c>
      <c r="G33" s="2951">
        <f>ROUND(H33/E33,0)</f>
        <v>6750</v>
      </c>
      <c r="H33">
        <f>SUM(H24:H32)</f>
        <v>718357759.99999988</v>
      </c>
    </row>
  </sheetData>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I2" sqref="I2:I10"/>
    </sheetView>
  </sheetViews>
  <sheetFormatPr defaultRowHeight="13.5"/>
  <cols>
    <col min="1" max="1" width="9" style="2965"/>
    <col min="2" max="2" width="10.5" style="2965" bestFit="1" customWidth="1"/>
    <col min="3" max="16384" width="9" style="2965"/>
  </cols>
  <sheetData>
    <row r="1" spans="1:10">
      <c r="B1" s="2966" t="s">
        <v>3176</v>
      </c>
      <c r="C1" s="2966" t="s">
        <v>3177</v>
      </c>
      <c r="D1" s="2966" t="s">
        <v>3178</v>
      </c>
      <c r="E1" s="2966" t="s">
        <v>3071</v>
      </c>
      <c r="F1" s="2966" t="s">
        <v>3177</v>
      </c>
      <c r="G1" s="2966" t="s">
        <v>3179</v>
      </c>
      <c r="H1" s="2966" t="s">
        <v>3176</v>
      </c>
      <c r="I1" s="2967" t="s">
        <v>3180</v>
      </c>
      <c r="J1" s="2968">
        <v>2</v>
      </c>
    </row>
    <row r="2" spans="1:10">
      <c r="A2" s="2965" t="str">
        <f>'[1]数据-基础表'!B13</f>
        <v>B-1</v>
      </c>
      <c r="B2" s="2965">
        <f>'[1]数据-基础表'!G13</f>
        <v>1788.48</v>
      </c>
      <c r="C2" s="2965">
        <v>2</v>
      </c>
      <c r="D2" s="2965">
        <f>ROUND(B2/C2,2)</f>
        <v>894.24</v>
      </c>
      <c r="F2" s="2965">
        <v>-1</v>
      </c>
      <c r="G2" s="2965">
        <v>0.5</v>
      </c>
      <c r="H2" s="2965">
        <f>E6</f>
        <v>1179.1600000000001</v>
      </c>
      <c r="I2" s="2965">
        <f>ROUND($J$1*G2,1)</f>
        <v>1</v>
      </c>
      <c r="J2" s="2965">
        <f>ROUND(H2/$H$11*I2,4)</f>
        <v>1.0999999999999999E-2</v>
      </c>
    </row>
    <row r="3" spans="1:10">
      <c r="A3" s="2965" t="str">
        <f>'[1]数据-基础表'!B14</f>
        <v>B-2</v>
      </c>
      <c r="B3" s="2965">
        <f>'[1]数据-基础表'!G14</f>
        <v>4989.32</v>
      </c>
      <c r="C3" s="2965">
        <v>3</v>
      </c>
      <c r="D3" s="2965">
        <f>ROUND(B3/C3,2)</f>
        <v>1663.11</v>
      </c>
      <c r="F3" s="2965">
        <v>1</v>
      </c>
      <c r="G3" s="2965">
        <v>1</v>
      </c>
      <c r="H3" s="2965">
        <f>D20</f>
        <v>30051.329999999994</v>
      </c>
      <c r="I3" s="2965">
        <f t="shared" ref="I3:I10" si="0">ROUND($J$1*G3,1)</f>
        <v>2</v>
      </c>
      <c r="J3" s="2965">
        <f t="shared" ref="J3:J10" si="1">ROUND(H3/$H$11*I3,4)</f>
        <v>0.55859999999999999</v>
      </c>
    </row>
    <row r="4" spans="1:10">
      <c r="A4" s="2965" t="str">
        <f>'[1]数据-基础表'!B15</f>
        <v>B-4</v>
      </c>
      <c r="B4" s="2965">
        <f>'[1]数据-基础表'!G15</f>
        <v>1406.82</v>
      </c>
      <c r="C4" s="2965">
        <v>2</v>
      </c>
      <c r="D4" s="2965">
        <f>ROUND(B4/C4,2)</f>
        <v>703.41</v>
      </c>
      <c r="F4" s="2965">
        <v>2</v>
      </c>
      <c r="G4" s="2965">
        <v>0.7</v>
      </c>
      <c r="H4" s="2965">
        <f>D20</f>
        <v>30051.329999999994</v>
      </c>
      <c r="I4" s="2965">
        <f t="shared" si="0"/>
        <v>1.4</v>
      </c>
      <c r="J4" s="2965">
        <f t="shared" si="1"/>
        <v>0.39100000000000001</v>
      </c>
    </row>
    <row r="5" spans="1:10">
      <c r="A5" s="2965" t="str">
        <f>'[1]数据-基础表'!B16</f>
        <v>B-5</v>
      </c>
      <c r="B5" s="2965">
        <f>'[1]数据-基础表'!G16</f>
        <v>1957.06</v>
      </c>
      <c r="C5" s="2965">
        <v>2</v>
      </c>
      <c r="D5" s="2965">
        <f>ROUND(B5/C5,2)</f>
        <v>978.53</v>
      </c>
      <c r="F5" s="2965">
        <v>3</v>
      </c>
      <c r="G5" s="2965">
        <v>0.65</v>
      </c>
      <c r="H5" s="2965">
        <f>D3+D7+D6+D8+D9+D12+D14+D15+D17+D19</f>
        <v>22020.400000000001</v>
      </c>
      <c r="I5" s="2965">
        <f t="shared" si="0"/>
        <v>1.3</v>
      </c>
      <c r="J5" s="2965">
        <f t="shared" si="1"/>
        <v>0.26600000000000001</v>
      </c>
    </row>
    <row r="6" spans="1:10">
      <c r="A6" s="2965" t="str">
        <f>'[1]数据-基础表'!B17</f>
        <v>B-3</v>
      </c>
      <c r="B6" s="2965">
        <f>'[1]数据-基础表'!G17</f>
        <v>19651.82</v>
      </c>
      <c r="C6" s="2966">
        <v>8</v>
      </c>
      <c r="D6" s="2965">
        <f>ROUND((B6-E6)/C6,2)</f>
        <v>2309.08</v>
      </c>
      <c r="E6" s="2965">
        <f>'[1]数据-基础表'!K17</f>
        <v>1179.1600000000001</v>
      </c>
      <c r="F6" s="2965">
        <v>4</v>
      </c>
      <c r="G6" s="2965">
        <v>0.6</v>
      </c>
      <c r="H6" s="2965">
        <f>D6+D19</f>
        <v>8686.09</v>
      </c>
      <c r="I6" s="2965">
        <f t="shared" si="0"/>
        <v>1.2</v>
      </c>
      <c r="J6" s="2965">
        <f t="shared" si="1"/>
        <v>9.69E-2</v>
      </c>
    </row>
    <row r="7" spans="1:10">
      <c r="A7" s="2965" t="str">
        <f>'[1]数据-基础表'!B18</f>
        <v>B-6</v>
      </c>
      <c r="B7" s="2965">
        <f>'[1]数据-基础表'!G18</f>
        <v>1843.81</v>
      </c>
      <c r="C7" s="2966">
        <v>3</v>
      </c>
      <c r="D7" s="2965">
        <f t="shared" ref="D7:D19" si="2">ROUND(B7/C7,2)</f>
        <v>614.6</v>
      </c>
      <c r="F7" s="2965">
        <v>5</v>
      </c>
      <c r="G7" s="2965">
        <v>0.55000000000000004</v>
      </c>
      <c r="H7" s="2965">
        <f>H6</f>
        <v>8686.09</v>
      </c>
      <c r="I7" s="2965">
        <f t="shared" si="0"/>
        <v>1.1000000000000001</v>
      </c>
      <c r="J7" s="2965">
        <f t="shared" si="1"/>
        <v>8.8800000000000004E-2</v>
      </c>
    </row>
    <row r="8" spans="1:10">
      <c r="A8" s="2965" t="str">
        <f>'[1]数据-基础表'!B19</f>
        <v>B-7</v>
      </c>
      <c r="B8" s="2965">
        <f>'[1]数据-基础表'!G19</f>
        <v>4067.3</v>
      </c>
      <c r="C8" s="2966">
        <v>3</v>
      </c>
      <c r="D8" s="2965">
        <f t="shared" si="2"/>
        <v>1355.77</v>
      </c>
      <c r="F8" s="2965">
        <v>6</v>
      </c>
      <c r="G8" s="2965">
        <v>0.5</v>
      </c>
      <c r="H8" s="2965">
        <f>D6</f>
        <v>2309.08</v>
      </c>
      <c r="I8" s="2965">
        <f t="shared" si="0"/>
        <v>1</v>
      </c>
      <c r="J8" s="2965">
        <f t="shared" si="1"/>
        <v>2.1499999999999998E-2</v>
      </c>
    </row>
    <row r="9" spans="1:10">
      <c r="A9" s="2965" t="str">
        <f>'[1]数据-基础表'!B20</f>
        <v>B-10</v>
      </c>
      <c r="B9" s="2965">
        <f>'[1]数据-基础表'!G20</f>
        <v>2464.89</v>
      </c>
      <c r="C9" s="2966">
        <v>3</v>
      </c>
      <c r="D9" s="2965">
        <f t="shared" si="2"/>
        <v>821.63</v>
      </c>
      <c r="F9" s="2965">
        <v>7</v>
      </c>
      <c r="G9" s="2965">
        <v>0.5</v>
      </c>
      <c r="H9" s="2965">
        <f>H8</f>
        <v>2309.08</v>
      </c>
      <c r="I9" s="2965">
        <f t="shared" si="0"/>
        <v>1</v>
      </c>
      <c r="J9" s="2965">
        <f t="shared" si="1"/>
        <v>2.1499999999999998E-2</v>
      </c>
    </row>
    <row r="10" spans="1:10">
      <c r="A10" s="2965" t="str">
        <f>'[1]数据-基础表'!B21</f>
        <v>B-8</v>
      </c>
      <c r="B10" s="2965">
        <f>'[1]数据-基础表'!G21</f>
        <v>1549.74</v>
      </c>
      <c r="C10" s="2966">
        <v>2</v>
      </c>
      <c r="D10" s="2965">
        <f t="shared" si="2"/>
        <v>774.87</v>
      </c>
      <c r="F10" s="2965">
        <v>8</v>
      </c>
      <c r="G10" s="2965">
        <v>0.5</v>
      </c>
      <c r="H10" s="2965">
        <f>H9</f>
        <v>2309.08</v>
      </c>
      <c r="I10" s="2965">
        <f t="shared" si="0"/>
        <v>1</v>
      </c>
      <c r="J10" s="2965">
        <f t="shared" si="1"/>
        <v>2.1499999999999998E-2</v>
      </c>
    </row>
    <row r="11" spans="1:10">
      <c r="A11" s="2965" t="str">
        <f>'[1]数据-基础表'!B22</f>
        <v>B-9</v>
      </c>
      <c r="B11" s="2965">
        <f>'[1]数据-基础表'!G22</f>
        <v>1944.82</v>
      </c>
      <c r="C11" s="2966">
        <v>2</v>
      </c>
      <c r="D11" s="2965">
        <f t="shared" si="2"/>
        <v>972.41</v>
      </c>
      <c r="H11" s="2965">
        <f>SUM(H2:H10)</f>
        <v>107601.64</v>
      </c>
      <c r="J11" s="2969">
        <f>ROUND(SUM(J2:J10),1)</f>
        <v>1.5</v>
      </c>
    </row>
    <row r="12" spans="1:10">
      <c r="A12" s="2965" t="str">
        <f>'[1]数据-基础表'!B23</f>
        <v>B-11</v>
      </c>
      <c r="B12" s="2965">
        <f>'[1]数据-基础表'!G23</f>
        <v>7559.95</v>
      </c>
      <c r="C12" s="2966">
        <v>3</v>
      </c>
      <c r="D12" s="2965">
        <f t="shared" si="2"/>
        <v>2519.98</v>
      </c>
    </row>
    <row r="13" spans="1:10">
      <c r="A13" s="2965" t="str">
        <f>'[1]数据-基础表'!B24</f>
        <v>B-12</v>
      </c>
      <c r="B13" s="2965">
        <f>'[1]数据-基础表'!G24</f>
        <v>3228.75</v>
      </c>
      <c r="C13" s="2966">
        <v>2</v>
      </c>
      <c r="D13" s="2965">
        <f t="shared" si="2"/>
        <v>1614.38</v>
      </c>
    </row>
    <row r="14" spans="1:10">
      <c r="A14" s="2965" t="str">
        <f>'[1]数据-基础表'!B25</f>
        <v>B-13</v>
      </c>
      <c r="B14" s="2965">
        <f>'[1]数据-基础表'!G25</f>
        <v>8436.64</v>
      </c>
      <c r="C14" s="2966">
        <v>3</v>
      </c>
      <c r="D14" s="2965">
        <f t="shared" si="2"/>
        <v>2812.21</v>
      </c>
    </row>
    <row r="15" spans="1:10">
      <c r="A15" s="2965" t="str">
        <f>'[1]数据-基础表'!B26</f>
        <v>B-14</v>
      </c>
      <c r="B15" s="2965">
        <f>'[1]数据-基础表'!G26</f>
        <v>4510.3900000000003</v>
      </c>
      <c r="C15" s="2966">
        <v>3</v>
      </c>
      <c r="D15" s="2965">
        <f t="shared" si="2"/>
        <v>1503.46</v>
      </c>
    </row>
    <row r="16" spans="1:10">
      <c r="A16" s="2965" t="str">
        <f>'[1]数据-基础表'!B27</f>
        <v>B-15</v>
      </c>
      <c r="B16" s="2965">
        <f>'[1]数据-基础表'!G27</f>
        <v>2628.13</v>
      </c>
      <c r="C16" s="2966">
        <v>2</v>
      </c>
      <c r="D16" s="2965">
        <f t="shared" si="2"/>
        <v>1314.07</v>
      </c>
    </row>
    <row r="17" spans="1:5">
      <c r="A17" s="2965" t="str">
        <f>'[1]数据-基础表'!B28</f>
        <v>B-16</v>
      </c>
      <c r="B17" s="2965">
        <f>'[1]数据-基础表'!G28</f>
        <v>6130.65</v>
      </c>
      <c r="C17" s="2966">
        <v>3</v>
      </c>
      <c r="D17" s="2965">
        <f t="shared" si="2"/>
        <v>2043.55</v>
      </c>
    </row>
    <row r="18" spans="1:5">
      <c r="A18" s="2965" t="str">
        <f>'[1]数据-基础表'!B29</f>
        <v>B-17</v>
      </c>
      <c r="B18" s="2965">
        <f>'[1]数据-基础表'!G29</f>
        <v>1558.04</v>
      </c>
      <c r="C18" s="2966">
        <v>2</v>
      </c>
      <c r="D18" s="2965">
        <f t="shared" si="2"/>
        <v>779.02</v>
      </c>
    </row>
    <row r="19" spans="1:5">
      <c r="A19" s="2965" t="str">
        <f>'[1]数据-基础表'!B30</f>
        <v>B-18</v>
      </c>
      <c r="B19" s="2965">
        <f>'[1]数据-基础表'!G30</f>
        <v>31885.040000000001</v>
      </c>
      <c r="C19" s="2966">
        <v>5</v>
      </c>
      <c r="D19" s="2965">
        <f t="shared" si="2"/>
        <v>6377.01</v>
      </c>
    </row>
    <row r="20" spans="1:5">
      <c r="B20" s="2975">
        <f>SUM(B2:B19)</f>
        <v>107601.65</v>
      </c>
      <c r="D20" s="2966">
        <f>SUM(D2:D19)</f>
        <v>30051.329999999994</v>
      </c>
      <c r="E20" s="2965">
        <f>SUM(E2:E19)</f>
        <v>1179.1600000000001</v>
      </c>
    </row>
  </sheetData>
  <phoneticPr fontId="14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9"/>
  <sheetViews>
    <sheetView workbookViewId="0">
      <selection activeCell="L31" sqref="L31"/>
    </sheetView>
  </sheetViews>
  <sheetFormatPr defaultRowHeight="13.5"/>
  <cols>
    <col min="2" max="2" width="18.375" customWidth="1"/>
    <col min="5" max="5" width="10.5" customWidth="1"/>
  </cols>
  <sheetData>
    <row r="2" spans="2:7" ht="20.25" customHeight="1">
      <c r="B2" s="2953" t="s">
        <v>3130</v>
      </c>
      <c r="C2" s="2953" t="s">
        <v>3131</v>
      </c>
      <c r="D2" s="2953" t="s">
        <v>3132</v>
      </c>
      <c r="E2" s="2953" t="s">
        <v>3133</v>
      </c>
      <c r="F2" s="2953" t="s">
        <v>3136</v>
      </c>
      <c r="G2" s="2953" t="s">
        <v>3137</v>
      </c>
    </row>
    <row r="3" spans="2:7" ht="23.25" customHeight="1">
      <c r="B3" s="2953" t="s">
        <v>3138</v>
      </c>
      <c r="C3" s="2954"/>
      <c r="D3" s="2954"/>
      <c r="E3" s="2954">
        <v>20000</v>
      </c>
      <c r="F3" s="2954">
        <v>0.8</v>
      </c>
      <c r="G3" s="2954">
        <f>E3*F3</f>
        <v>16000</v>
      </c>
    </row>
    <row r="4" spans="2:7" ht="23.25" customHeight="1">
      <c r="B4" s="2953" t="s">
        <v>3139</v>
      </c>
      <c r="C4" s="2954">
        <v>109861</v>
      </c>
      <c r="D4" s="2954"/>
      <c r="E4" s="2954">
        <v>31000</v>
      </c>
      <c r="F4" s="2954">
        <v>0.6</v>
      </c>
      <c r="G4" s="2954">
        <f t="shared" ref="G4:G7" si="0">E4*F4</f>
        <v>18600</v>
      </c>
    </row>
    <row r="5" spans="2:7" ht="23.25" customHeight="1">
      <c r="B5" s="2953" t="s">
        <v>3140</v>
      </c>
      <c r="C5" s="2954">
        <v>156000</v>
      </c>
      <c r="D5" s="2954">
        <v>8500</v>
      </c>
      <c r="E5" s="2954">
        <f>C5*D5/10000</f>
        <v>132600</v>
      </c>
      <c r="F5" s="2954">
        <v>0.8</v>
      </c>
      <c r="G5" s="2954">
        <f t="shared" si="0"/>
        <v>106080</v>
      </c>
    </row>
    <row r="6" spans="2:7" ht="23.25" customHeight="1">
      <c r="B6" s="2953" t="s">
        <v>3134</v>
      </c>
      <c r="C6" s="2954">
        <v>18500</v>
      </c>
      <c r="D6" s="2955">
        <v>15000</v>
      </c>
      <c r="E6" s="2954">
        <f t="shared" ref="E6:E7" si="1">C6*D6/10000</f>
        <v>27750</v>
      </c>
      <c r="F6" s="2954">
        <v>0.6</v>
      </c>
      <c r="G6" s="2954">
        <f t="shared" si="0"/>
        <v>16650</v>
      </c>
    </row>
    <row r="7" spans="2:7" ht="19.5" customHeight="1">
      <c r="B7" s="2953" t="s">
        <v>3135</v>
      </c>
      <c r="C7" s="2954">
        <v>18500</v>
      </c>
      <c r="D7" s="2955">
        <v>18500</v>
      </c>
      <c r="E7" s="2954">
        <f t="shared" si="1"/>
        <v>34225</v>
      </c>
      <c r="F7" s="2954">
        <v>0.6</v>
      </c>
      <c r="G7" s="2954">
        <f t="shared" si="0"/>
        <v>20535</v>
      </c>
    </row>
    <row r="8" spans="2:7" ht="21" customHeight="1">
      <c r="B8" s="2954"/>
      <c r="C8" s="2954"/>
      <c r="D8" s="2954"/>
      <c r="E8" s="2954">
        <f>SUM(E3:E7)</f>
        <v>245575</v>
      </c>
      <c r="F8" s="2954"/>
      <c r="G8" s="2954">
        <f t="shared" ref="G8" si="2">SUM(G3:G7)</f>
        <v>177865</v>
      </c>
    </row>
    <row r="9" spans="2:7" ht="29.25" customHeight="1">
      <c r="B9" s="3307" t="s">
        <v>3141</v>
      </c>
      <c r="C9" s="3308"/>
      <c r="D9" s="3308"/>
      <c r="E9" s="3308"/>
      <c r="F9" s="3308"/>
      <c r="G9" s="3308"/>
    </row>
  </sheetData>
  <mergeCells count="1">
    <mergeCell ref="B9:G9"/>
  </mergeCells>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1637</v>
      </c>
      <c r="B2" s="2999" t="s">
        <v>1638</v>
      </c>
      <c r="C2" s="2999" t="s">
        <v>1639</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4" t="s">
        <v>1634</v>
      </c>
      <c r="E3" s="1044" t="s">
        <v>1640</v>
      </c>
      <c r="F3" s="1044" t="s">
        <v>1634</v>
      </c>
      <c r="G3" s="1044" t="s">
        <v>1635</v>
      </c>
      <c r="H3" s="1044" t="s">
        <v>1634</v>
      </c>
      <c r="I3" s="1044" t="s">
        <v>1635</v>
      </c>
    </row>
    <row r="4" spans="1:9" ht="60">
      <c r="A4" s="1972" t="str">
        <f>项目基本情况!S2</f>
        <v>安徽省芜湖市鸠江区江北集中区东至和声路、北至长河南路商务金融用地出让国有建设用地使用权及在建建筑物房地产</v>
      </c>
      <c r="B4" s="1044">
        <f>项目基本情况!C17</f>
        <v>109861.36</v>
      </c>
      <c r="C4" s="1044">
        <f>项目基本情况!C18</f>
        <v>84185</v>
      </c>
      <c r="D4" s="1044">
        <f ca="1">结果表!D118</f>
        <v>19791</v>
      </c>
      <c r="E4" s="1044">
        <f ca="1">结果表!E118</f>
        <v>1801</v>
      </c>
      <c r="F4" s="1044">
        <f ca="1">结果表!F118</f>
        <v>11623</v>
      </c>
      <c r="G4" s="1044">
        <f ca="1">结果表!G118</f>
        <v>1058</v>
      </c>
      <c r="H4" s="1044">
        <f ca="1">结果表!H118</f>
        <v>31414</v>
      </c>
      <c r="I4" s="1044">
        <f ca="1">结果表!I118</f>
        <v>2859</v>
      </c>
    </row>
    <row r="5" spans="1:9" ht="30" customHeight="1">
      <c r="A5" s="2993" t="s">
        <v>1636</v>
      </c>
      <c r="B5" s="2993"/>
      <c r="C5" s="2993"/>
      <c r="D5" s="2994" t="str">
        <f ca="1">结果表!D119</f>
        <v>壹亿玖仟柒佰玖拾壹万元整</v>
      </c>
      <c r="E5" s="2994"/>
      <c r="F5" s="2994" t="str">
        <f ca="1">结果表!F119</f>
        <v>壹亿壹仟陆佰贰拾叁万元整</v>
      </c>
      <c r="G5" s="2994"/>
      <c r="H5" s="2994" t="str">
        <f ca="1">结果表!H119</f>
        <v>叁亿壹仟肆佰壹拾肆万元整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1636</v>
      </c>
      <c r="B7" s="2993"/>
      <c r="C7" s="2993"/>
      <c r="D7" s="2995" t="str">
        <f>结果表!D121</f>
        <v>零元整</v>
      </c>
      <c r="E7" s="2996"/>
      <c r="F7" s="2996"/>
      <c r="G7" s="2996"/>
      <c r="H7" s="2996"/>
      <c r="I7" s="2997"/>
    </row>
    <row r="8" spans="1:9" ht="15.75">
      <c r="A8" s="2992" t="str">
        <f>结果表!A122</f>
        <v>房地产抵押价值</v>
      </c>
      <c r="B8" s="2992"/>
      <c r="C8" s="2992"/>
      <c r="D8" s="2992">
        <f ca="1">结果表!D122</f>
        <v>31414</v>
      </c>
      <c r="E8" s="2992"/>
      <c r="F8" s="2992"/>
      <c r="G8" s="2992"/>
      <c r="H8" s="2992"/>
      <c r="I8" s="2992"/>
    </row>
    <row r="9" spans="1:9" ht="15">
      <c r="A9" s="2993" t="s">
        <v>1636</v>
      </c>
      <c r="B9" s="2993"/>
      <c r="C9" s="2993"/>
      <c r="D9" s="2994" t="str">
        <f ca="1">结果表!D123</f>
        <v>叁亿壹仟肆佰壹拾肆万元整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1636</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1636</v>
      </c>
      <c r="B13" s="2989"/>
      <c r="C13" s="2989"/>
      <c r="D13" s="2990" t="e">
        <f>结果表!D127</f>
        <v>#VALUE!</v>
      </c>
      <c r="E13" s="2990"/>
      <c r="F13" s="2990"/>
      <c r="G13" s="2990"/>
      <c r="H13" s="2990"/>
      <c r="I13" s="2990"/>
    </row>
    <row r="14" spans="1:9" ht="15" thickTop="1">
      <c r="A14" s="2991" t="s">
        <v>1641</v>
      </c>
      <c r="B14" s="2991"/>
      <c r="C14" s="2991"/>
      <c r="D14" s="2991"/>
      <c r="E14" s="2991"/>
      <c r="F14" s="2991"/>
      <c r="G14" s="2991"/>
      <c r="H14" s="2991"/>
      <c r="I14" s="2991"/>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6" t="s">
        <v>1658</v>
      </c>
      <c r="B1" s="3006"/>
      <c r="C1" s="3006"/>
      <c r="D1" s="3006"/>
    </row>
    <row r="2" spans="1:4" ht="18">
      <c r="A2" s="3007" t="s">
        <v>1642</v>
      </c>
      <c r="B2" s="3007"/>
      <c r="C2" s="3007"/>
      <c r="D2" s="3007"/>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崔锴</v>
      </c>
      <c r="B5" s="1978">
        <f ca="1">项目基本情况!E4</f>
        <v>0</v>
      </c>
      <c r="C5" s="1981"/>
      <c r="D5" s="1980" t="s">
        <v>1647</v>
      </c>
    </row>
    <row r="6" spans="1:4" ht="18">
      <c r="A6" s="3007" t="s">
        <v>1648</v>
      </c>
      <c r="B6" s="3007"/>
      <c r="C6" s="3007"/>
      <c r="D6" s="3007"/>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08"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1652</v>
      </c>
      <c r="B16" s="3002"/>
      <c r="C16" s="3002"/>
      <c r="D16" s="3002"/>
    </row>
    <row r="17" spans="1:4" ht="144" customHeight="1">
      <c r="A17" s="3002" t="s">
        <v>1653</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1654</v>
      </c>
      <c r="B22" s="3004"/>
      <c r="C22" s="3004"/>
      <c r="D22" s="3004"/>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14" t="s">
        <v>1665</v>
      </c>
      <c r="B15" s="3009" t="s">
        <v>136</v>
      </c>
      <c r="C15" s="3010"/>
    </row>
    <row r="16" spans="1:7" ht="13.5">
      <c r="A16" s="3015"/>
      <c r="B16" s="3009" t="s">
        <v>69</v>
      </c>
      <c r="C16" s="3010"/>
    </row>
    <row r="17" spans="1:3" ht="13.5">
      <c r="A17" s="3015"/>
      <c r="B17" s="3012" t="s">
        <v>1666</v>
      </c>
      <c r="C17" s="1999" t="s">
        <v>1665</v>
      </c>
    </row>
    <row r="18" spans="1:3" ht="13.5">
      <c r="A18" s="3015"/>
      <c r="B18" s="3012"/>
      <c r="C18" s="1999" t="s">
        <v>1667</v>
      </c>
    </row>
    <row r="19" spans="1:3" ht="13.5">
      <c r="A19" s="3015"/>
      <c r="B19" s="3012"/>
      <c r="C19" s="1999" t="s">
        <v>1668</v>
      </c>
    </row>
    <row r="20" spans="1:3" ht="13.5">
      <c r="A20" s="3016"/>
      <c r="B20" s="3011" t="s">
        <v>1669</v>
      </c>
      <c r="C20" s="3010"/>
    </row>
    <row r="21" spans="1:3" ht="13.5">
      <c r="A21" s="2000" t="s">
        <v>1670</v>
      </c>
      <c r="B21" s="2001"/>
      <c r="C21" s="2002"/>
    </row>
    <row r="22" spans="1:3" ht="13.5">
      <c r="A22" s="3013" t="s">
        <v>1671</v>
      </c>
      <c r="B22" s="3011" t="s">
        <v>1672</v>
      </c>
      <c r="C22" s="3010"/>
    </row>
    <row r="23" spans="1:3" ht="13.5">
      <c r="A23" s="3013"/>
      <c r="B23" s="3011" t="s">
        <v>1673</v>
      </c>
      <c r="C23" s="3010"/>
    </row>
    <row r="24" spans="1:3" ht="13.5">
      <c r="A24" s="3013"/>
      <c r="B24" s="3011" t="s">
        <v>1674</v>
      </c>
      <c r="C24" s="3010"/>
    </row>
    <row r="25" spans="1:3" ht="13.5">
      <c r="A25" s="3013"/>
      <c r="B25" s="3012" t="s">
        <v>1675</v>
      </c>
      <c r="C25" s="1999" t="s">
        <v>1676</v>
      </c>
    </row>
    <row r="26" spans="1:3" ht="13.5">
      <c r="A26" s="3013"/>
      <c r="B26" s="3012"/>
      <c r="C26" s="1999" t="s">
        <v>1677</v>
      </c>
    </row>
    <row r="27" spans="1:3" ht="13.5">
      <c r="A27" s="3013"/>
      <c r="B27" s="3012"/>
      <c r="C27" s="1999" t="s">
        <v>1678</v>
      </c>
    </row>
    <row r="28" spans="1:3" ht="13.5">
      <c r="A28" s="3013"/>
      <c r="B28" s="3012"/>
      <c r="C28" s="1999" t="s">
        <v>1679</v>
      </c>
    </row>
    <row r="29" spans="1:3" ht="13.5">
      <c r="A29" s="3013"/>
      <c r="B29" s="3012"/>
      <c r="C29" s="1999" t="s">
        <v>1680</v>
      </c>
    </row>
    <row r="30" spans="1:3" ht="13.5">
      <c r="A30" s="3013"/>
      <c r="B30" s="3012"/>
      <c r="C30" s="1999" t="s">
        <v>1681</v>
      </c>
    </row>
    <row r="31" spans="1:3" ht="13.5">
      <c r="A31" s="3013"/>
      <c r="B31" s="3012"/>
      <c r="C31" s="1999" t="s">
        <v>1682</v>
      </c>
    </row>
    <row r="32" spans="1:3" ht="13.5">
      <c r="A32" s="3013"/>
      <c r="B32" s="3012"/>
      <c r="C32" s="1999" t="s">
        <v>1683</v>
      </c>
    </row>
    <row r="33" spans="1:3" ht="13.5">
      <c r="A33" s="3013"/>
      <c r="B33" s="3012"/>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43700</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t="str">
        <f ca="1">IF(C11&lt;B2,"已过期",1120100036)</f>
        <v>已过期</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3042</v>
      </c>
      <c r="B14" s="1022">
        <f ca="1">IF(C14&lt;B2,"已过期",1120040230)</f>
        <v>1120040230</v>
      </c>
      <c r="C14" s="2343">
        <v>43835</v>
      </c>
      <c r="D14" s="2346" t="s">
        <v>3042</v>
      </c>
      <c r="E14" s="1022">
        <f ca="1">IF(F14&lt;B2,"已过期",98030020)</f>
        <v>98030020</v>
      </c>
      <c r="F14" s="1030">
        <v>47118</v>
      </c>
    </row>
    <row r="15" spans="1:6" ht="24" customHeight="1">
      <c r="A15" s="1702" t="s">
        <v>3043</v>
      </c>
      <c r="B15" s="1022">
        <f ca="1">IF(C15&lt;B2,"已过期",1120070085)</f>
        <v>1120070085</v>
      </c>
      <c r="C15" s="2343">
        <v>43814</v>
      </c>
      <c r="D15" s="2347" t="s">
        <v>3043</v>
      </c>
      <c r="E15" s="1022">
        <f ca="1">IF(F15&lt;B2,"已过期",2004110128)</f>
        <v>2004110128</v>
      </c>
      <c r="F15" s="1023">
        <v>47118</v>
      </c>
    </row>
    <row r="16" spans="1:6" ht="24" customHeight="1">
      <c r="A16" s="1701" t="s">
        <v>3044</v>
      </c>
      <c r="B16" s="1022">
        <f ca="1">IF(C16&lt;B2,"已过期",1120140022)</f>
        <v>1120140022</v>
      </c>
      <c r="C16" s="2924">
        <v>44029</v>
      </c>
      <c r="D16" s="2346" t="s">
        <v>3044</v>
      </c>
      <c r="E16" s="1022">
        <f ca="1">IF(F16&lt;B2,"已过期",2008110059)</f>
        <v>2008110059</v>
      </c>
      <c r="F16" s="1030">
        <v>47177</v>
      </c>
    </row>
    <row r="17" spans="1:7" ht="24" customHeight="1">
      <c r="A17" s="1701"/>
      <c r="B17" s="1022"/>
      <c r="C17" s="2343"/>
      <c r="D17" s="2346" t="s">
        <v>3045</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清单</vt:lpstr>
      <vt:lpstr>询价结果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2019-08-23T05:46:03Z</dcterms:modified>
</cp:coreProperties>
</file>